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28620" windowHeight="14955"/>
  </bookViews>
  <sheets>
    <sheet name="1396" sheetId="1" r:id="rId1"/>
  </sheets>
  <calcPr calcId="125725"/>
</workbook>
</file>

<file path=xl/calcChain.xml><?xml version="1.0" encoding="utf-8"?>
<calcChain xmlns="http://schemas.openxmlformats.org/spreadsheetml/2006/main">
  <c r="C2102" i="1"/>
  <c r="H2102"/>
  <c r="I2102"/>
  <c r="J2102"/>
  <c r="K2102"/>
  <c r="M2102"/>
  <c r="P2102"/>
  <c r="R2102"/>
  <c r="S2102"/>
  <c r="T2102"/>
  <c r="U2102"/>
  <c r="X2102"/>
  <c r="Y2102"/>
  <c r="Z2102"/>
  <c r="AA2102"/>
  <c r="AB2102"/>
  <c r="AC2102"/>
  <c r="AD2102"/>
  <c r="AE2102"/>
  <c r="AF2102"/>
  <c r="AG2102"/>
  <c r="AH2102"/>
  <c r="AI2102"/>
  <c r="AJ2102"/>
  <c r="AK2102"/>
  <c r="C2103"/>
  <c r="H2103"/>
  <c r="I2103"/>
  <c r="J2103"/>
  <c r="K2103"/>
  <c r="M2103"/>
  <c r="P2103"/>
  <c r="R2103"/>
  <c r="S2103"/>
  <c r="T2103"/>
  <c r="U2103"/>
  <c r="X2103"/>
  <c r="Y2103"/>
  <c r="Z2103"/>
  <c r="AA2103"/>
  <c r="AB2103"/>
  <c r="AC2103"/>
  <c r="AD2103"/>
  <c r="AE2103"/>
  <c r="AF2103"/>
  <c r="AG2103"/>
  <c r="AH2103"/>
  <c r="AI2103"/>
  <c r="AJ2103"/>
  <c r="AK2103"/>
  <c r="C2104"/>
  <c r="H2104"/>
  <c r="I2104"/>
  <c r="J2104"/>
  <c r="K2104"/>
  <c r="M2104"/>
  <c r="P2104"/>
  <c r="R2104"/>
  <c r="S2104"/>
  <c r="T2104"/>
  <c r="U2104"/>
  <c r="X2104"/>
  <c r="Y2104"/>
  <c r="Z2104"/>
  <c r="AA2104"/>
  <c r="AB2104"/>
  <c r="AC2104"/>
  <c r="AD2104"/>
  <c r="AE2104"/>
  <c r="AF2104"/>
  <c r="AG2104"/>
  <c r="AH2104"/>
  <c r="AI2104"/>
  <c r="AJ2104"/>
  <c r="AK2104"/>
  <c r="C2105"/>
  <c r="H2105"/>
  <c r="I2105"/>
  <c r="J2105"/>
  <c r="K2105"/>
  <c r="M2105"/>
  <c r="P2105"/>
  <c r="R2105"/>
  <c r="S2105"/>
  <c r="T2105"/>
  <c r="U2105"/>
  <c r="X2105"/>
  <c r="Y2105"/>
  <c r="Z2105"/>
  <c r="AA2105"/>
  <c r="AB2105"/>
  <c r="AC2105"/>
  <c r="AD2105"/>
  <c r="AE2105"/>
  <c r="AF2105"/>
  <c r="AG2105"/>
  <c r="AH2105"/>
  <c r="AI2105"/>
  <c r="AJ2105"/>
  <c r="AK2105"/>
  <c r="C2106"/>
  <c r="H2106"/>
  <c r="I2106"/>
  <c r="J2106"/>
  <c r="K2106"/>
  <c r="M2106"/>
  <c r="P2106"/>
  <c r="R2106"/>
  <c r="S2106"/>
  <c r="T2106"/>
  <c r="U2106"/>
  <c r="X2106"/>
  <c r="Y2106"/>
  <c r="Z2106"/>
  <c r="AA2106"/>
  <c r="AB2106"/>
  <c r="AC2106"/>
  <c r="AD2106"/>
  <c r="AE2106"/>
  <c r="AF2106"/>
  <c r="AG2106"/>
  <c r="AH2106"/>
  <c r="AI2106"/>
  <c r="AJ2106"/>
  <c r="AK2106"/>
  <c r="C2107"/>
  <c r="H2107"/>
  <c r="I2107"/>
  <c r="J2107"/>
  <c r="K2107"/>
  <c r="M2107"/>
  <c r="P2107"/>
  <c r="R2107"/>
  <c r="S2107"/>
  <c r="T2107"/>
  <c r="U2107"/>
  <c r="X2107"/>
  <c r="Y2107"/>
  <c r="Z2107"/>
  <c r="AA2107"/>
  <c r="AB2107"/>
  <c r="AC2107"/>
  <c r="AD2107"/>
  <c r="AE2107"/>
  <c r="AF2107"/>
  <c r="AG2107"/>
  <c r="AH2107"/>
  <c r="AI2107"/>
  <c r="AJ2107"/>
  <c r="AK2107"/>
  <c r="C2108"/>
  <c r="H2108"/>
  <c r="I2108"/>
  <c r="J2108"/>
  <c r="K2108"/>
  <c r="M2108"/>
  <c r="P2108"/>
  <c r="R2108"/>
  <c r="S2108"/>
  <c r="T2108"/>
  <c r="U2108"/>
  <c r="X2108"/>
  <c r="Y2108"/>
  <c r="Z2108"/>
  <c r="AA2108"/>
  <c r="AB2108"/>
  <c r="AC2108"/>
  <c r="AD2108"/>
  <c r="AE2108"/>
  <c r="AF2108"/>
  <c r="AG2108"/>
  <c r="AH2108"/>
  <c r="AI2108"/>
  <c r="AJ2108"/>
  <c r="AK2108"/>
  <c r="C2092"/>
  <c r="H2092"/>
  <c r="I2092"/>
  <c r="J2092"/>
  <c r="K2092"/>
  <c r="M2092"/>
  <c r="P2092"/>
  <c r="R2092"/>
  <c r="S2092"/>
  <c r="T2092"/>
  <c r="U2092"/>
  <c r="X2092"/>
  <c r="Y2092"/>
  <c r="Z2092"/>
  <c r="AA2092"/>
  <c r="AB2092"/>
  <c r="AC2092"/>
  <c r="AD2092"/>
  <c r="AE2092"/>
  <c r="AF2092"/>
  <c r="AG2092"/>
  <c r="AH2092"/>
  <c r="AI2092"/>
  <c r="AJ2092"/>
  <c r="AK2092"/>
  <c r="C2093"/>
  <c r="H2093"/>
  <c r="I2093"/>
  <c r="J2093"/>
  <c r="K2093"/>
  <c r="M2093"/>
  <c r="P2093"/>
  <c r="R2093"/>
  <c r="S2093"/>
  <c r="T2093"/>
  <c r="U2093"/>
  <c r="X2093"/>
  <c r="Y2093"/>
  <c r="Z2093"/>
  <c r="AA2093"/>
  <c r="AB2093"/>
  <c r="AC2093"/>
  <c r="AD2093"/>
  <c r="AE2093"/>
  <c r="AF2093"/>
  <c r="AG2093"/>
  <c r="AH2093"/>
  <c r="AI2093"/>
  <c r="AJ2093"/>
  <c r="AK2093"/>
  <c r="C2094"/>
  <c r="H2094"/>
  <c r="I2094"/>
  <c r="J2094"/>
  <c r="K2094"/>
  <c r="M2094"/>
  <c r="P2094"/>
  <c r="R2094"/>
  <c r="S2094"/>
  <c r="T2094"/>
  <c r="U2094"/>
  <c r="X2094"/>
  <c r="Y2094"/>
  <c r="Z2094"/>
  <c r="AA2094"/>
  <c r="AB2094"/>
  <c r="AC2094"/>
  <c r="AD2094"/>
  <c r="AE2094"/>
  <c r="AF2094"/>
  <c r="AG2094"/>
  <c r="AH2094"/>
  <c r="AI2094"/>
  <c r="AJ2094"/>
  <c r="AK2094"/>
  <c r="C2095"/>
  <c r="H2095"/>
  <c r="I2095"/>
  <c r="J2095"/>
  <c r="K2095"/>
  <c r="M2095"/>
  <c r="P2095"/>
  <c r="R2095"/>
  <c r="S2095"/>
  <c r="T2095"/>
  <c r="U2095"/>
  <c r="X2095"/>
  <c r="Y2095"/>
  <c r="Z2095"/>
  <c r="AA2095"/>
  <c r="AB2095"/>
  <c r="AC2095"/>
  <c r="AD2095"/>
  <c r="AE2095"/>
  <c r="AF2095"/>
  <c r="AG2095"/>
  <c r="AH2095"/>
  <c r="AI2095"/>
  <c r="AJ2095"/>
  <c r="AK2095"/>
  <c r="C2096"/>
  <c r="H2096"/>
  <c r="I2096"/>
  <c r="J2096"/>
  <c r="K2096"/>
  <c r="M2096"/>
  <c r="P2096"/>
  <c r="R2096"/>
  <c r="S2096"/>
  <c r="T2096"/>
  <c r="U2096"/>
  <c r="X2096"/>
  <c r="Y2096"/>
  <c r="Z2096"/>
  <c r="AA2096"/>
  <c r="AB2096"/>
  <c r="AC2096"/>
  <c r="AD2096"/>
  <c r="AE2096"/>
  <c r="AF2096"/>
  <c r="AG2096"/>
  <c r="AH2096"/>
  <c r="AI2096"/>
  <c r="AJ2096"/>
  <c r="AK2096"/>
  <c r="C2097"/>
  <c r="H2097"/>
  <c r="I2097"/>
  <c r="J2097"/>
  <c r="K2097"/>
  <c r="M2097"/>
  <c r="P2097"/>
  <c r="R2097"/>
  <c r="S2097"/>
  <c r="T2097"/>
  <c r="U2097"/>
  <c r="X2097"/>
  <c r="Y2097"/>
  <c r="Z2097"/>
  <c r="AA2097"/>
  <c r="AB2097"/>
  <c r="AC2097"/>
  <c r="AD2097"/>
  <c r="AE2097"/>
  <c r="AF2097"/>
  <c r="AG2097"/>
  <c r="AH2097"/>
  <c r="AI2097"/>
  <c r="AJ2097"/>
  <c r="AK2097"/>
  <c r="C2098"/>
  <c r="H2098"/>
  <c r="I2098"/>
  <c r="J2098"/>
  <c r="K2098"/>
  <c r="M2098"/>
  <c r="P2098"/>
  <c r="R2098"/>
  <c r="S2098"/>
  <c r="T2098"/>
  <c r="U2098"/>
  <c r="X2098"/>
  <c r="Y2098"/>
  <c r="Z2098"/>
  <c r="AA2098"/>
  <c r="AB2098"/>
  <c r="AC2098"/>
  <c r="AD2098"/>
  <c r="AE2098"/>
  <c r="AF2098"/>
  <c r="AG2098"/>
  <c r="AH2098"/>
  <c r="AI2098"/>
  <c r="AJ2098"/>
  <c r="AK2098"/>
  <c r="C2099"/>
  <c r="H2099"/>
  <c r="I2099"/>
  <c r="J2099"/>
  <c r="K2099"/>
  <c r="M2099"/>
  <c r="P2099"/>
  <c r="R2099"/>
  <c r="S2099"/>
  <c r="T2099"/>
  <c r="U2099"/>
  <c r="X2099"/>
  <c r="Y2099"/>
  <c r="Z2099"/>
  <c r="AA2099"/>
  <c r="AB2099"/>
  <c r="AC2099"/>
  <c r="AD2099"/>
  <c r="AE2099"/>
  <c r="AF2099"/>
  <c r="AG2099"/>
  <c r="AH2099"/>
  <c r="AI2099"/>
  <c r="AJ2099"/>
  <c r="AK2099"/>
  <c r="C2100"/>
  <c r="H2100"/>
  <c r="I2100"/>
  <c r="J2100"/>
  <c r="K2100"/>
  <c r="M2100"/>
  <c r="P2100"/>
  <c r="R2100"/>
  <c r="S2100"/>
  <c r="T2100"/>
  <c r="U2100"/>
  <c r="X2100"/>
  <c r="Y2100"/>
  <c r="Z2100"/>
  <c r="AA2100"/>
  <c r="AB2100"/>
  <c r="AC2100"/>
  <c r="AD2100"/>
  <c r="AE2100"/>
  <c r="AF2100"/>
  <c r="AG2100"/>
  <c r="AH2100"/>
  <c r="AI2100"/>
  <c r="AJ2100"/>
  <c r="AK2100"/>
  <c r="C2101"/>
  <c r="H2101"/>
  <c r="I2101"/>
  <c r="J2101"/>
  <c r="K2101"/>
  <c r="M2101"/>
  <c r="P2101"/>
  <c r="R2101"/>
  <c r="S2101"/>
  <c r="T2101"/>
  <c r="U2101"/>
  <c r="X2101"/>
  <c r="Y2101"/>
  <c r="Z2101"/>
  <c r="AA2101"/>
  <c r="AB2101"/>
  <c r="AC2101"/>
  <c r="AD2101"/>
  <c r="AE2101"/>
  <c r="AF2101"/>
  <c r="AG2101"/>
  <c r="AH2101"/>
  <c r="AI2101"/>
  <c r="AJ2101"/>
  <c r="AK2101"/>
  <c r="C2082"/>
  <c r="H2082"/>
  <c r="I2082"/>
  <c r="J2082"/>
  <c r="K2082"/>
  <c r="M2082"/>
  <c r="P2082"/>
  <c r="R2082"/>
  <c r="S2082"/>
  <c r="T2082"/>
  <c r="U2082"/>
  <c r="X2082"/>
  <c r="Y2082"/>
  <c r="Z2082"/>
  <c r="AA2082"/>
  <c r="AB2082"/>
  <c r="AC2082"/>
  <c r="AD2082"/>
  <c r="AE2082"/>
  <c r="AF2082"/>
  <c r="AG2082"/>
  <c r="AH2082"/>
  <c r="AI2082"/>
  <c r="AJ2082"/>
  <c r="AK2082"/>
  <c r="C2083"/>
  <c r="H2083"/>
  <c r="I2083"/>
  <c r="J2083"/>
  <c r="K2083"/>
  <c r="M2083"/>
  <c r="P2083"/>
  <c r="R2083"/>
  <c r="S2083"/>
  <c r="T2083"/>
  <c r="U2083"/>
  <c r="X2083"/>
  <c r="Y2083"/>
  <c r="Z2083"/>
  <c r="AA2083"/>
  <c r="AB2083"/>
  <c r="AC2083"/>
  <c r="AD2083"/>
  <c r="AE2083"/>
  <c r="AF2083"/>
  <c r="AG2083"/>
  <c r="AH2083"/>
  <c r="AI2083"/>
  <c r="AJ2083"/>
  <c r="AK2083"/>
  <c r="C2084"/>
  <c r="H2084"/>
  <c r="I2084"/>
  <c r="J2084"/>
  <c r="K2084"/>
  <c r="M2084"/>
  <c r="P2084"/>
  <c r="R2084"/>
  <c r="S2084"/>
  <c r="T2084"/>
  <c r="U2084"/>
  <c r="X2084"/>
  <c r="Y2084"/>
  <c r="Z2084"/>
  <c r="AA2084"/>
  <c r="AB2084"/>
  <c r="AC2084"/>
  <c r="AD2084"/>
  <c r="AE2084"/>
  <c r="AF2084"/>
  <c r="AG2084"/>
  <c r="AH2084"/>
  <c r="AI2084"/>
  <c r="AJ2084"/>
  <c r="AK2084"/>
  <c r="C2085"/>
  <c r="H2085"/>
  <c r="I2085"/>
  <c r="J2085"/>
  <c r="K2085"/>
  <c r="M2085"/>
  <c r="P2085"/>
  <c r="R2085"/>
  <c r="S2085"/>
  <c r="T2085"/>
  <c r="U2085"/>
  <c r="X2085"/>
  <c r="Y2085"/>
  <c r="Z2085"/>
  <c r="AA2085"/>
  <c r="AB2085"/>
  <c r="AC2085"/>
  <c r="AD2085"/>
  <c r="AE2085"/>
  <c r="AF2085"/>
  <c r="AG2085"/>
  <c r="AH2085"/>
  <c r="AI2085"/>
  <c r="AJ2085"/>
  <c r="AK2085"/>
  <c r="C2086"/>
  <c r="H2086"/>
  <c r="I2086"/>
  <c r="J2086"/>
  <c r="K2086"/>
  <c r="M2086"/>
  <c r="P2086"/>
  <c r="R2086"/>
  <c r="S2086"/>
  <c r="T2086"/>
  <c r="U2086"/>
  <c r="X2086"/>
  <c r="Y2086"/>
  <c r="Z2086"/>
  <c r="AA2086"/>
  <c r="AB2086"/>
  <c r="AC2086"/>
  <c r="AD2086"/>
  <c r="AE2086"/>
  <c r="AF2086"/>
  <c r="AG2086"/>
  <c r="AH2086"/>
  <c r="AI2086"/>
  <c r="AJ2086"/>
  <c r="AK2086"/>
  <c r="C2087"/>
  <c r="H2087"/>
  <c r="I2087"/>
  <c r="J2087"/>
  <c r="K2087"/>
  <c r="M2087"/>
  <c r="P2087"/>
  <c r="R2087"/>
  <c r="S2087"/>
  <c r="T2087"/>
  <c r="U2087"/>
  <c r="X2087"/>
  <c r="Y2087"/>
  <c r="Z2087"/>
  <c r="AA2087"/>
  <c r="AB2087"/>
  <c r="AC2087"/>
  <c r="AD2087"/>
  <c r="AE2087"/>
  <c r="AF2087"/>
  <c r="AG2087"/>
  <c r="AH2087"/>
  <c r="AI2087"/>
  <c r="AJ2087"/>
  <c r="AK2087"/>
  <c r="C2088"/>
  <c r="H2088"/>
  <c r="I2088"/>
  <c r="J2088"/>
  <c r="K2088"/>
  <c r="M2088"/>
  <c r="P2088"/>
  <c r="R2088"/>
  <c r="S2088"/>
  <c r="T2088"/>
  <c r="U2088"/>
  <c r="X2088"/>
  <c r="Y2088"/>
  <c r="Z2088"/>
  <c r="AA2088"/>
  <c r="AB2088"/>
  <c r="AC2088"/>
  <c r="AD2088"/>
  <c r="AE2088"/>
  <c r="AF2088"/>
  <c r="AG2088"/>
  <c r="AH2088"/>
  <c r="AI2088"/>
  <c r="AJ2088"/>
  <c r="AK2088"/>
  <c r="C2089"/>
  <c r="H2089"/>
  <c r="I2089"/>
  <c r="J2089"/>
  <c r="K2089"/>
  <c r="M2089"/>
  <c r="P2089"/>
  <c r="R2089"/>
  <c r="S2089"/>
  <c r="T2089"/>
  <c r="U2089"/>
  <c r="X2089"/>
  <c r="Y2089"/>
  <c r="Z2089"/>
  <c r="AA2089"/>
  <c r="AB2089"/>
  <c r="AC2089"/>
  <c r="AD2089"/>
  <c r="AE2089"/>
  <c r="AF2089"/>
  <c r="AG2089"/>
  <c r="AH2089"/>
  <c r="AI2089"/>
  <c r="AJ2089"/>
  <c r="AK2089"/>
  <c r="C2090"/>
  <c r="H2090"/>
  <c r="I2090"/>
  <c r="J2090"/>
  <c r="K2090"/>
  <c r="M2090"/>
  <c r="P2090"/>
  <c r="R2090"/>
  <c r="S2090"/>
  <c r="T2090"/>
  <c r="U2090"/>
  <c r="X2090"/>
  <c r="Y2090"/>
  <c r="Z2090"/>
  <c r="AA2090"/>
  <c r="AB2090"/>
  <c r="AC2090"/>
  <c r="AD2090"/>
  <c r="AE2090"/>
  <c r="AF2090"/>
  <c r="AG2090"/>
  <c r="AH2090"/>
  <c r="AI2090"/>
  <c r="AJ2090"/>
  <c r="AK2090"/>
  <c r="C2091"/>
  <c r="H2091"/>
  <c r="I2091"/>
  <c r="J2091"/>
  <c r="K2091"/>
  <c r="M2091"/>
  <c r="P2091"/>
  <c r="R2091"/>
  <c r="S2091"/>
  <c r="T2091"/>
  <c r="U2091"/>
  <c r="X2091"/>
  <c r="Y2091"/>
  <c r="Z2091"/>
  <c r="AA2091"/>
  <c r="AB2091"/>
  <c r="AC2091"/>
  <c r="AD2091"/>
  <c r="AE2091"/>
  <c r="AF2091"/>
  <c r="AG2091"/>
  <c r="AH2091"/>
  <c r="AI2091"/>
  <c r="AJ2091"/>
  <c r="AK2091"/>
  <c r="C2072"/>
  <c r="H2072"/>
  <c r="I2072"/>
  <c r="J2072"/>
  <c r="K2072"/>
  <c r="M2072"/>
  <c r="P2072"/>
  <c r="R2072"/>
  <c r="S2072"/>
  <c r="T2072"/>
  <c r="U2072"/>
  <c r="X2072"/>
  <c r="Y2072"/>
  <c r="Z2072"/>
  <c r="AA2072"/>
  <c r="AB2072"/>
  <c r="AC2072"/>
  <c r="AD2072"/>
  <c r="AE2072"/>
  <c r="AF2072"/>
  <c r="AG2072"/>
  <c r="AH2072"/>
  <c r="AI2072"/>
  <c r="AJ2072"/>
  <c r="AK2072"/>
  <c r="C2073"/>
  <c r="H2073"/>
  <c r="I2073"/>
  <c r="J2073"/>
  <c r="K2073"/>
  <c r="M2073"/>
  <c r="P2073"/>
  <c r="R2073"/>
  <c r="S2073"/>
  <c r="T2073"/>
  <c r="U2073"/>
  <c r="X2073"/>
  <c r="Y2073"/>
  <c r="Z2073"/>
  <c r="AA2073"/>
  <c r="AB2073"/>
  <c r="AC2073"/>
  <c r="AD2073"/>
  <c r="AE2073"/>
  <c r="AF2073"/>
  <c r="AG2073"/>
  <c r="AH2073"/>
  <c r="AI2073"/>
  <c r="AJ2073"/>
  <c r="AK2073"/>
  <c r="C2074"/>
  <c r="H2074"/>
  <c r="I2074"/>
  <c r="J2074"/>
  <c r="K2074"/>
  <c r="M2074"/>
  <c r="P2074"/>
  <c r="R2074"/>
  <c r="S2074"/>
  <c r="T2074"/>
  <c r="U2074"/>
  <c r="X2074"/>
  <c r="Y2074"/>
  <c r="Z2074"/>
  <c r="AA2074"/>
  <c r="AB2074"/>
  <c r="AC2074"/>
  <c r="AD2074"/>
  <c r="AE2074"/>
  <c r="AF2074"/>
  <c r="AG2074"/>
  <c r="AH2074"/>
  <c r="AI2074"/>
  <c r="AJ2074"/>
  <c r="AK2074"/>
  <c r="C2075"/>
  <c r="H2075"/>
  <c r="I2075"/>
  <c r="J2075"/>
  <c r="K2075"/>
  <c r="M2075"/>
  <c r="P2075"/>
  <c r="R2075"/>
  <c r="S2075"/>
  <c r="T2075"/>
  <c r="U2075"/>
  <c r="X2075"/>
  <c r="Y2075"/>
  <c r="Z2075"/>
  <c r="AA2075"/>
  <c r="AB2075"/>
  <c r="AC2075"/>
  <c r="AD2075"/>
  <c r="AE2075"/>
  <c r="AF2075"/>
  <c r="AG2075"/>
  <c r="AH2075"/>
  <c r="AI2075"/>
  <c r="AJ2075"/>
  <c r="AK2075"/>
  <c r="C2076"/>
  <c r="H2076"/>
  <c r="I2076"/>
  <c r="J2076"/>
  <c r="K2076"/>
  <c r="M2076"/>
  <c r="P2076"/>
  <c r="R2076"/>
  <c r="S2076"/>
  <c r="T2076"/>
  <c r="U2076"/>
  <c r="X2076"/>
  <c r="Y2076"/>
  <c r="Z2076"/>
  <c r="AA2076"/>
  <c r="AB2076"/>
  <c r="AC2076"/>
  <c r="AD2076"/>
  <c r="AE2076"/>
  <c r="AF2076"/>
  <c r="AG2076"/>
  <c r="AH2076"/>
  <c r="AI2076"/>
  <c r="AJ2076"/>
  <c r="AK2076"/>
  <c r="C2077"/>
  <c r="H2077"/>
  <c r="I2077"/>
  <c r="J2077"/>
  <c r="K2077"/>
  <c r="M2077"/>
  <c r="P2077"/>
  <c r="R2077"/>
  <c r="S2077"/>
  <c r="T2077"/>
  <c r="U2077"/>
  <c r="X2077"/>
  <c r="Y2077"/>
  <c r="Z2077"/>
  <c r="AA2077"/>
  <c r="AB2077"/>
  <c r="AC2077"/>
  <c r="AD2077"/>
  <c r="AE2077"/>
  <c r="AF2077"/>
  <c r="AG2077"/>
  <c r="AH2077"/>
  <c r="AI2077"/>
  <c r="AJ2077"/>
  <c r="AK2077"/>
  <c r="C2078"/>
  <c r="H2078"/>
  <c r="I2078"/>
  <c r="J2078"/>
  <c r="K2078"/>
  <c r="M2078"/>
  <c r="P2078"/>
  <c r="R2078"/>
  <c r="S2078"/>
  <c r="T2078"/>
  <c r="U2078"/>
  <c r="X2078"/>
  <c r="Y2078"/>
  <c r="Z2078"/>
  <c r="AA2078"/>
  <c r="AB2078"/>
  <c r="AC2078"/>
  <c r="AD2078"/>
  <c r="AE2078"/>
  <c r="AF2078"/>
  <c r="AG2078"/>
  <c r="AH2078"/>
  <c r="AI2078"/>
  <c r="AJ2078"/>
  <c r="AK2078"/>
  <c r="C2079"/>
  <c r="H2079"/>
  <c r="I2079"/>
  <c r="J2079"/>
  <c r="K2079"/>
  <c r="M2079"/>
  <c r="P2079"/>
  <c r="R2079"/>
  <c r="S2079"/>
  <c r="T2079"/>
  <c r="U2079"/>
  <c r="X2079"/>
  <c r="Y2079"/>
  <c r="Z2079"/>
  <c r="AA2079"/>
  <c r="AB2079"/>
  <c r="AC2079"/>
  <c r="AD2079"/>
  <c r="AE2079"/>
  <c r="AF2079"/>
  <c r="AG2079"/>
  <c r="AH2079"/>
  <c r="AI2079"/>
  <c r="AJ2079"/>
  <c r="AK2079"/>
  <c r="C2080"/>
  <c r="H2080"/>
  <c r="I2080"/>
  <c r="J2080"/>
  <c r="K2080"/>
  <c r="M2080"/>
  <c r="P2080"/>
  <c r="R2080"/>
  <c r="S2080"/>
  <c r="T2080"/>
  <c r="U2080"/>
  <c r="X2080"/>
  <c r="Y2080"/>
  <c r="Z2080"/>
  <c r="AA2080"/>
  <c r="AB2080"/>
  <c r="AC2080"/>
  <c r="AD2080"/>
  <c r="AE2080"/>
  <c r="AF2080"/>
  <c r="AG2080"/>
  <c r="AH2080"/>
  <c r="AI2080"/>
  <c r="AJ2080"/>
  <c r="AK2080"/>
  <c r="C2081"/>
  <c r="H2081"/>
  <c r="I2081"/>
  <c r="J2081"/>
  <c r="K2081"/>
  <c r="M2081"/>
  <c r="P2081"/>
  <c r="R2081"/>
  <c r="S2081"/>
  <c r="T2081"/>
  <c r="U2081"/>
  <c r="X2081"/>
  <c r="Y2081"/>
  <c r="Z2081"/>
  <c r="AA2081"/>
  <c r="AB2081"/>
  <c r="AC2081"/>
  <c r="AD2081"/>
  <c r="AE2081"/>
  <c r="AF2081"/>
  <c r="AG2081"/>
  <c r="AH2081"/>
  <c r="AI2081"/>
  <c r="AJ2081"/>
  <c r="AK2081"/>
  <c r="C2062"/>
  <c r="H2062"/>
  <c r="I2062"/>
  <c r="J2062"/>
  <c r="K2062"/>
  <c r="M2062"/>
  <c r="P2062"/>
  <c r="R2062"/>
  <c r="S2062"/>
  <c r="T2062"/>
  <c r="U2062"/>
  <c r="X2062"/>
  <c r="Y2062"/>
  <c r="Z2062"/>
  <c r="AA2062"/>
  <c r="AB2062"/>
  <c r="AC2062"/>
  <c r="AD2062"/>
  <c r="AE2062"/>
  <c r="AF2062"/>
  <c r="AG2062"/>
  <c r="AH2062"/>
  <c r="AI2062"/>
  <c r="AJ2062"/>
  <c r="AK2062"/>
  <c r="C2063"/>
  <c r="H2063"/>
  <c r="I2063"/>
  <c r="J2063"/>
  <c r="K2063"/>
  <c r="M2063"/>
  <c r="P2063"/>
  <c r="R2063"/>
  <c r="S2063"/>
  <c r="T2063"/>
  <c r="U2063"/>
  <c r="X2063"/>
  <c r="Y2063"/>
  <c r="Z2063"/>
  <c r="AA2063"/>
  <c r="AB2063"/>
  <c r="AC2063"/>
  <c r="AD2063"/>
  <c r="AE2063"/>
  <c r="AF2063"/>
  <c r="AG2063"/>
  <c r="AH2063"/>
  <c r="AI2063"/>
  <c r="AJ2063"/>
  <c r="AK2063"/>
  <c r="C2064"/>
  <c r="H2064"/>
  <c r="I2064"/>
  <c r="J2064"/>
  <c r="K2064"/>
  <c r="M2064"/>
  <c r="P2064"/>
  <c r="R2064"/>
  <c r="S2064"/>
  <c r="T2064"/>
  <c r="U2064"/>
  <c r="X2064"/>
  <c r="Y2064"/>
  <c r="Z2064"/>
  <c r="AA2064"/>
  <c r="AB2064"/>
  <c r="AC2064"/>
  <c r="AD2064"/>
  <c r="AE2064"/>
  <c r="AF2064"/>
  <c r="AG2064"/>
  <c r="AH2064"/>
  <c r="AI2064"/>
  <c r="AJ2064"/>
  <c r="AK2064"/>
  <c r="C2065"/>
  <c r="H2065"/>
  <c r="I2065"/>
  <c r="J2065"/>
  <c r="K2065"/>
  <c r="M2065"/>
  <c r="P2065"/>
  <c r="R2065"/>
  <c r="S2065"/>
  <c r="T2065"/>
  <c r="U2065"/>
  <c r="X2065"/>
  <c r="Y2065"/>
  <c r="Z2065"/>
  <c r="AA2065"/>
  <c r="AB2065"/>
  <c r="AC2065"/>
  <c r="AD2065"/>
  <c r="AE2065"/>
  <c r="AF2065"/>
  <c r="AG2065"/>
  <c r="AH2065"/>
  <c r="AI2065"/>
  <c r="AJ2065"/>
  <c r="AK2065"/>
  <c r="C2066"/>
  <c r="H2066"/>
  <c r="I2066"/>
  <c r="J2066"/>
  <c r="K2066"/>
  <c r="M2066"/>
  <c r="P2066"/>
  <c r="R2066"/>
  <c r="S2066"/>
  <c r="T2066"/>
  <c r="U2066"/>
  <c r="X2066"/>
  <c r="Y2066"/>
  <c r="Z2066"/>
  <c r="AA2066"/>
  <c r="AB2066"/>
  <c r="AC2066"/>
  <c r="AD2066"/>
  <c r="AE2066"/>
  <c r="AF2066"/>
  <c r="AG2066"/>
  <c r="AH2066"/>
  <c r="AI2066"/>
  <c r="AJ2066"/>
  <c r="AK2066"/>
  <c r="C2067"/>
  <c r="H2067"/>
  <c r="I2067"/>
  <c r="J2067"/>
  <c r="K2067"/>
  <c r="M2067"/>
  <c r="P2067"/>
  <c r="R2067"/>
  <c r="S2067"/>
  <c r="T2067"/>
  <c r="U2067"/>
  <c r="X2067"/>
  <c r="Y2067"/>
  <c r="Z2067"/>
  <c r="AA2067"/>
  <c r="AB2067"/>
  <c r="AC2067"/>
  <c r="AD2067"/>
  <c r="AE2067"/>
  <c r="AF2067"/>
  <c r="AG2067"/>
  <c r="AH2067"/>
  <c r="AI2067"/>
  <c r="AJ2067"/>
  <c r="AK2067"/>
  <c r="C2068"/>
  <c r="H2068"/>
  <c r="I2068"/>
  <c r="J2068"/>
  <c r="K2068"/>
  <c r="M2068"/>
  <c r="P2068"/>
  <c r="R2068"/>
  <c r="S2068"/>
  <c r="T2068"/>
  <c r="U2068"/>
  <c r="X2068"/>
  <c r="Y2068"/>
  <c r="Z2068"/>
  <c r="AA2068"/>
  <c r="AB2068"/>
  <c r="AC2068"/>
  <c r="AD2068"/>
  <c r="AE2068"/>
  <c r="AF2068"/>
  <c r="AG2068"/>
  <c r="AH2068"/>
  <c r="AI2068"/>
  <c r="AJ2068"/>
  <c r="AK2068"/>
  <c r="C2069"/>
  <c r="H2069"/>
  <c r="I2069"/>
  <c r="J2069"/>
  <c r="K2069"/>
  <c r="M2069"/>
  <c r="P2069"/>
  <c r="R2069"/>
  <c r="S2069"/>
  <c r="T2069"/>
  <c r="U2069"/>
  <c r="X2069"/>
  <c r="Y2069"/>
  <c r="Z2069"/>
  <c r="AA2069"/>
  <c r="AB2069"/>
  <c r="AC2069"/>
  <c r="AD2069"/>
  <c r="AE2069"/>
  <c r="AF2069"/>
  <c r="AG2069"/>
  <c r="AH2069"/>
  <c r="AI2069"/>
  <c r="AJ2069"/>
  <c r="AK2069"/>
  <c r="C2070"/>
  <c r="H2070"/>
  <c r="I2070"/>
  <c r="J2070"/>
  <c r="K2070"/>
  <c r="M2070"/>
  <c r="P2070"/>
  <c r="R2070"/>
  <c r="S2070"/>
  <c r="T2070"/>
  <c r="U2070"/>
  <c r="X2070"/>
  <c r="Y2070"/>
  <c r="Z2070"/>
  <c r="AA2070"/>
  <c r="AB2070"/>
  <c r="AC2070"/>
  <c r="AD2070"/>
  <c r="AE2070"/>
  <c r="AF2070"/>
  <c r="AG2070"/>
  <c r="AH2070"/>
  <c r="AI2070"/>
  <c r="AJ2070"/>
  <c r="AK2070"/>
  <c r="C2071"/>
  <c r="H2071"/>
  <c r="I2071"/>
  <c r="J2071"/>
  <c r="K2071"/>
  <c r="M2071"/>
  <c r="P2071"/>
  <c r="R2071"/>
  <c r="S2071"/>
  <c r="T2071"/>
  <c r="U2071"/>
  <c r="X2071"/>
  <c r="Y2071"/>
  <c r="Z2071"/>
  <c r="AA2071"/>
  <c r="AB2071"/>
  <c r="AC2071"/>
  <c r="AD2071"/>
  <c r="AE2071"/>
  <c r="AF2071"/>
  <c r="AG2071"/>
  <c r="AH2071"/>
  <c r="AI2071"/>
  <c r="AJ2071"/>
  <c r="AK2071"/>
  <c r="C2052"/>
  <c r="H2052"/>
  <c r="I2052"/>
  <c r="J2052"/>
  <c r="K2052"/>
  <c r="M2052"/>
  <c r="P2052"/>
  <c r="R2052"/>
  <c r="S2052"/>
  <c r="T2052"/>
  <c r="U2052"/>
  <c r="X2052"/>
  <c r="Y2052"/>
  <c r="Z2052"/>
  <c r="AA2052"/>
  <c r="AB2052"/>
  <c r="AC2052"/>
  <c r="AD2052"/>
  <c r="AE2052"/>
  <c r="AF2052"/>
  <c r="AG2052"/>
  <c r="AH2052"/>
  <c r="AI2052"/>
  <c r="AJ2052"/>
  <c r="AK2052"/>
  <c r="C2053"/>
  <c r="H2053"/>
  <c r="I2053"/>
  <c r="J2053"/>
  <c r="K2053"/>
  <c r="M2053"/>
  <c r="P2053"/>
  <c r="R2053"/>
  <c r="S2053"/>
  <c r="T2053"/>
  <c r="U2053"/>
  <c r="X2053"/>
  <c r="Y2053"/>
  <c r="Z2053"/>
  <c r="AA2053"/>
  <c r="AB2053"/>
  <c r="AC2053"/>
  <c r="AD2053"/>
  <c r="AE2053"/>
  <c r="AF2053"/>
  <c r="AG2053"/>
  <c r="AH2053"/>
  <c r="AI2053"/>
  <c r="AJ2053"/>
  <c r="AK2053"/>
  <c r="C2054"/>
  <c r="H2054"/>
  <c r="I2054"/>
  <c r="J2054"/>
  <c r="K2054"/>
  <c r="M2054"/>
  <c r="P2054"/>
  <c r="R2054"/>
  <c r="S2054"/>
  <c r="T2054"/>
  <c r="U2054"/>
  <c r="X2054"/>
  <c r="Y2054"/>
  <c r="Z2054"/>
  <c r="AA2054"/>
  <c r="AB2054"/>
  <c r="AC2054"/>
  <c r="AD2054"/>
  <c r="AE2054"/>
  <c r="AF2054"/>
  <c r="AG2054"/>
  <c r="AH2054"/>
  <c r="AI2054"/>
  <c r="AJ2054"/>
  <c r="AK2054"/>
  <c r="C2055"/>
  <c r="H2055"/>
  <c r="I2055"/>
  <c r="J2055"/>
  <c r="K2055"/>
  <c r="M2055"/>
  <c r="P2055"/>
  <c r="R2055"/>
  <c r="S2055"/>
  <c r="T2055"/>
  <c r="U2055"/>
  <c r="X2055"/>
  <c r="Y2055"/>
  <c r="Z2055"/>
  <c r="AA2055"/>
  <c r="AB2055"/>
  <c r="AC2055"/>
  <c r="AD2055"/>
  <c r="AE2055"/>
  <c r="AF2055"/>
  <c r="AG2055"/>
  <c r="AH2055"/>
  <c r="AI2055"/>
  <c r="AJ2055"/>
  <c r="AK2055"/>
  <c r="C2056"/>
  <c r="H2056"/>
  <c r="I2056"/>
  <c r="J2056"/>
  <c r="K2056"/>
  <c r="M2056"/>
  <c r="P2056"/>
  <c r="R2056"/>
  <c r="S2056"/>
  <c r="T2056"/>
  <c r="U2056"/>
  <c r="X2056"/>
  <c r="Y2056"/>
  <c r="Z2056"/>
  <c r="AA2056"/>
  <c r="AB2056"/>
  <c r="AC2056"/>
  <c r="AD2056"/>
  <c r="AE2056"/>
  <c r="AF2056"/>
  <c r="AG2056"/>
  <c r="AH2056"/>
  <c r="AI2056"/>
  <c r="AJ2056"/>
  <c r="AK2056"/>
  <c r="C2057"/>
  <c r="H2057"/>
  <c r="I2057"/>
  <c r="J2057"/>
  <c r="K2057"/>
  <c r="M2057"/>
  <c r="P2057"/>
  <c r="R2057"/>
  <c r="S2057"/>
  <c r="T2057"/>
  <c r="U2057"/>
  <c r="X2057"/>
  <c r="Y2057"/>
  <c r="Z2057"/>
  <c r="AA2057"/>
  <c r="AB2057"/>
  <c r="AC2057"/>
  <c r="AD2057"/>
  <c r="AE2057"/>
  <c r="AF2057"/>
  <c r="AG2057"/>
  <c r="AH2057"/>
  <c r="AI2057"/>
  <c r="AJ2057"/>
  <c r="AK2057"/>
  <c r="C2058"/>
  <c r="H2058"/>
  <c r="I2058"/>
  <c r="J2058"/>
  <c r="K2058"/>
  <c r="M2058"/>
  <c r="P2058"/>
  <c r="R2058"/>
  <c r="S2058"/>
  <c r="T2058"/>
  <c r="U2058"/>
  <c r="X2058"/>
  <c r="Y2058"/>
  <c r="Z2058"/>
  <c r="AA2058"/>
  <c r="AB2058"/>
  <c r="AC2058"/>
  <c r="AD2058"/>
  <c r="AE2058"/>
  <c r="AF2058"/>
  <c r="AG2058"/>
  <c r="AH2058"/>
  <c r="AI2058"/>
  <c r="AJ2058"/>
  <c r="AK2058"/>
  <c r="C2059"/>
  <c r="H2059"/>
  <c r="I2059"/>
  <c r="J2059"/>
  <c r="K2059"/>
  <c r="M2059"/>
  <c r="P2059"/>
  <c r="R2059"/>
  <c r="S2059"/>
  <c r="T2059"/>
  <c r="U2059"/>
  <c r="X2059"/>
  <c r="Y2059"/>
  <c r="Z2059"/>
  <c r="AA2059"/>
  <c r="AB2059"/>
  <c r="AC2059"/>
  <c r="AD2059"/>
  <c r="AE2059"/>
  <c r="AF2059"/>
  <c r="AG2059"/>
  <c r="AH2059"/>
  <c r="AI2059"/>
  <c r="AJ2059"/>
  <c r="AK2059"/>
  <c r="C2060"/>
  <c r="H2060"/>
  <c r="I2060"/>
  <c r="J2060"/>
  <c r="K2060"/>
  <c r="M2060"/>
  <c r="P2060"/>
  <c r="R2060"/>
  <c r="S2060"/>
  <c r="T2060"/>
  <c r="U2060"/>
  <c r="X2060"/>
  <c r="Y2060"/>
  <c r="Z2060"/>
  <c r="AA2060"/>
  <c r="AB2060"/>
  <c r="AC2060"/>
  <c r="AD2060"/>
  <c r="AE2060"/>
  <c r="AF2060"/>
  <c r="AG2060"/>
  <c r="AH2060"/>
  <c r="AI2060"/>
  <c r="AJ2060"/>
  <c r="AK2060"/>
  <c r="C2061"/>
  <c r="H2061"/>
  <c r="I2061"/>
  <c r="J2061"/>
  <c r="K2061"/>
  <c r="M2061"/>
  <c r="P2061"/>
  <c r="R2061"/>
  <c r="S2061"/>
  <c r="T2061"/>
  <c r="U2061"/>
  <c r="X2061"/>
  <c r="Y2061"/>
  <c r="Z2061"/>
  <c r="AA2061"/>
  <c r="AB2061"/>
  <c r="AC2061"/>
  <c r="AD2061"/>
  <c r="AE2061"/>
  <c r="AF2061"/>
  <c r="AG2061"/>
  <c r="AH2061"/>
  <c r="AI2061"/>
  <c r="AJ2061"/>
  <c r="AK2061"/>
  <c r="C2042"/>
  <c r="H2042"/>
  <c r="I2042"/>
  <c r="J2042"/>
  <c r="K2042"/>
  <c r="M2042"/>
  <c r="P2042"/>
  <c r="R2042"/>
  <c r="S2042"/>
  <c r="T2042"/>
  <c r="U2042"/>
  <c r="X2042"/>
  <c r="Y2042"/>
  <c r="Z2042"/>
  <c r="AA2042"/>
  <c r="AB2042"/>
  <c r="AC2042"/>
  <c r="AD2042"/>
  <c r="AE2042"/>
  <c r="AF2042"/>
  <c r="AG2042"/>
  <c r="AH2042"/>
  <c r="AI2042"/>
  <c r="AJ2042"/>
  <c r="AK2042"/>
  <c r="C2043"/>
  <c r="H2043"/>
  <c r="I2043"/>
  <c r="J2043"/>
  <c r="K2043"/>
  <c r="M2043"/>
  <c r="P2043"/>
  <c r="R2043"/>
  <c r="S2043"/>
  <c r="T2043"/>
  <c r="U2043"/>
  <c r="X2043"/>
  <c r="Y2043"/>
  <c r="Z2043"/>
  <c r="AA2043"/>
  <c r="AB2043"/>
  <c r="AC2043"/>
  <c r="AD2043"/>
  <c r="AE2043"/>
  <c r="AF2043"/>
  <c r="AG2043"/>
  <c r="AH2043"/>
  <c r="AI2043"/>
  <c r="AJ2043"/>
  <c r="AK2043"/>
  <c r="C2044"/>
  <c r="H2044"/>
  <c r="I2044"/>
  <c r="J2044"/>
  <c r="K2044"/>
  <c r="M2044"/>
  <c r="P2044"/>
  <c r="R2044"/>
  <c r="S2044"/>
  <c r="T2044"/>
  <c r="U2044"/>
  <c r="X2044"/>
  <c r="Y2044"/>
  <c r="Z2044"/>
  <c r="AA2044"/>
  <c r="AB2044"/>
  <c r="AC2044"/>
  <c r="AD2044"/>
  <c r="AE2044"/>
  <c r="AF2044"/>
  <c r="AG2044"/>
  <c r="AH2044"/>
  <c r="AI2044"/>
  <c r="AJ2044"/>
  <c r="AK2044"/>
  <c r="C2045"/>
  <c r="H2045"/>
  <c r="I2045"/>
  <c r="J2045"/>
  <c r="K2045"/>
  <c r="M2045"/>
  <c r="P2045"/>
  <c r="R2045"/>
  <c r="S2045"/>
  <c r="T2045"/>
  <c r="U2045"/>
  <c r="X2045"/>
  <c r="Y2045"/>
  <c r="Z2045"/>
  <c r="AA2045"/>
  <c r="AB2045"/>
  <c r="AC2045"/>
  <c r="AD2045"/>
  <c r="AE2045"/>
  <c r="AF2045"/>
  <c r="AG2045"/>
  <c r="AH2045"/>
  <c r="AI2045"/>
  <c r="AJ2045"/>
  <c r="AK2045"/>
  <c r="C2046"/>
  <c r="H2046"/>
  <c r="I2046"/>
  <c r="J2046"/>
  <c r="K2046"/>
  <c r="M2046"/>
  <c r="P2046"/>
  <c r="R2046"/>
  <c r="S2046"/>
  <c r="T2046"/>
  <c r="U2046"/>
  <c r="X2046"/>
  <c r="Y2046"/>
  <c r="Z2046"/>
  <c r="AA2046"/>
  <c r="AB2046"/>
  <c r="AC2046"/>
  <c r="AD2046"/>
  <c r="AE2046"/>
  <c r="AF2046"/>
  <c r="AG2046"/>
  <c r="AH2046"/>
  <c r="AI2046"/>
  <c r="AJ2046"/>
  <c r="AK2046"/>
  <c r="C2047"/>
  <c r="H2047"/>
  <c r="I2047"/>
  <c r="J2047"/>
  <c r="K2047"/>
  <c r="M2047"/>
  <c r="P2047"/>
  <c r="R2047"/>
  <c r="S2047"/>
  <c r="T2047"/>
  <c r="U2047"/>
  <c r="X2047"/>
  <c r="Y2047"/>
  <c r="Z2047"/>
  <c r="AA2047"/>
  <c r="AB2047"/>
  <c r="AC2047"/>
  <c r="AD2047"/>
  <c r="AE2047"/>
  <c r="AF2047"/>
  <c r="AG2047"/>
  <c r="AH2047"/>
  <c r="AI2047"/>
  <c r="AJ2047"/>
  <c r="AK2047"/>
  <c r="C2048"/>
  <c r="H2048"/>
  <c r="I2048"/>
  <c r="J2048"/>
  <c r="K2048"/>
  <c r="M2048"/>
  <c r="P2048"/>
  <c r="R2048"/>
  <c r="S2048"/>
  <c r="T2048"/>
  <c r="U2048"/>
  <c r="X2048"/>
  <c r="Y2048"/>
  <c r="Z2048"/>
  <c r="AA2048"/>
  <c r="AB2048"/>
  <c r="AC2048"/>
  <c r="AD2048"/>
  <c r="AE2048"/>
  <c r="AF2048"/>
  <c r="AG2048"/>
  <c r="AH2048"/>
  <c r="AI2048"/>
  <c r="AJ2048"/>
  <c r="AK2048"/>
  <c r="C2049"/>
  <c r="H2049"/>
  <c r="I2049"/>
  <c r="J2049"/>
  <c r="K2049"/>
  <c r="M2049"/>
  <c r="P2049"/>
  <c r="R2049"/>
  <c r="S2049"/>
  <c r="T2049"/>
  <c r="U2049"/>
  <c r="X2049"/>
  <c r="Y2049"/>
  <c r="Z2049"/>
  <c r="AA2049"/>
  <c r="AB2049"/>
  <c r="AC2049"/>
  <c r="AD2049"/>
  <c r="AE2049"/>
  <c r="AF2049"/>
  <c r="AG2049"/>
  <c r="AH2049"/>
  <c r="AI2049"/>
  <c r="AJ2049"/>
  <c r="AK2049"/>
  <c r="C2050"/>
  <c r="H2050"/>
  <c r="I2050"/>
  <c r="J2050"/>
  <c r="K2050"/>
  <c r="M2050"/>
  <c r="P2050"/>
  <c r="R2050"/>
  <c r="S2050"/>
  <c r="T2050"/>
  <c r="U2050"/>
  <c r="X2050"/>
  <c r="Y2050"/>
  <c r="Z2050"/>
  <c r="AA2050"/>
  <c r="AB2050"/>
  <c r="AC2050"/>
  <c r="AD2050"/>
  <c r="AE2050"/>
  <c r="AF2050"/>
  <c r="AG2050"/>
  <c r="AH2050"/>
  <c r="AI2050"/>
  <c r="AJ2050"/>
  <c r="AK2050"/>
  <c r="C2051"/>
  <c r="H2051"/>
  <c r="I2051"/>
  <c r="J2051"/>
  <c r="K2051"/>
  <c r="M2051"/>
  <c r="P2051"/>
  <c r="R2051"/>
  <c r="S2051"/>
  <c r="T2051"/>
  <c r="U2051"/>
  <c r="X2051"/>
  <c r="Y2051"/>
  <c r="Z2051"/>
  <c r="AA2051"/>
  <c r="AB2051"/>
  <c r="AC2051"/>
  <c r="AD2051"/>
  <c r="AE2051"/>
  <c r="AF2051"/>
  <c r="AG2051"/>
  <c r="AH2051"/>
  <c r="AI2051"/>
  <c r="AJ2051"/>
  <c r="AK2051"/>
  <c r="C2032"/>
  <c r="H2032"/>
  <c r="I2032"/>
  <c r="J2032"/>
  <c r="K2032"/>
  <c r="M2032"/>
  <c r="P2032"/>
  <c r="R2032"/>
  <c r="S2032"/>
  <c r="T2032"/>
  <c r="U2032"/>
  <c r="X2032"/>
  <c r="Y2032"/>
  <c r="Z2032"/>
  <c r="AA2032"/>
  <c r="AB2032"/>
  <c r="AC2032"/>
  <c r="AD2032"/>
  <c r="AE2032"/>
  <c r="AF2032"/>
  <c r="AG2032"/>
  <c r="AH2032"/>
  <c r="AI2032"/>
  <c r="AJ2032"/>
  <c r="AK2032"/>
  <c r="C2033"/>
  <c r="H2033"/>
  <c r="I2033"/>
  <c r="J2033"/>
  <c r="K2033"/>
  <c r="M2033"/>
  <c r="P2033"/>
  <c r="R2033"/>
  <c r="S2033"/>
  <c r="T2033"/>
  <c r="U2033"/>
  <c r="X2033"/>
  <c r="Y2033"/>
  <c r="Z2033"/>
  <c r="AA2033"/>
  <c r="AB2033"/>
  <c r="AC2033"/>
  <c r="AD2033"/>
  <c r="AE2033"/>
  <c r="AF2033"/>
  <c r="AG2033"/>
  <c r="AH2033"/>
  <c r="AI2033"/>
  <c r="AJ2033"/>
  <c r="AK2033"/>
  <c r="C2034"/>
  <c r="H2034"/>
  <c r="I2034"/>
  <c r="J2034"/>
  <c r="K2034"/>
  <c r="M2034"/>
  <c r="P2034"/>
  <c r="R2034"/>
  <c r="S2034"/>
  <c r="T2034"/>
  <c r="U2034"/>
  <c r="X2034"/>
  <c r="Y2034"/>
  <c r="Z2034"/>
  <c r="AA2034"/>
  <c r="AB2034"/>
  <c r="AC2034"/>
  <c r="AD2034"/>
  <c r="AE2034"/>
  <c r="AF2034"/>
  <c r="AG2034"/>
  <c r="AH2034"/>
  <c r="AI2034"/>
  <c r="AJ2034"/>
  <c r="AK2034"/>
  <c r="C2035"/>
  <c r="H2035"/>
  <c r="I2035"/>
  <c r="J2035"/>
  <c r="K2035"/>
  <c r="M2035"/>
  <c r="P2035"/>
  <c r="R2035"/>
  <c r="S2035"/>
  <c r="T2035"/>
  <c r="U2035"/>
  <c r="X2035"/>
  <c r="Y2035"/>
  <c r="Z2035"/>
  <c r="AA2035"/>
  <c r="AB2035"/>
  <c r="AC2035"/>
  <c r="AD2035"/>
  <c r="AE2035"/>
  <c r="AF2035"/>
  <c r="AG2035"/>
  <c r="AH2035"/>
  <c r="AI2035"/>
  <c r="AJ2035"/>
  <c r="AK2035"/>
  <c r="C2036"/>
  <c r="H2036"/>
  <c r="I2036"/>
  <c r="J2036"/>
  <c r="K2036"/>
  <c r="M2036"/>
  <c r="P2036"/>
  <c r="R2036"/>
  <c r="S2036"/>
  <c r="T2036"/>
  <c r="U2036"/>
  <c r="X2036"/>
  <c r="Y2036"/>
  <c r="Z2036"/>
  <c r="AA2036"/>
  <c r="AB2036"/>
  <c r="AC2036"/>
  <c r="AD2036"/>
  <c r="AE2036"/>
  <c r="AF2036"/>
  <c r="AG2036"/>
  <c r="AH2036"/>
  <c r="AI2036"/>
  <c r="AJ2036"/>
  <c r="AK2036"/>
  <c r="C2037"/>
  <c r="H2037"/>
  <c r="I2037"/>
  <c r="J2037"/>
  <c r="K2037"/>
  <c r="M2037"/>
  <c r="P2037"/>
  <c r="R2037"/>
  <c r="S2037"/>
  <c r="T2037"/>
  <c r="U2037"/>
  <c r="X2037"/>
  <c r="Y2037"/>
  <c r="Z2037"/>
  <c r="AA2037"/>
  <c r="AB2037"/>
  <c r="AC2037"/>
  <c r="AD2037"/>
  <c r="AE2037"/>
  <c r="AF2037"/>
  <c r="AG2037"/>
  <c r="AH2037"/>
  <c r="AI2037"/>
  <c r="AJ2037"/>
  <c r="AK2037"/>
  <c r="C2038"/>
  <c r="H2038"/>
  <c r="I2038"/>
  <c r="J2038"/>
  <c r="K2038"/>
  <c r="M2038"/>
  <c r="P2038"/>
  <c r="R2038"/>
  <c r="S2038"/>
  <c r="T2038"/>
  <c r="U2038"/>
  <c r="X2038"/>
  <c r="Y2038"/>
  <c r="Z2038"/>
  <c r="AA2038"/>
  <c r="AB2038"/>
  <c r="AC2038"/>
  <c r="AD2038"/>
  <c r="AE2038"/>
  <c r="AF2038"/>
  <c r="AG2038"/>
  <c r="AH2038"/>
  <c r="AI2038"/>
  <c r="AJ2038"/>
  <c r="AK2038"/>
  <c r="C2039"/>
  <c r="H2039"/>
  <c r="I2039"/>
  <c r="J2039"/>
  <c r="K2039"/>
  <c r="M2039"/>
  <c r="P2039"/>
  <c r="R2039"/>
  <c r="S2039"/>
  <c r="T2039"/>
  <c r="U2039"/>
  <c r="X2039"/>
  <c r="Y2039"/>
  <c r="Z2039"/>
  <c r="AA2039"/>
  <c r="AB2039"/>
  <c r="AC2039"/>
  <c r="AD2039"/>
  <c r="AE2039"/>
  <c r="AF2039"/>
  <c r="AG2039"/>
  <c r="AH2039"/>
  <c r="AI2039"/>
  <c r="AJ2039"/>
  <c r="AK2039"/>
  <c r="C2040"/>
  <c r="H2040"/>
  <c r="I2040"/>
  <c r="J2040"/>
  <c r="K2040"/>
  <c r="M2040"/>
  <c r="P2040"/>
  <c r="R2040"/>
  <c r="S2040"/>
  <c r="T2040"/>
  <c r="U2040"/>
  <c r="X2040"/>
  <c r="Y2040"/>
  <c r="Z2040"/>
  <c r="AA2040"/>
  <c r="AB2040"/>
  <c r="AC2040"/>
  <c r="AD2040"/>
  <c r="AE2040"/>
  <c r="AF2040"/>
  <c r="AG2040"/>
  <c r="AH2040"/>
  <c r="AI2040"/>
  <c r="AJ2040"/>
  <c r="AK2040"/>
  <c r="C2041"/>
  <c r="H2041"/>
  <c r="I2041"/>
  <c r="J2041"/>
  <c r="K2041"/>
  <c r="M2041"/>
  <c r="P2041"/>
  <c r="R2041"/>
  <c r="S2041"/>
  <c r="T2041"/>
  <c r="U2041"/>
  <c r="X2041"/>
  <c r="Y2041"/>
  <c r="Z2041"/>
  <c r="AA2041"/>
  <c r="AB2041"/>
  <c r="AC2041"/>
  <c r="AD2041"/>
  <c r="AE2041"/>
  <c r="AF2041"/>
  <c r="AG2041"/>
  <c r="AH2041"/>
  <c r="AI2041"/>
  <c r="AJ2041"/>
  <c r="AK2041"/>
  <c r="C2022"/>
  <c r="H2022"/>
  <c r="I2022"/>
  <c r="J2022"/>
  <c r="K2022"/>
  <c r="M2022"/>
  <c r="P2022"/>
  <c r="R2022"/>
  <c r="S2022"/>
  <c r="T2022"/>
  <c r="U2022"/>
  <c r="X2022"/>
  <c r="Y2022"/>
  <c r="Z2022"/>
  <c r="AA2022"/>
  <c r="AB2022"/>
  <c r="AC2022"/>
  <c r="AD2022"/>
  <c r="AE2022"/>
  <c r="AF2022"/>
  <c r="AG2022"/>
  <c r="AH2022"/>
  <c r="AI2022"/>
  <c r="AJ2022"/>
  <c r="AK2022"/>
  <c r="C2023"/>
  <c r="H2023"/>
  <c r="I2023"/>
  <c r="J2023"/>
  <c r="K2023"/>
  <c r="M2023"/>
  <c r="P2023"/>
  <c r="R2023"/>
  <c r="S2023"/>
  <c r="T2023"/>
  <c r="U2023"/>
  <c r="X2023"/>
  <c r="Y2023"/>
  <c r="Z2023"/>
  <c r="AA2023"/>
  <c r="AB2023"/>
  <c r="AC2023"/>
  <c r="AD2023"/>
  <c r="AE2023"/>
  <c r="AF2023"/>
  <c r="AG2023"/>
  <c r="AH2023"/>
  <c r="AI2023"/>
  <c r="AJ2023"/>
  <c r="AK2023"/>
  <c r="C2024"/>
  <c r="H2024"/>
  <c r="I2024"/>
  <c r="J2024"/>
  <c r="K2024"/>
  <c r="M2024"/>
  <c r="P2024"/>
  <c r="R2024"/>
  <c r="S2024"/>
  <c r="T2024"/>
  <c r="U2024"/>
  <c r="X2024"/>
  <c r="Y2024"/>
  <c r="Z2024"/>
  <c r="AA2024"/>
  <c r="AB2024"/>
  <c r="AC2024"/>
  <c r="AD2024"/>
  <c r="AE2024"/>
  <c r="AF2024"/>
  <c r="AG2024"/>
  <c r="AH2024"/>
  <c r="AI2024"/>
  <c r="AJ2024"/>
  <c r="AK2024"/>
  <c r="C2025"/>
  <c r="H2025"/>
  <c r="I2025"/>
  <c r="J2025"/>
  <c r="K2025"/>
  <c r="M2025"/>
  <c r="P2025"/>
  <c r="R2025"/>
  <c r="S2025"/>
  <c r="T2025"/>
  <c r="U2025"/>
  <c r="X2025"/>
  <c r="Y2025"/>
  <c r="Z2025"/>
  <c r="AA2025"/>
  <c r="AB2025"/>
  <c r="AC2025"/>
  <c r="AD2025"/>
  <c r="AE2025"/>
  <c r="AF2025"/>
  <c r="AG2025"/>
  <c r="AH2025"/>
  <c r="AI2025"/>
  <c r="AJ2025"/>
  <c r="AK2025"/>
  <c r="C2026"/>
  <c r="H2026"/>
  <c r="I2026"/>
  <c r="J2026"/>
  <c r="K2026"/>
  <c r="M2026"/>
  <c r="P2026"/>
  <c r="R2026"/>
  <c r="S2026"/>
  <c r="T2026"/>
  <c r="U2026"/>
  <c r="X2026"/>
  <c r="Y2026"/>
  <c r="Z2026"/>
  <c r="AA2026"/>
  <c r="AB2026"/>
  <c r="AC2026"/>
  <c r="AD2026"/>
  <c r="AE2026"/>
  <c r="AF2026"/>
  <c r="AG2026"/>
  <c r="AH2026"/>
  <c r="AI2026"/>
  <c r="AJ2026"/>
  <c r="AK2026"/>
  <c r="C2027"/>
  <c r="H2027"/>
  <c r="I2027"/>
  <c r="J2027"/>
  <c r="K2027"/>
  <c r="M2027"/>
  <c r="P2027"/>
  <c r="R2027"/>
  <c r="S2027"/>
  <c r="T2027"/>
  <c r="U2027"/>
  <c r="X2027"/>
  <c r="Y2027"/>
  <c r="Z2027"/>
  <c r="AA2027"/>
  <c r="AB2027"/>
  <c r="AC2027"/>
  <c r="AD2027"/>
  <c r="AE2027"/>
  <c r="AF2027"/>
  <c r="AG2027"/>
  <c r="AH2027"/>
  <c r="AI2027"/>
  <c r="AJ2027"/>
  <c r="AK2027"/>
  <c r="C2028"/>
  <c r="H2028"/>
  <c r="I2028"/>
  <c r="J2028"/>
  <c r="K2028"/>
  <c r="M2028"/>
  <c r="P2028"/>
  <c r="R2028"/>
  <c r="S2028"/>
  <c r="T2028"/>
  <c r="U2028"/>
  <c r="X2028"/>
  <c r="Y2028"/>
  <c r="Z2028"/>
  <c r="AA2028"/>
  <c r="AB2028"/>
  <c r="AC2028"/>
  <c r="AD2028"/>
  <c r="AE2028"/>
  <c r="AF2028"/>
  <c r="AG2028"/>
  <c r="AH2028"/>
  <c r="AI2028"/>
  <c r="AJ2028"/>
  <c r="AK2028"/>
  <c r="C2029"/>
  <c r="H2029"/>
  <c r="I2029"/>
  <c r="J2029"/>
  <c r="K2029"/>
  <c r="M2029"/>
  <c r="P2029"/>
  <c r="R2029"/>
  <c r="S2029"/>
  <c r="T2029"/>
  <c r="U2029"/>
  <c r="X2029"/>
  <c r="Y2029"/>
  <c r="Z2029"/>
  <c r="AA2029"/>
  <c r="AB2029"/>
  <c r="AC2029"/>
  <c r="AD2029"/>
  <c r="AE2029"/>
  <c r="AF2029"/>
  <c r="AG2029"/>
  <c r="AH2029"/>
  <c r="AI2029"/>
  <c r="AJ2029"/>
  <c r="AK2029"/>
  <c r="C2030"/>
  <c r="H2030"/>
  <c r="I2030"/>
  <c r="J2030"/>
  <c r="K2030"/>
  <c r="M2030"/>
  <c r="P2030"/>
  <c r="R2030"/>
  <c r="S2030"/>
  <c r="T2030"/>
  <c r="U2030"/>
  <c r="X2030"/>
  <c r="Y2030"/>
  <c r="Z2030"/>
  <c r="AA2030"/>
  <c r="AB2030"/>
  <c r="AC2030"/>
  <c r="AD2030"/>
  <c r="AE2030"/>
  <c r="AF2030"/>
  <c r="AG2030"/>
  <c r="AH2030"/>
  <c r="AI2030"/>
  <c r="AJ2030"/>
  <c r="AK2030"/>
  <c r="C2031"/>
  <c r="H2031"/>
  <c r="I2031"/>
  <c r="J2031"/>
  <c r="K2031"/>
  <c r="M2031"/>
  <c r="P2031"/>
  <c r="R2031"/>
  <c r="S2031"/>
  <c r="T2031"/>
  <c r="U2031"/>
  <c r="X2031"/>
  <c r="Y2031"/>
  <c r="Z2031"/>
  <c r="AA2031"/>
  <c r="AB2031"/>
  <c r="AC2031"/>
  <c r="AD2031"/>
  <c r="AE2031"/>
  <c r="AF2031"/>
  <c r="AG2031"/>
  <c r="AH2031"/>
  <c r="AI2031"/>
  <c r="AJ2031"/>
  <c r="AK2031"/>
  <c r="C2012"/>
  <c r="H2012"/>
  <c r="I2012"/>
  <c r="J2012"/>
  <c r="K2012"/>
  <c r="M2012"/>
  <c r="P2012"/>
  <c r="R2012"/>
  <c r="S2012"/>
  <c r="T2012"/>
  <c r="U2012"/>
  <c r="X2012"/>
  <c r="Y2012"/>
  <c r="Z2012"/>
  <c r="AA2012"/>
  <c r="AB2012"/>
  <c r="AC2012"/>
  <c r="AD2012"/>
  <c r="AE2012"/>
  <c r="AF2012"/>
  <c r="AG2012"/>
  <c r="AH2012"/>
  <c r="AI2012"/>
  <c r="AJ2012"/>
  <c r="AK2012"/>
  <c r="C2013"/>
  <c r="H2013"/>
  <c r="I2013"/>
  <c r="J2013"/>
  <c r="K2013"/>
  <c r="M2013"/>
  <c r="P2013"/>
  <c r="R2013"/>
  <c r="S2013"/>
  <c r="T2013"/>
  <c r="U2013"/>
  <c r="X2013"/>
  <c r="Y2013"/>
  <c r="Z2013"/>
  <c r="AA2013"/>
  <c r="AB2013"/>
  <c r="AC2013"/>
  <c r="AD2013"/>
  <c r="AE2013"/>
  <c r="AF2013"/>
  <c r="AG2013"/>
  <c r="AH2013"/>
  <c r="AI2013"/>
  <c r="AJ2013"/>
  <c r="AK2013"/>
  <c r="C2014"/>
  <c r="H2014"/>
  <c r="I2014"/>
  <c r="J2014"/>
  <c r="K2014"/>
  <c r="M2014"/>
  <c r="P2014"/>
  <c r="R2014"/>
  <c r="S2014"/>
  <c r="T2014"/>
  <c r="U2014"/>
  <c r="X2014"/>
  <c r="Y2014"/>
  <c r="Z2014"/>
  <c r="AA2014"/>
  <c r="AB2014"/>
  <c r="AC2014"/>
  <c r="AD2014"/>
  <c r="AE2014"/>
  <c r="AF2014"/>
  <c r="AG2014"/>
  <c r="AH2014"/>
  <c r="AI2014"/>
  <c r="AJ2014"/>
  <c r="AK2014"/>
  <c r="C2015"/>
  <c r="H2015"/>
  <c r="I2015"/>
  <c r="J2015"/>
  <c r="K2015"/>
  <c r="M2015"/>
  <c r="P2015"/>
  <c r="R2015"/>
  <c r="S2015"/>
  <c r="T2015"/>
  <c r="U2015"/>
  <c r="X2015"/>
  <c r="Y2015"/>
  <c r="Z2015"/>
  <c r="AA2015"/>
  <c r="AB2015"/>
  <c r="AC2015"/>
  <c r="AD2015"/>
  <c r="AE2015"/>
  <c r="AF2015"/>
  <c r="AG2015"/>
  <c r="AH2015"/>
  <c r="AI2015"/>
  <c r="AJ2015"/>
  <c r="AK2015"/>
  <c r="C2016"/>
  <c r="H2016"/>
  <c r="I2016"/>
  <c r="J2016"/>
  <c r="K2016"/>
  <c r="M2016"/>
  <c r="P2016"/>
  <c r="R2016"/>
  <c r="S2016"/>
  <c r="T2016"/>
  <c r="U2016"/>
  <c r="X2016"/>
  <c r="Y2016"/>
  <c r="Z2016"/>
  <c r="AA2016"/>
  <c r="AB2016"/>
  <c r="AC2016"/>
  <c r="AD2016"/>
  <c r="AE2016"/>
  <c r="AF2016"/>
  <c r="AG2016"/>
  <c r="AH2016"/>
  <c r="AI2016"/>
  <c r="AJ2016"/>
  <c r="AK2016"/>
  <c r="C2017"/>
  <c r="H2017"/>
  <c r="I2017"/>
  <c r="J2017"/>
  <c r="K2017"/>
  <c r="M2017"/>
  <c r="P2017"/>
  <c r="R2017"/>
  <c r="S2017"/>
  <c r="T2017"/>
  <c r="U2017"/>
  <c r="X2017"/>
  <c r="Y2017"/>
  <c r="Z2017"/>
  <c r="AA2017"/>
  <c r="AB2017"/>
  <c r="AC2017"/>
  <c r="AD2017"/>
  <c r="AE2017"/>
  <c r="AF2017"/>
  <c r="AG2017"/>
  <c r="AH2017"/>
  <c r="AI2017"/>
  <c r="AJ2017"/>
  <c r="AK2017"/>
  <c r="C2018"/>
  <c r="H2018"/>
  <c r="I2018"/>
  <c r="J2018"/>
  <c r="K2018"/>
  <c r="M2018"/>
  <c r="P2018"/>
  <c r="R2018"/>
  <c r="S2018"/>
  <c r="T2018"/>
  <c r="U2018"/>
  <c r="X2018"/>
  <c r="Y2018"/>
  <c r="Z2018"/>
  <c r="AA2018"/>
  <c r="AB2018"/>
  <c r="AC2018"/>
  <c r="AD2018"/>
  <c r="AE2018"/>
  <c r="AF2018"/>
  <c r="AG2018"/>
  <c r="AH2018"/>
  <c r="AI2018"/>
  <c r="AJ2018"/>
  <c r="AK2018"/>
  <c r="C2019"/>
  <c r="H2019"/>
  <c r="I2019"/>
  <c r="J2019"/>
  <c r="K2019"/>
  <c r="M2019"/>
  <c r="P2019"/>
  <c r="R2019"/>
  <c r="S2019"/>
  <c r="T2019"/>
  <c r="U2019"/>
  <c r="X2019"/>
  <c r="Y2019"/>
  <c r="Z2019"/>
  <c r="AA2019"/>
  <c r="AB2019"/>
  <c r="AC2019"/>
  <c r="AD2019"/>
  <c r="AE2019"/>
  <c r="AF2019"/>
  <c r="AG2019"/>
  <c r="AH2019"/>
  <c r="AI2019"/>
  <c r="AJ2019"/>
  <c r="AK2019"/>
  <c r="C2020"/>
  <c r="H2020"/>
  <c r="I2020"/>
  <c r="J2020"/>
  <c r="K2020"/>
  <c r="M2020"/>
  <c r="P2020"/>
  <c r="R2020"/>
  <c r="S2020"/>
  <c r="T2020"/>
  <c r="U2020"/>
  <c r="X2020"/>
  <c r="Y2020"/>
  <c r="Z2020"/>
  <c r="AA2020"/>
  <c r="AB2020"/>
  <c r="AC2020"/>
  <c r="AD2020"/>
  <c r="AE2020"/>
  <c r="AF2020"/>
  <c r="AG2020"/>
  <c r="AH2020"/>
  <c r="AI2020"/>
  <c r="AJ2020"/>
  <c r="AK2020"/>
  <c r="C2021"/>
  <c r="H2021"/>
  <c r="I2021"/>
  <c r="J2021"/>
  <c r="K2021"/>
  <c r="M2021"/>
  <c r="P2021"/>
  <c r="R2021"/>
  <c r="S2021"/>
  <c r="T2021"/>
  <c r="U2021"/>
  <c r="X2021"/>
  <c r="Y2021"/>
  <c r="Z2021"/>
  <c r="AA2021"/>
  <c r="AB2021"/>
  <c r="AC2021"/>
  <c r="AD2021"/>
  <c r="AE2021"/>
  <c r="AF2021"/>
  <c r="AG2021"/>
  <c r="AH2021"/>
  <c r="AI2021"/>
  <c r="AJ2021"/>
  <c r="AK2021"/>
  <c r="C2002"/>
  <c r="H2002"/>
  <c r="I2002"/>
  <c r="J2002"/>
  <c r="K2002"/>
  <c r="M2002"/>
  <c r="P2002"/>
  <c r="R2002"/>
  <c r="S2002"/>
  <c r="T2002"/>
  <c r="U2002"/>
  <c r="X2002"/>
  <c r="Y2002"/>
  <c r="Z2002"/>
  <c r="AA2002"/>
  <c r="AB2002"/>
  <c r="AC2002"/>
  <c r="AD2002"/>
  <c r="AE2002"/>
  <c r="AF2002"/>
  <c r="AG2002"/>
  <c r="AH2002"/>
  <c r="AI2002"/>
  <c r="AJ2002"/>
  <c r="AK2002"/>
  <c r="C2003"/>
  <c r="H2003"/>
  <c r="I2003"/>
  <c r="J2003"/>
  <c r="K2003"/>
  <c r="M2003"/>
  <c r="P2003"/>
  <c r="R2003"/>
  <c r="S2003"/>
  <c r="T2003"/>
  <c r="U2003"/>
  <c r="X2003"/>
  <c r="Y2003"/>
  <c r="Z2003"/>
  <c r="AA2003"/>
  <c r="AB2003"/>
  <c r="AC2003"/>
  <c r="AD2003"/>
  <c r="AE2003"/>
  <c r="AF2003"/>
  <c r="AG2003"/>
  <c r="AH2003"/>
  <c r="AI2003"/>
  <c r="AJ2003"/>
  <c r="AK2003"/>
  <c r="C2004"/>
  <c r="H2004"/>
  <c r="I2004"/>
  <c r="J2004"/>
  <c r="K2004"/>
  <c r="M2004"/>
  <c r="P2004"/>
  <c r="R2004"/>
  <c r="S2004"/>
  <c r="T2004"/>
  <c r="U2004"/>
  <c r="X2004"/>
  <c r="Y2004"/>
  <c r="Z2004"/>
  <c r="AA2004"/>
  <c r="AB2004"/>
  <c r="AC2004"/>
  <c r="AD2004"/>
  <c r="AE2004"/>
  <c r="AF2004"/>
  <c r="AG2004"/>
  <c r="AH2004"/>
  <c r="AI2004"/>
  <c r="AJ2004"/>
  <c r="AK2004"/>
  <c r="C2005"/>
  <c r="H2005"/>
  <c r="I2005"/>
  <c r="J2005"/>
  <c r="K2005"/>
  <c r="M2005"/>
  <c r="P2005"/>
  <c r="R2005"/>
  <c r="S2005"/>
  <c r="T2005"/>
  <c r="U2005"/>
  <c r="X2005"/>
  <c r="Y2005"/>
  <c r="Z2005"/>
  <c r="AA2005"/>
  <c r="AB2005"/>
  <c r="AC2005"/>
  <c r="AD2005"/>
  <c r="AE2005"/>
  <c r="AF2005"/>
  <c r="AG2005"/>
  <c r="AH2005"/>
  <c r="AI2005"/>
  <c r="AJ2005"/>
  <c r="AK2005"/>
  <c r="C2006"/>
  <c r="H2006"/>
  <c r="I2006"/>
  <c r="J2006"/>
  <c r="K2006"/>
  <c r="M2006"/>
  <c r="P2006"/>
  <c r="R2006"/>
  <c r="S2006"/>
  <c r="T2006"/>
  <c r="U2006"/>
  <c r="X2006"/>
  <c r="Y2006"/>
  <c r="Z2006"/>
  <c r="AA2006"/>
  <c r="AB2006"/>
  <c r="AC2006"/>
  <c r="AD2006"/>
  <c r="AE2006"/>
  <c r="AF2006"/>
  <c r="AG2006"/>
  <c r="AH2006"/>
  <c r="AI2006"/>
  <c r="AJ2006"/>
  <c r="AK2006"/>
  <c r="C2007"/>
  <c r="H2007"/>
  <c r="I2007"/>
  <c r="J2007"/>
  <c r="K2007"/>
  <c r="M2007"/>
  <c r="P2007"/>
  <c r="R2007"/>
  <c r="S2007"/>
  <c r="T2007"/>
  <c r="U2007"/>
  <c r="X2007"/>
  <c r="Y2007"/>
  <c r="Z2007"/>
  <c r="AA2007"/>
  <c r="AB2007"/>
  <c r="AC2007"/>
  <c r="AD2007"/>
  <c r="AE2007"/>
  <c r="AF2007"/>
  <c r="AG2007"/>
  <c r="AH2007"/>
  <c r="AI2007"/>
  <c r="AJ2007"/>
  <c r="AK2007"/>
  <c r="C2008"/>
  <c r="H2008"/>
  <c r="I2008"/>
  <c r="J2008"/>
  <c r="K2008"/>
  <c r="M2008"/>
  <c r="P2008"/>
  <c r="R2008"/>
  <c r="S2008"/>
  <c r="T2008"/>
  <c r="U2008"/>
  <c r="X2008"/>
  <c r="Y2008"/>
  <c r="Z2008"/>
  <c r="AA2008"/>
  <c r="AB2008"/>
  <c r="AC2008"/>
  <c r="AD2008"/>
  <c r="AE2008"/>
  <c r="AF2008"/>
  <c r="AG2008"/>
  <c r="AH2008"/>
  <c r="AI2008"/>
  <c r="AJ2008"/>
  <c r="AK2008"/>
  <c r="C2009"/>
  <c r="H2009"/>
  <c r="I2009"/>
  <c r="J2009"/>
  <c r="K2009"/>
  <c r="M2009"/>
  <c r="P2009"/>
  <c r="R2009"/>
  <c r="S2009"/>
  <c r="T2009"/>
  <c r="U2009"/>
  <c r="X2009"/>
  <c r="Y2009"/>
  <c r="Z2009"/>
  <c r="AA2009"/>
  <c r="AB2009"/>
  <c r="AC2009"/>
  <c r="AD2009"/>
  <c r="AE2009"/>
  <c r="AF2009"/>
  <c r="AG2009"/>
  <c r="AH2009"/>
  <c r="AI2009"/>
  <c r="AJ2009"/>
  <c r="AK2009"/>
  <c r="C2010"/>
  <c r="H2010"/>
  <c r="I2010"/>
  <c r="J2010"/>
  <c r="K2010"/>
  <c r="M2010"/>
  <c r="P2010"/>
  <c r="R2010"/>
  <c r="S2010"/>
  <c r="T2010"/>
  <c r="U2010"/>
  <c r="X2010"/>
  <c r="Y2010"/>
  <c r="Z2010"/>
  <c r="AA2010"/>
  <c r="AB2010"/>
  <c r="AC2010"/>
  <c r="AD2010"/>
  <c r="AE2010"/>
  <c r="AF2010"/>
  <c r="AG2010"/>
  <c r="AH2010"/>
  <c r="AI2010"/>
  <c r="AJ2010"/>
  <c r="AK2010"/>
  <c r="C2011"/>
  <c r="H2011"/>
  <c r="I2011"/>
  <c r="J2011"/>
  <c r="K2011"/>
  <c r="M2011"/>
  <c r="P2011"/>
  <c r="R2011"/>
  <c r="S2011"/>
  <c r="T2011"/>
  <c r="U2011"/>
  <c r="X2011"/>
  <c r="Y2011"/>
  <c r="Z2011"/>
  <c r="AA2011"/>
  <c r="AB2011"/>
  <c r="AC2011"/>
  <c r="AD2011"/>
  <c r="AE2011"/>
  <c r="AF2011"/>
  <c r="AG2011"/>
  <c r="AH2011"/>
  <c r="AI2011"/>
  <c r="AJ2011"/>
  <c r="AK2011"/>
  <c r="C1992"/>
  <c r="H1992"/>
  <c r="I1992"/>
  <c r="J1992"/>
  <c r="K1992"/>
  <c r="M1992"/>
  <c r="P1992"/>
  <c r="R1992"/>
  <c r="S1992"/>
  <c r="T1992"/>
  <c r="U1992"/>
  <c r="X1992"/>
  <c r="Y1992"/>
  <c r="Z1992"/>
  <c r="AA1992"/>
  <c r="AB1992"/>
  <c r="AC1992"/>
  <c r="AD1992"/>
  <c r="AE1992"/>
  <c r="AF1992"/>
  <c r="AG1992"/>
  <c r="AH1992"/>
  <c r="AI1992"/>
  <c r="AJ1992"/>
  <c r="AK1992"/>
  <c r="C1993"/>
  <c r="H1993"/>
  <c r="I1993"/>
  <c r="J1993"/>
  <c r="K1993"/>
  <c r="M1993"/>
  <c r="P1993"/>
  <c r="R1993"/>
  <c r="S1993"/>
  <c r="T1993"/>
  <c r="U1993"/>
  <c r="X1993"/>
  <c r="Y1993"/>
  <c r="Z1993"/>
  <c r="AA1993"/>
  <c r="AB1993"/>
  <c r="AC1993"/>
  <c r="AD1993"/>
  <c r="AE1993"/>
  <c r="AF1993"/>
  <c r="AG1993"/>
  <c r="AH1993"/>
  <c r="AI1993"/>
  <c r="AJ1993"/>
  <c r="AK1993"/>
  <c r="C1994"/>
  <c r="H1994"/>
  <c r="I1994"/>
  <c r="J1994"/>
  <c r="K1994"/>
  <c r="M1994"/>
  <c r="P1994"/>
  <c r="R1994"/>
  <c r="S1994"/>
  <c r="T1994"/>
  <c r="U1994"/>
  <c r="X1994"/>
  <c r="Y1994"/>
  <c r="Z1994"/>
  <c r="AA1994"/>
  <c r="AB1994"/>
  <c r="AC1994"/>
  <c r="AD1994"/>
  <c r="AE1994"/>
  <c r="AF1994"/>
  <c r="AG1994"/>
  <c r="AH1994"/>
  <c r="AI1994"/>
  <c r="AJ1994"/>
  <c r="AK1994"/>
  <c r="C1995"/>
  <c r="H1995"/>
  <c r="I1995"/>
  <c r="J1995"/>
  <c r="K1995"/>
  <c r="M1995"/>
  <c r="P1995"/>
  <c r="R1995"/>
  <c r="S1995"/>
  <c r="T1995"/>
  <c r="U1995"/>
  <c r="X1995"/>
  <c r="Y1995"/>
  <c r="Z1995"/>
  <c r="AA1995"/>
  <c r="AB1995"/>
  <c r="AC1995"/>
  <c r="AD1995"/>
  <c r="AE1995"/>
  <c r="AF1995"/>
  <c r="AG1995"/>
  <c r="AH1995"/>
  <c r="AI1995"/>
  <c r="AJ1995"/>
  <c r="AK1995"/>
  <c r="C1996"/>
  <c r="H1996"/>
  <c r="I1996"/>
  <c r="J1996"/>
  <c r="K1996"/>
  <c r="M1996"/>
  <c r="P1996"/>
  <c r="R1996"/>
  <c r="S1996"/>
  <c r="T1996"/>
  <c r="U1996"/>
  <c r="X1996"/>
  <c r="Y1996"/>
  <c r="Z1996"/>
  <c r="AA1996"/>
  <c r="AB1996"/>
  <c r="AC1996"/>
  <c r="AD1996"/>
  <c r="AE1996"/>
  <c r="AF1996"/>
  <c r="AG1996"/>
  <c r="AH1996"/>
  <c r="AI1996"/>
  <c r="AJ1996"/>
  <c r="AK1996"/>
  <c r="C1997"/>
  <c r="H1997"/>
  <c r="I1997"/>
  <c r="J1997"/>
  <c r="K1997"/>
  <c r="M1997"/>
  <c r="P1997"/>
  <c r="R1997"/>
  <c r="S1997"/>
  <c r="T1997"/>
  <c r="U1997"/>
  <c r="X1997"/>
  <c r="Y1997"/>
  <c r="Z1997"/>
  <c r="AA1997"/>
  <c r="AB1997"/>
  <c r="AC1997"/>
  <c r="AD1997"/>
  <c r="AE1997"/>
  <c r="AF1997"/>
  <c r="AG1997"/>
  <c r="AH1997"/>
  <c r="AI1997"/>
  <c r="AJ1997"/>
  <c r="AK1997"/>
  <c r="C1998"/>
  <c r="H1998"/>
  <c r="I1998"/>
  <c r="J1998"/>
  <c r="K1998"/>
  <c r="M1998"/>
  <c r="P1998"/>
  <c r="R1998"/>
  <c r="S1998"/>
  <c r="T1998"/>
  <c r="U1998"/>
  <c r="X1998"/>
  <c r="Y1998"/>
  <c r="Z1998"/>
  <c r="AA1998"/>
  <c r="AB1998"/>
  <c r="AC1998"/>
  <c r="AD1998"/>
  <c r="AE1998"/>
  <c r="AF1998"/>
  <c r="AG1998"/>
  <c r="AH1998"/>
  <c r="AI1998"/>
  <c r="AJ1998"/>
  <c r="AK1998"/>
  <c r="C1999"/>
  <c r="H1999"/>
  <c r="I1999"/>
  <c r="J1999"/>
  <c r="K1999"/>
  <c r="M1999"/>
  <c r="P1999"/>
  <c r="R1999"/>
  <c r="S1999"/>
  <c r="T1999"/>
  <c r="U1999"/>
  <c r="X1999"/>
  <c r="Y1999"/>
  <c r="Z1999"/>
  <c r="AA1999"/>
  <c r="AB1999"/>
  <c r="AC1999"/>
  <c r="AD1999"/>
  <c r="AE1999"/>
  <c r="AF1999"/>
  <c r="AG1999"/>
  <c r="AH1999"/>
  <c r="AI1999"/>
  <c r="AJ1999"/>
  <c r="AK1999"/>
  <c r="C2000"/>
  <c r="H2000"/>
  <c r="I2000"/>
  <c r="J2000"/>
  <c r="K2000"/>
  <c r="M2000"/>
  <c r="P2000"/>
  <c r="R2000"/>
  <c r="S2000"/>
  <c r="T2000"/>
  <c r="U2000"/>
  <c r="X2000"/>
  <c r="Y2000"/>
  <c r="Z2000"/>
  <c r="AA2000"/>
  <c r="AB2000"/>
  <c r="AC2000"/>
  <c r="AD2000"/>
  <c r="AE2000"/>
  <c r="AF2000"/>
  <c r="AG2000"/>
  <c r="AH2000"/>
  <c r="AI2000"/>
  <c r="AJ2000"/>
  <c r="AK2000"/>
  <c r="C2001"/>
  <c r="H2001"/>
  <c r="I2001"/>
  <c r="J2001"/>
  <c r="K2001"/>
  <c r="M2001"/>
  <c r="P2001"/>
  <c r="R2001"/>
  <c r="S2001"/>
  <c r="T2001"/>
  <c r="U2001"/>
  <c r="X2001"/>
  <c r="Y2001"/>
  <c r="Z2001"/>
  <c r="AA2001"/>
  <c r="AB2001"/>
  <c r="AC2001"/>
  <c r="AD2001"/>
  <c r="AE2001"/>
  <c r="AF2001"/>
  <c r="AG2001"/>
  <c r="AH2001"/>
  <c r="AI2001"/>
  <c r="AJ2001"/>
  <c r="AK2001"/>
  <c r="C1982"/>
  <c r="H1982"/>
  <c r="I1982"/>
  <c r="J1982"/>
  <c r="K1982"/>
  <c r="M1982"/>
  <c r="P1982"/>
  <c r="R1982"/>
  <c r="S1982"/>
  <c r="T1982"/>
  <c r="U1982"/>
  <c r="X1982"/>
  <c r="Y1982"/>
  <c r="Z1982"/>
  <c r="AA1982"/>
  <c r="AB1982"/>
  <c r="AC1982"/>
  <c r="AD1982"/>
  <c r="AE1982"/>
  <c r="AF1982"/>
  <c r="AG1982"/>
  <c r="AH1982"/>
  <c r="AI1982"/>
  <c r="AJ1982"/>
  <c r="AK1982"/>
  <c r="C1983"/>
  <c r="H1983"/>
  <c r="I1983"/>
  <c r="J1983"/>
  <c r="K1983"/>
  <c r="M1983"/>
  <c r="P1983"/>
  <c r="R1983"/>
  <c r="S1983"/>
  <c r="T1983"/>
  <c r="U1983"/>
  <c r="X1983"/>
  <c r="Y1983"/>
  <c r="Z1983"/>
  <c r="AA1983"/>
  <c r="AB1983"/>
  <c r="AC1983"/>
  <c r="AD1983"/>
  <c r="AE1983"/>
  <c r="AF1983"/>
  <c r="AG1983"/>
  <c r="AH1983"/>
  <c r="AI1983"/>
  <c r="AJ1983"/>
  <c r="AK1983"/>
  <c r="C1984"/>
  <c r="H1984"/>
  <c r="I1984"/>
  <c r="J1984"/>
  <c r="K1984"/>
  <c r="M1984"/>
  <c r="P1984"/>
  <c r="R1984"/>
  <c r="S1984"/>
  <c r="T1984"/>
  <c r="U1984"/>
  <c r="X1984"/>
  <c r="Y1984"/>
  <c r="Z1984"/>
  <c r="AA1984"/>
  <c r="AB1984"/>
  <c r="AC1984"/>
  <c r="AD1984"/>
  <c r="AE1984"/>
  <c r="AF1984"/>
  <c r="AG1984"/>
  <c r="AH1984"/>
  <c r="AI1984"/>
  <c r="AJ1984"/>
  <c r="AK1984"/>
  <c r="C1985"/>
  <c r="H1985"/>
  <c r="I1985"/>
  <c r="J1985"/>
  <c r="K1985"/>
  <c r="M1985"/>
  <c r="P1985"/>
  <c r="R1985"/>
  <c r="S1985"/>
  <c r="T1985"/>
  <c r="U1985"/>
  <c r="X1985"/>
  <c r="Y1985"/>
  <c r="Z1985"/>
  <c r="AA1985"/>
  <c r="AB1985"/>
  <c r="AC1985"/>
  <c r="AD1985"/>
  <c r="AE1985"/>
  <c r="AF1985"/>
  <c r="AG1985"/>
  <c r="AH1985"/>
  <c r="AI1985"/>
  <c r="AJ1985"/>
  <c r="AK1985"/>
  <c r="C1986"/>
  <c r="H1986"/>
  <c r="I1986"/>
  <c r="J1986"/>
  <c r="K1986"/>
  <c r="M1986"/>
  <c r="P1986"/>
  <c r="R1986"/>
  <c r="S1986"/>
  <c r="T1986"/>
  <c r="U1986"/>
  <c r="X1986"/>
  <c r="Y1986"/>
  <c r="Z1986"/>
  <c r="AA1986"/>
  <c r="AB1986"/>
  <c r="AC1986"/>
  <c r="AD1986"/>
  <c r="AE1986"/>
  <c r="AF1986"/>
  <c r="AG1986"/>
  <c r="AH1986"/>
  <c r="AI1986"/>
  <c r="AJ1986"/>
  <c r="AK1986"/>
  <c r="C1987"/>
  <c r="H1987"/>
  <c r="I1987"/>
  <c r="J1987"/>
  <c r="K1987"/>
  <c r="M1987"/>
  <c r="P1987"/>
  <c r="R1987"/>
  <c r="S1987"/>
  <c r="T1987"/>
  <c r="U1987"/>
  <c r="X1987"/>
  <c r="Y1987"/>
  <c r="Z1987"/>
  <c r="AA1987"/>
  <c r="AB1987"/>
  <c r="AC1987"/>
  <c r="AD1987"/>
  <c r="AE1987"/>
  <c r="AF1987"/>
  <c r="AG1987"/>
  <c r="AH1987"/>
  <c r="AI1987"/>
  <c r="AJ1987"/>
  <c r="AK1987"/>
  <c r="C1988"/>
  <c r="H1988"/>
  <c r="I1988"/>
  <c r="J1988"/>
  <c r="K1988"/>
  <c r="M1988"/>
  <c r="P1988"/>
  <c r="R1988"/>
  <c r="S1988"/>
  <c r="T1988"/>
  <c r="U1988"/>
  <c r="X1988"/>
  <c r="Y1988"/>
  <c r="Z1988"/>
  <c r="AA1988"/>
  <c r="AB1988"/>
  <c r="AC1988"/>
  <c r="AD1988"/>
  <c r="AE1988"/>
  <c r="AF1988"/>
  <c r="AG1988"/>
  <c r="AH1988"/>
  <c r="AI1988"/>
  <c r="AJ1988"/>
  <c r="AK1988"/>
  <c r="C1989"/>
  <c r="H1989"/>
  <c r="I1989"/>
  <c r="J1989"/>
  <c r="K1989"/>
  <c r="M1989"/>
  <c r="P1989"/>
  <c r="R1989"/>
  <c r="S1989"/>
  <c r="T1989"/>
  <c r="U1989"/>
  <c r="X1989"/>
  <c r="Y1989"/>
  <c r="Z1989"/>
  <c r="AA1989"/>
  <c r="AB1989"/>
  <c r="AC1989"/>
  <c r="AD1989"/>
  <c r="AE1989"/>
  <c r="AF1989"/>
  <c r="AG1989"/>
  <c r="AH1989"/>
  <c r="AI1989"/>
  <c r="AJ1989"/>
  <c r="AK1989"/>
  <c r="C1990"/>
  <c r="H1990"/>
  <c r="I1990"/>
  <c r="J1990"/>
  <c r="K1990"/>
  <c r="M1990"/>
  <c r="P1990"/>
  <c r="R1990"/>
  <c r="S1990"/>
  <c r="T1990"/>
  <c r="U1990"/>
  <c r="X1990"/>
  <c r="Y1990"/>
  <c r="Z1990"/>
  <c r="AA1990"/>
  <c r="AB1990"/>
  <c r="AC1990"/>
  <c r="AD1990"/>
  <c r="AE1990"/>
  <c r="AF1990"/>
  <c r="AG1990"/>
  <c r="AH1990"/>
  <c r="AI1990"/>
  <c r="AJ1990"/>
  <c r="AK1990"/>
  <c r="C1991"/>
  <c r="H1991"/>
  <c r="I1991"/>
  <c r="J1991"/>
  <c r="K1991"/>
  <c r="M1991"/>
  <c r="P1991"/>
  <c r="R1991"/>
  <c r="S1991"/>
  <c r="T1991"/>
  <c r="U1991"/>
  <c r="X1991"/>
  <c r="Y1991"/>
  <c r="Z1991"/>
  <c r="AA1991"/>
  <c r="AB1991"/>
  <c r="AC1991"/>
  <c r="AD1991"/>
  <c r="AE1991"/>
  <c r="AF1991"/>
  <c r="AG1991"/>
  <c r="AH1991"/>
  <c r="AI1991"/>
  <c r="AJ1991"/>
  <c r="AK1991"/>
  <c r="C1972"/>
  <c r="H1972"/>
  <c r="I1972"/>
  <c r="J1972"/>
  <c r="K1972"/>
  <c r="M1972"/>
  <c r="P1972"/>
  <c r="R1972"/>
  <c r="S1972"/>
  <c r="T1972"/>
  <c r="U1972"/>
  <c r="X1972"/>
  <c r="Y1972"/>
  <c r="Z1972"/>
  <c r="AA1972"/>
  <c r="AB1972"/>
  <c r="AC1972"/>
  <c r="AD1972"/>
  <c r="AE1972"/>
  <c r="AF1972"/>
  <c r="AG1972"/>
  <c r="AH1972"/>
  <c r="AI1972"/>
  <c r="AJ1972"/>
  <c r="AK1972"/>
  <c r="C1973"/>
  <c r="H1973"/>
  <c r="I1973"/>
  <c r="J1973"/>
  <c r="K1973"/>
  <c r="M1973"/>
  <c r="P1973"/>
  <c r="R1973"/>
  <c r="S1973"/>
  <c r="T1973"/>
  <c r="U1973"/>
  <c r="X1973"/>
  <c r="Y1973"/>
  <c r="Z1973"/>
  <c r="AA1973"/>
  <c r="AB1973"/>
  <c r="AC1973"/>
  <c r="AD1973"/>
  <c r="AE1973"/>
  <c r="AF1973"/>
  <c r="AG1973"/>
  <c r="AH1973"/>
  <c r="AI1973"/>
  <c r="AJ1973"/>
  <c r="AK1973"/>
  <c r="C1974"/>
  <c r="H1974"/>
  <c r="I1974"/>
  <c r="J1974"/>
  <c r="K1974"/>
  <c r="M1974"/>
  <c r="P1974"/>
  <c r="R1974"/>
  <c r="S1974"/>
  <c r="T1974"/>
  <c r="U1974"/>
  <c r="X1974"/>
  <c r="Y1974"/>
  <c r="Z1974"/>
  <c r="AA1974"/>
  <c r="AB1974"/>
  <c r="AC1974"/>
  <c r="AD1974"/>
  <c r="AE1974"/>
  <c r="AF1974"/>
  <c r="AG1974"/>
  <c r="AH1974"/>
  <c r="AI1974"/>
  <c r="AJ1974"/>
  <c r="AK1974"/>
  <c r="C1975"/>
  <c r="H1975"/>
  <c r="I1975"/>
  <c r="J1975"/>
  <c r="K1975"/>
  <c r="M1975"/>
  <c r="P1975"/>
  <c r="R1975"/>
  <c r="S1975"/>
  <c r="T1975"/>
  <c r="U1975"/>
  <c r="X1975"/>
  <c r="Y1975"/>
  <c r="Z1975"/>
  <c r="AA1975"/>
  <c r="AB1975"/>
  <c r="AC1975"/>
  <c r="AD1975"/>
  <c r="AE1975"/>
  <c r="AF1975"/>
  <c r="AG1975"/>
  <c r="AH1975"/>
  <c r="AI1975"/>
  <c r="AJ1975"/>
  <c r="AK1975"/>
  <c r="C1976"/>
  <c r="H1976"/>
  <c r="I1976"/>
  <c r="J1976"/>
  <c r="K1976"/>
  <c r="M1976"/>
  <c r="P1976"/>
  <c r="R1976"/>
  <c r="S1976"/>
  <c r="T1976"/>
  <c r="U1976"/>
  <c r="X1976"/>
  <c r="Y1976"/>
  <c r="Z1976"/>
  <c r="AA1976"/>
  <c r="AB1976"/>
  <c r="AC1976"/>
  <c r="AD1976"/>
  <c r="AE1976"/>
  <c r="AF1976"/>
  <c r="AG1976"/>
  <c r="AH1976"/>
  <c r="AI1976"/>
  <c r="AJ1976"/>
  <c r="AK1976"/>
  <c r="C1977"/>
  <c r="H1977"/>
  <c r="I1977"/>
  <c r="J1977"/>
  <c r="K1977"/>
  <c r="M1977"/>
  <c r="P1977"/>
  <c r="R1977"/>
  <c r="S1977"/>
  <c r="T1977"/>
  <c r="U1977"/>
  <c r="X1977"/>
  <c r="Y1977"/>
  <c r="Z1977"/>
  <c r="AA1977"/>
  <c r="AB1977"/>
  <c r="AC1977"/>
  <c r="AD1977"/>
  <c r="AE1977"/>
  <c r="AF1977"/>
  <c r="AG1977"/>
  <c r="AH1977"/>
  <c r="AI1977"/>
  <c r="AJ1977"/>
  <c r="AK1977"/>
  <c r="C1978"/>
  <c r="H1978"/>
  <c r="I1978"/>
  <c r="J1978"/>
  <c r="K1978"/>
  <c r="M1978"/>
  <c r="P1978"/>
  <c r="R1978"/>
  <c r="S1978"/>
  <c r="T1978"/>
  <c r="U1978"/>
  <c r="X1978"/>
  <c r="Y1978"/>
  <c r="Z1978"/>
  <c r="AA1978"/>
  <c r="AB1978"/>
  <c r="AC1978"/>
  <c r="AD1978"/>
  <c r="AE1978"/>
  <c r="AF1978"/>
  <c r="AG1978"/>
  <c r="AH1978"/>
  <c r="AI1978"/>
  <c r="AJ1978"/>
  <c r="AK1978"/>
  <c r="C1979"/>
  <c r="H1979"/>
  <c r="I1979"/>
  <c r="J1979"/>
  <c r="K1979"/>
  <c r="M1979"/>
  <c r="P1979"/>
  <c r="R1979"/>
  <c r="S1979"/>
  <c r="T1979"/>
  <c r="U1979"/>
  <c r="X1979"/>
  <c r="Y1979"/>
  <c r="Z1979"/>
  <c r="AA1979"/>
  <c r="AB1979"/>
  <c r="AC1979"/>
  <c r="AD1979"/>
  <c r="AE1979"/>
  <c r="AF1979"/>
  <c r="AG1979"/>
  <c r="AH1979"/>
  <c r="AI1979"/>
  <c r="AJ1979"/>
  <c r="AK1979"/>
  <c r="C1980"/>
  <c r="H1980"/>
  <c r="I1980"/>
  <c r="J1980"/>
  <c r="K1980"/>
  <c r="M1980"/>
  <c r="P1980"/>
  <c r="R1980"/>
  <c r="S1980"/>
  <c r="T1980"/>
  <c r="U1980"/>
  <c r="X1980"/>
  <c r="Y1980"/>
  <c r="Z1980"/>
  <c r="AA1980"/>
  <c r="AB1980"/>
  <c r="AC1980"/>
  <c r="AD1980"/>
  <c r="AE1980"/>
  <c r="AF1980"/>
  <c r="AG1980"/>
  <c r="AH1980"/>
  <c r="AI1980"/>
  <c r="AJ1980"/>
  <c r="AK1980"/>
  <c r="C1981"/>
  <c r="H1981"/>
  <c r="I1981"/>
  <c r="J1981"/>
  <c r="K1981"/>
  <c r="M1981"/>
  <c r="P1981"/>
  <c r="R1981"/>
  <c r="S1981"/>
  <c r="T1981"/>
  <c r="U1981"/>
  <c r="X1981"/>
  <c r="Y1981"/>
  <c r="Z1981"/>
  <c r="AA1981"/>
  <c r="AB1981"/>
  <c r="AC1981"/>
  <c r="AD1981"/>
  <c r="AE1981"/>
  <c r="AF1981"/>
  <c r="AG1981"/>
  <c r="AH1981"/>
  <c r="AI1981"/>
  <c r="AJ1981"/>
  <c r="AK1981"/>
  <c r="C1962"/>
  <c r="H1962"/>
  <c r="I1962"/>
  <c r="J1962"/>
  <c r="K1962"/>
  <c r="M1962"/>
  <c r="P1962"/>
  <c r="R1962"/>
  <c r="S1962"/>
  <c r="T1962"/>
  <c r="U1962"/>
  <c r="X1962"/>
  <c r="Y1962"/>
  <c r="Z1962"/>
  <c r="AA1962"/>
  <c r="AB1962"/>
  <c r="AC1962"/>
  <c r="AD1962"/>
  <c r="AE1962"/>
  <c r="AF1962"/>
  <c r="AG1962"/>
  <c r="AH1962"/>
  <c r="AI1962"/>
  <c r="AJ1962"/>
  <c r="AK1962"/>
  <c r="C1963"/>
  <c r="H1963"/>
  <c r="I1963"/>
  <c r="J1963"/>
  <c r="K1963"/>
  <c r="M1963"/>
  <c r="P1963"/>
  <c r="R1963"/>
  <c r="S1963"/>
  <c r="T1963"/>
  <c r="U1963"/>
  <c r="X1963"/>
  <c r="Y1963"/>
  <c r="Z1963"/>
  <c r="AA1963"/>
  <c r="AB1963"/>
  <c r="AC1963"/>
  <c r="AD1963"/>
  <c r="AE1963"/>
  <c r="AF1963"/>
  <c r="AG1963"/>
  <c r="AH1963"/>
  <c r="AI1963"/>
  <c r="AJ1963"/>
  <c r="AK1963"/>
  <c r="C1964"/>
  <c r="H1964"/>
  <c r="I1964"/>
  <c r="J1964"/>
  <c r="K1964"/>
  <c r="M1964"/>
  <c r="P1964"/>
  <c r="R1964"/>
  <c r="S1964"/>
  <c r="T1964"/>
  <c r="U1964"/>
  <c r="X1964"/>
  <c r="Y1964"/>
  <c r="Z1964"/>
  <c r="AA1964"/>
  <c r="AB1964"/>
  <c r="AC1964"/>
  <c r="AD1964"/>
  <c r="AE1964"/>
  <c r="AF1964"/>
  <c r="AG1964"/>
  <c r="AH1964"/>
  <c r="AI1964"/>
  <c r="AJ1964"/>
  <c r="AK1964"/>
  <c r="C1965"/>
  <c r="H1965"/>
  <c r="I1965"/>
  <c r="J1965"/>
  <c r="K1965"/>
  <c r="M1965"/>
  <c r="P1965"/>
  <c r="R1965"/>
  <c r="S1965"/>
  <c r="T1965"/>
  <c r="U1965"/>
  <c r="X1965"/>
  <c r="Y1965"/>
  <c r="Z1965"/>
  <c r="AA1965"/>
  <c r="AB1965"/>
  <c r="AC1965"/>
  <c r="AD1965"/>
  <c r="AE1965"/>
  <c r="AF1965"/>
  <c r="AG1965"/>
  <c r="AH1965"/>
  <c r="AI1965"/>
  <c r="AJ1965"/>
  <c r="AK1965"/>
  <c r="C1966"/>
  <c r="H1966"/>
  <c r="I1966"/>
  <c r="J1966"/>
  <c r="K1966"/>
  <c r="M1966"/>
  <c r="P1966"/>
  <c r="R1966"/>
  <c r="S1966"/>
  <c r="T1966"/>
  <c r="U1966"/>
  <c r="X1966"/>
  <c r="Y1966"/>
  <c r="Z1966"/>
  <c r="AA1966"/>
  <c r="AB1966"/>
  <c r="AC1966"/>
  <c r="AD1966"/>
  <c r="AE1966"/>
  <c r="AF1966"/>
  <c r="AG1966"/>
  <c r="AH1966"/>
  <c r="AI1966"/>
  <c r="AJ1966"/>
  <c r="AK1966"/>
  <c r="C1967"/>
  <c r="H1967"/>
  <c r="I1967"/>
  <c r="J1967"/>
  <c r="K1967"/>
  <c r="M1967"/>
  <c r="P1967"/>
  <c r="R1967"/>
  <c r="S1967"/>
  <c r="T1967"/>
  <c r="U1967"/>
  <c r="X1967"/>
  <c r="Y1967"/>
  <c r="Z1967"/>
  <c r="AA1967"/>
  <c r="AB1967"/>
  <c r="AC1967"/>
  <c r="AD1967"/>
  <c r="AE1967"/>
  <c r="AF1967"/>
  <c r="AG1967"/>
  <c r="AH1967"/>
  <c r="AI1967"/>
  <c r="AJ1967"/>
  <c r="AK1967"/>
  <c r="C1968"/>
  <c r="H1968"/>
  <c r="I1968"/>
  <c r="J1968"/>
  <c r="K1968"/>
  <c r="M1968"/>
  <c r="P1968"/>
  <c r="R1968"/>
  <c r="S1968"/>
  <c r="T1968"/>
  <c r="U1968"/>
  <c r="X1968"/>
  <c r="Y1968"/>
  <c r="Z1968"/>
  <c r="AA1968"/>
  <c r="AB1968"/>
  <c r="AC1968"/>
  <c r="AD1968"/>
  <c r="AE1968"/>
  <c r="AF1968"/>
  <c r="AG1968"/>
  <c r="AH1968"/>
  <c r="AI1968"/>
  <c r="AJ1968"/>
  <c r="AK1968"/>
  <c r="C1969"/>
  <c r="H1969"/>
  <c r="I1969"/>
  <c r="J1969"/>
  <c r="K1969"/>
  <c r="M1969"/>
  <c r="P1969"/>
  <c r="R1969"/>
  <c r="S1969"/>
  <c r="T1969"/>
  <c r="U1969"/>
  <c r="X1969"/>
  <c r="Y1969"/>
  <c r="Z1969"/>
  <c r="AA1969"/>
  <c r="AB1969"/>
  <c r="AC1969"/>
  <c r="AD1969"/>
  <c r="AE1969"/>
  <c r="AF1969"/>
  <c r="AG1969"/>
  <c r="AH1969"/>
  <c r="AI1969"/>
  <c r="AJ1969"/>
  <c r="AK1969"/>
  <c r="C1970"/>
  <c r="H1970"/>
  <c r="I1970"/>
  <c r="J1970"/>
  <c r="K1970"/>
  <c r="M1970"/>
  <c r="P1970"/>
  <c r="R1970"/>
  <c r="S1970"/>
  <c r="T1970"/>
  <c r="U1970"/>
  <c r="X1970"/>
  <c r="Y1970"/>
  <c r="Z1970"/>
  <c r="AA1970"/>
  <c r="AB1970"/>
  <c r="AC1970"/>
  <c r="AD1970"/>
  <c r="AE1970"/>
  <c r="AF1970"/>
  <c r="AG1970"/>
  <c r="AH1970"/>
  <c r="AI1970"/>
  <c r="AJ1970"/>
  <c r="AK1970"/>
  <c r="C1971"/>
  <c r="H1971"/>
  <c r="I1971"/>
  <c r="J1971"/>
  <c r="K1971"/>
  <c r="M1971"/>
  <c r="P1971"/>
  <c r="R1971"/>
  <c r="S1971"/>
  <c r="T1971"/>
  <c r="U1971"/>
  <c r="X1971"/>
  <c r="Y1971"/>
  <c r="Z1971"/>
  <c r="AA1971"/>
  <c r="AB1971"/>
  <c r="AC1971"/>
  <c r="AD1971"/>
  <c r="AE1971"/>
  <c r="AF1971"/>
  <c r="AG1971"/>
  <c r="AH1971"/>
  <c r="AI1971"/>
  <c r="AJ1971"/>
  <c r="AK1971"/>
  <c r="C1952"/>
  <c r="H1952"/>
  <c r="I1952"/>
  <c r="J1952"/>
  <c r="K1952"/>
  <c r="M1952"/>
  <c r="P1952"/>
  <c r="R1952"/>
  <c r="S1952"/>
  <c r="T1952"/>
  <c r="U1952"/>
  <c r="X1952"/>
  <c r="Y1952"/>
  <c r="Z1952"/>
  <c r="AA1952"/>
  <c r="AB1952"/>
  <c r="AC1952"/>
  <c r="AD1952"/>
  <c r="AE1952"/>
  <c r="AF1952"/>
  <c r="AG1952"/>
  <c r="AH1952"/>
  <c r="AI1952"/>
  <c r="AJ1952"/>
  <c r="AK1952"/>
  <c r="C1953"/>
  <c r="H1953"/>
  <c r="I1953"/>
  <c r="J1953"/>
  <c r="K1953"/>
  <c r="M1953"/>
  <c r="P1953"/>
  <c r="R1953"/>
  <c r="S1953"/>
  <c r="T1953"/>
  <c r="U1953"/>
  <c r="X1953"/>
  <c r="Y1953"/>
  <c r="Z1953"/>
  <c r="AA1953"/>
  <c r="AB1953"/>
  <c r="AC1953"/>
  <c r="AD1953"/>
  <c r="AE1953"/>
  <c r="AF1953"/>
  <c r="AG1953"/>
  <c r="AH1953"/>
  <c r="AI1953"/>
  <c r="AJ1953"/>
  <c r="AK1953"/>
  <c r="C1954"/>
  <c r="H1954"/>
  <c r="I1954"/>
  <c r="J1954"/>
  <c r="K1954"/>
  <c r="M1954"/>
  <c r="P1954"/>
  <c r="R1954"/>
  <c r="S1954"/>
  <c r="T1954"/>
  <c r="U1954"/>
  <c r="X1954"/>
  <c r="Y1954"/>
  <c r="Z1954"/>
  <c r="AA1954"/>
  <c r="AB1954"/>
  <c r="AC1954"/>
  <c r="AD1954"/>
  <c r="AE1954"/>
  <c r="AF1954"/>
  <c r="AG1954"/>
  <c r="AH1954"/>
  <c r="AI1954"/>
  <c r="AJ1954"/>
  <c r="AK1954"/>
  <c r="C1955"/>
  <c r="H1955"/>
  <c r="I1955"/>
  <c r="J1955"/>
  <c r="K1955"/>
  <c r="M1955"/>
  <c r="P1955"/>
  <c r="R1955"/>
  <c r="S1955"/>
  <c r="T1955"/>
  <c r="U1955"/>
  <c r="X1955"/>
  <c r="Y1955"/>
  <c r="Z1955"/>
  <c r="AA1955"/>
  <c r="AB1955"/>
  <c r="AC1955"/>
  <c r="AD1955"/>
  <c r="AE1955"/>
  <c r="AF1955"/>
  <c r="AG1955"/>
  <c r="AH1955"/>
  <c r="AI1955"/>
  <c r="AJ1955"/>
  <c r="AK1955"/>
  <c r="C1956"/>
  <c r="H1956"/>
  <c r="I1956"/>
  <c r="J1956"/>
  <c r="K1956"/>
  <c r="M1956"/>
  <c r="P1956"/>
  <c r="R1956"/>
  <c r="S1956"/>
  <c r="T1956"/>
  <c r="U1956"/>
  <c r="X1956"/>
  <c r="Y1956"/>
  <c r="Z1956"/>
  <c r="AA1956"/>
  <c r="AB1956"/>
  <c r="AC1956"/>
  <c r="AD1956"/>
  <c r="AE1956"/>
  <c r="AF1956"/>
  <c r="AG1956"/>
  <c r="AH1956"/>
  <c r="AI1956"/>
  <c r="AJ1956"/>
  <c r="AK1956"/>
  <c r="C1957"/>
  <c r="H1957"/>
  <c r="I1957"/>
  <c r="J1957"/>
  <c r="K1957"/>
  <c r="M1957"/>
  <c r="P1957"/>
  <c r="R1957"/>
  <c r="S1957"/>
  <c r="T1957"/>
  <c r="U1957"/>
  <c r="X1957"/>
  <c r="Y1957"/>
  <c r="Z1957"/>
  <c r="AA1957"/>
  <c r="AB1957"/>
  <c r="AC1957"/>
  <c r="AD1957"/>
  <c r="AE1957"/>
  <c r="AF1957"/>
  <c r="AG1957"/>
  <c r="AH1957"/>
  <c r="AI1957"/>
  <c r="AJ1957"/>
  <c r="AK1957"/>
  <c r="C1958"/>
  <c r="H1958"/>
  <c r="I1958"/>
  <c r="J1958"/>
  <c r="K1958"/>
  <c r="M1958"/>
  <c r="P1958"/>
  <c r="R1958"/>
  <c r="S1958"/>
  <c r="T1958"/>
  <c r="U1958"/>
  <c r="X1958"/>
  <c r="Y1958"/>
  <c r="Z1958"/>
  <c r="AA1958"/>
  <c r="AB1958"/>
  <c r="AC1958"/>
  <c r="AD1958"/>
  <c r="AE1958"/>
  <c r="AF1958"/>
  <c r="AG1958"/>
  <c r="AH1958"/>
  <c r="AI1958"/>
  <c r="AJ1958"/>
  <c r="AK1958"/>
  <c r="C1959"/>
  <c r="H1959"/>
  <c r="I1959"/>
  <c r="J1959"/>
  <c r="K1959"/>
  <c r="M1959"/>
  <c r="P1959"/>
  <c r="R1959"/>
  <c r="S1959"/>
  <c r="T1959"/>
  <c r="U1959"/>
  <c r="X1959"/>
  <c r="Y1959"/>
  <c r="Z1959"/>
  <c r="AA1959"/>
  <c r="AB1959"/>
  <c r="AC1959"/>
  <c r="AD1959"/>
  <c r="AE1959"/>
  <c r="AF1959"/>
  <c r="AG1959"/>
  <c r="AH1959"/>
  <c r="AI1959"/>
  <c r="AJ1959"/>
  <c r="AK1959"/>
  <c r="C1960"/>
  <c r="H1960"/>
  <c r="I1960"/>
  <c r="J1960"/>
  <c r="K1960"/>
  <c r="M1960"/>
  <c r="P1960"/>
  <c r="R1960"/>
  <c r="S1960"/>
  <c r="T1960"/>
  <c r="U1960"/>
  <c r="X1960"/>
  <c r="Y1960"/>
  <c r="Z1960"/>
  <c r="AA1960"/>
  <c r="AB1960"/>
  <c r="AC1960"/>
  <c r="AD1960"/>
  <c r="AE1960"/>
  <c r="AF1960"/>
  <c r="AG1960"/>
  <c r="AH1960"/>
  <c r="AI1960"/>
  <c r="AJ1960"/>
  <c r="AK1960"/>
  <c r="C1961"/>
  <c r="H1961"/>
  <c r="I1961"/>
  <c r="J1961"/>
  <c r="K1961"/>
  <c r="M1961"/>
  <c r="P1961"/>
  <c r="R1961"/>
  <c r="S1961"/>
  <c r="T1961"/>
  <c r="U1961"/>
  <c r="X1961"/>
  <c r="Y1961"/>
  <c r="Z1961"/>
  <c r="AA1961"/>
  <c r="AB1961"/>
  <c r="AC1961"/>
  <c r="AD1961"/>
  <c r="AE1961"/>
  <c r="AF1961"/>
  <c r="AG1961"/>
  <c r="AH1961"/>
  <c r="AI1961"/>
  <c r="AJ1961"/>
  <c r="AK1961"/>
  <c r="C1942"/>
  <c r="H1942"/>
  <c r="I1942"/>
  <c r="J1942"/>
  <c r="K1942"/>
  <c r="M1942"/>
  <c r="P1942"/>
  <c r="R1942"/>
  <c r="S1942"/>
  <c r="T1942"/>
  <c r="U1942"/>
  <c r="X1942"/>
  <c r="Y1942"/>
  <c r="Z1942"/>
  <c r="AA1942"/>
  <c r="AB1942"/>
  <c r="AC1942"/>
  <c r="AD1942"/>
  <c r="AE1942"/>
  <c r="AF1942"/>
  <c r="AG1942"/>
  <c r="AH1942"/>
  <c r="AI1942"/>
  <c r="AJ1942"/>
  <c r="AK1942"/>
  <c r="C1943"/>
  <c r="H1943"/>
  <c r="I1943"/>
  <c r="J1943"/>
  <c r="K1943"/>
  <c r="M1943"/>
  <c r="P1943"/>
  <c r="R1943"/>
  <c r="S1943"/>
  <c r="T1943"/>
  <c r="U1943"/>
  <c r="X1943"/>
  <c r="Y1943"/>
  <c r="Z1943"/>
  <c r="AA1943"/>
  <c r="AB1943"/>
  <c r="AC1943"/>
  <c r="AD1943"/>
  <c r="AE1943"/>
  <c r="AF1943"/>
  <c r="AG1943"/>
  <c r="AH1943"/>
  <c r="AI1943"/>
  <c r="AJ1943"/>
  <c r="AK1943"/>
  <c r="C1944"/>
  <c r="H1944"/>
  <c r="I1944"/>
  <c r="J1944"/>
  <c r="K1944"/>
  <c r="M1944"/>
  <c r="P1944"/>
  <c r="R1944"/>
  <c r="S1944"/>
  <c r="T1944"/>
  <c r="U1944"/>
  <c r="X1944"/>
  <c r="Y1944"/>
  <c r="Z1944"/>
  <c r="AA1944"/>
  <c r="AB1944"/>
  <c r="AC1944"/>
  <c r="AD1944"/>
  <c r="AE1944"/>
  <c r="AF1944"/>
  <c r="AG1944"/>
  <c r="AH1944"/>
  <c r="AI1944"/>
  <c r="AJ1944"/>
  <c r="AK1944"/>
  <c r="C1945"/>
  <c r="H1945"/>
  <c r="I1945"/>
  <c r="J1945"/>
  <c r="K1945"/>
  <c r="M1945"/>
  <c r="P1945"/>
  <c r="R1945"/>
  <c r="S1945"/>
  <c r="T1945"/>
  <c r="U1945"/>
  <c r="X1945"/>
  <c r="Y1945"/>
  <c r="Z1945"/>
  <c r="AA1945"/>
  <c r="AB1945"/>
  <c r="AC1945"/>
  <c r="AD1945"/>
  <c r="AE1945"/>
  <c r="AF1945"/>
  <c r="AG1945"/>
  <c r="AH1945"/>
  <c r="AI1945"/>
  <c r="AJ1945"/>
  <c r="AK1945"/>
  <c r="C1946"/>
  <c r="H1946"/>
  <c r="I1946"/>
  <c r="J1946"/>
  <c r="K1946"/>
  <c r="M1946"/>
  <c r="P1946"/>
  <c r="R1946"/>
  <c r="S1946"/>
  <c r="T1946"/>
  <c r="U1946"/>
  <c r="X1946"/>
  <c r="Y1946"/>
  <c r="Z1946"/>
  <c r="AA1946"/>
  <c r="AB1946"/>
  <c r="AC1946"/>
  <c r="AD1946"/>
  <c r="AE1946"/>
  <c r="AF1946"/>
  <c r="AG1946"/>
  <c r="AH1946"/>
  <c r="AI1946"/>
  <c r="AJ1946"/>
  <c r="AK1946"/>
  <c r="C1947"/>
  <c r="H1947"/>
  <c r="I1947"/>
  <c r="J1947"/>
  <c r="K1947"/>
  <c r="M1947"/>
  <c r="P1947"/>
  <c r="R1947"/>
  <c r="S1947"/>
  <c r="T1947"/>
  <c r="U1947"/>
  <c r="X1947"/>
  <c r="Y1947"/>
  <c r="Z1947"/>
  <c r="AA1947"/>
  <c r="AB1947"/>
  <c r="AC1947"/>
  <c r="AD1947"/>
  <c r="AE1947"/>
  <c r="AF1947"/>
  <c r="AG1947"/>
  <c r="AH1947"/>
  <c r="AI1947"/>
  <c r="AJ1947"/>
  <c r="AK1947"/>
  <c r="C1948"/>
  <c r="H1948"/>
  <c r="I1948"/>
  <c r="J1948"/>
  <c r="K1948"/>
  <c r="M1948"/>
  <c r="P1948"/>
  <c r="R1948"/>
  <c r="S1948"/>
  <c r="T1948"/>
  <c r="U1948"/>
  <c r="X1948"/>
  <c r="Y1948"/>
  <c r="Z1948"/>
  <c r="AA1948"/>
  <c r="AB1948"/>
  <c r="AC1948"/>
  <c r="AD1948"/>
  <c r="AE1948"/>
  <c r="AF1948"/>
  <c r="AG1948"/>
  <c r="AH1948"/>
  <c r="AI1948"/>
  <c r="AJ1948"/>
  <c r="AK1948"/>
  <c r="C1949"/>
  <c r="H1949"/>
  <c r="I1949"/>
  <c r="J1949"/>
  <c r="K1949"/>
  <c r="M1949"/>
  <c r="P1949"/>
  <c r="R1949"/>
  <c r="S1949"/>
  <c r="T1949"/>
  <c r="U1949"/>
  <c r="X1949"/>
  <c r="Y1949"/>
  <c r="Z1949"/>
  <c r="AA1949"/>
  <c r="AB1949"/>
  <c r="AC1949"/>
  <c r="AD1949"/>
  <c r="AE1949"/>
  <c r="AF1949"/>
  <c r="AG1949"/>
  <c r="AH1949"/>
  <c r="AI1949"/>
  <c r="AJ1949"/>
  <c r="AK1949"/>
  <c r="C1950"/>
  <c r="H1950"/>
  <c r="I1950"/>
  <c r="J1950"/>
  <c r="K1950"/>
  <c r="M1950"/>
  <c r="P1950"/>
  <c r="R1950"/>
  <c r="S1950"/>
  <c r="T1950"/>
  <c r="U1950"/>
  <c r="X1950"/>
  <c r="Y1950"/>
  <c r="Z1950"/>
  <c r="AA1950"/>
  <c r="AB1950"/>
  <c r="AC1950"/>
  <c r="AD1950"/>
  <c r="AE1950"/>
  <c r="AF1950"/>
  <c r="AG1950"/>
  <c r="AH1950"/>
  <c r="AI1950"/>
  <c r="AJ1950"/>
  <c r="AK1950"/>
  <c r="C1951"/>
  <c r="H1951"/>
  <c r="I1951"/>
  <c r="J1951"/>
  <c r="K1951"/>
  <c r="M1951"/>
  <c r="P1951"/>
  <c r="R1951"/>
  <c r="S1951"/>
  <c r="T1951"/>
  <c r="U1951"/>
  <c r="X1951"/>
  <c r="Y1951"/>
  <c r="Z1951"/>
  <c r="AA1951"/>
  <c r="AB1951"/>
  <c r="AC1951"/>
  <c r="AD1951"/>
  <c r="AE1951"/>
  <c r="AF1951"/>
  <c r="AG1951"/>
  <c r="AH1951"/>
  <c r="AI1951"/>
  <c r="AJ1951"/>
  <c r="AK1951"/>
  <c r="C1932"/>
  <c r="H1932"/>
  <c r="I1932"/>
  <c r="J1932"/>
  <c r="K1932"/>
  <c r="M1932"/>
  <c r="P1932"/>
  <c r="R1932"/>
  <c r="S1932"/>
  <c r="T1932"/>
  <c r="U1932"/>
  <c r="X1932"/>
  <c r="Y1932"/>
  <c r="Z1932"/>
  <c r="AA1932"/>
  <c r="AB1932"/>
  <c r="AC1932"/>
  <c r="AD1932"/>
  <c r="AE1932"/>
  <c r="AF1932"/>
  <c r="AG1932"/>
  <c r="AH1932"/>
  <c r="AI1932"/>
  <c r="AJ1932"/>
  <c r="AK1932"/>
  <c r="C1933"/>
  <c r="H1933"/>
  <c r="I1933"/>
  <c r="J1933"/>
  <c r="K1933"/>
  <c r="M1933"/>
  <c r="P1933"/>
  <c r="R1933"/>
  <c r="S1933"/>
  <c r="T1933"/>
  <c r="U1933"/>
  <c r="X1933"/>
  <c r="Y1933"/>
  <c r="Z1933"/>
  <c r="AA1933"/>
  <c r="AB1933"/>
  <c r="AC1933"/>
  <c r="AD1933"/>
  <c r="AE1933"/>
  <c r="AF1933"/>
  <c r="AG1933"/>
  <c r="AH1933"/>
  <c r="AI1933"/>
  <c r="AJ1933"/>
  <c r="AK1933"/>
  <c r="C1934"/>
  <c r="H1934"/>
  <c r="I1934"/>
  <c r="J1934"/>
  <c r="K1934"/>
  <c r="M1934"/>
  <c r="P1934"/>
  <c r="R1934"/>
  <c r="S1934"/>
  <c r="T1934"/>
  <c r="U1934"/>
  <c r="X1934"/>
  <c r="Y1934"/>
  <c r="Z1934"/>
  <c r="AA1934"/>
  <c r="AB1934"/>
  <c r="AC1934"/>
  <c r="AD1934"/>
  <c r="AE1934"/>
  <c r="AF1934"/>
  <c r="AG1934"/>
  <c r="AH1934"/>
  <c r="AI1934"/>
  <c r="AJ1934"/>
  <c r="AK1934"/>
  <c r="C1935"/>
  <c r="H1935"/>
  <c r="I1935"/>
  <c r="J1935"/>
  <c r="K1935"/>
  <c r="M1935"/>
  <c r="P1935"/>
  <c r="R1935"/>
  <c r="S1935"/>
  <c r="T1935"/>
  <c r="U1935"/>
  <c r="X1935"/>
  <c r="Y1935"/>
  <c r="Z1935"/>
  <c r="AA1935"/>
  <c r="AB1935"/>
  <c r="AC1935"/>
  <c r="AD1935"/>
  <c r="AE1935"/>
  <c r="AF1935"/>
  <c r="AG1935"/>
  <c r="AH1935"/>
  <c r="AI1935"/>
  <c r="AJ1935"/>
  <c r="AK1935"/>
  <c r="C1936"/>
  <c r="H1936"/>
  <c r="I1936"/>
  <c r="J1936"/>
  <c r="K1936"/>
  <c r="M1936"/>
  <c r="P1936"/>
  <c r="R1936"/>
  <c r="S1936"/>
  <c r="T1936"/>
  <c r="U1936"/>
  <c r="X1936"/>
  <c r="Y1936"/>
  <c r="Z1936"/>
  <c r="AA1936"/>
  <c r="AB1936"/>
  <c r="AC1936"/>
  <c r="AD1936"/>
  <c r="AE1936"/>
  <c r="AF1936"/>
  <c r="AG1936"/>
  <c r="AH1936"/>
  <c r="AI1936"/>
  <c r="AJ1936"/>
  <c r="AK1936"/>
  <c r="C1937"/>
  <c r="H1937"/>
  <c r="I1937"/>
  <c r="J1937"/>
  <c r="K1937"/>
  <c r="M1937"/>
  <c r="P1937"/>
  <c r="R1937"/>
  <c r="S1937"/>
  <c r="T1937"/>
  <c r="U1937"/>
  <c r="X1937"/>
  <c r="Y1937"/>
  <c r="Z1937"/>
  <c r="AA1937"/>
  <c r="AB1937"/>
  <c r="AC1937"/>
  <c r="AD1937"/>
  <c r="AE1937"/>
  <c r="AF1937"/>
  <c r="AG1937"/>
  <c r="AH1937"/>
  <c r="AI1937"/>
  <c r="AJ1937"/>
  <c r="AK1937"/>
  <c r="C1938"/>
  <c r="H1938"/>
  <c r="I1938"/>
  <c r="J1938"/>
  <c r="K1938"/>
  <c r="M1938"/>
  <c r="P1938"/>
  <c r="R1938"/>
  <c r="S1938"/>
  <c r="T1938"/>
  <c r="U1938"/>
  <c r="X1938"/>
  <c r="Y1938"/>
  <c r="Z1938"/>
  <c r="AA1938"/>
  <c r="AB1938"/>
  <c r="AC1938"/>
  <c r="AD1938"/>
  <c r="AE1938"/>
  <c r="AF1938"/>
  <c r="AG1938"/>
  <c r="AH1938"/>
  <c r="AI1938"/>
  <c r="AJ1938"/>
  <c r="AK1938"/>
  <c r="C1939"/>
  <c r="H1939"/>
  <c r="I1939"/>
  <c r="J1939"/>
  <c r="K1939"/>
  <c r="M1939"/>
  <c r="P1939"/>
  <c r="R1939"/>
  <c r="S1939"/>
  <c r="T1939"/>
  <c r="U1939"/>
  <c r="X1939"/>
  <c r="Y1939"/>
  <c r="Z1939"/>
  <c r="AA1939"/>
  <c r="AB1939"/>
  <c r="AC1939"/>
  <c r="AD1939"/>
  <c r="AE1939"/>
  <c r="AF1939"/>
  <c r="AG1939"/>
  <c r="AH1939"/>
  <c r="AI1939"/>
  <c r="AJ1939"/>
  <c r="AK1939"/>
  <c r="C1940"/>
  <c r="H1940"/>
  <c r="I1940"/>
  <c r="J1940"/>
  <c r="K1940"/>
  <c r="M1940"/>
  <c r="P1940"/>
  <c r="R1940"/>
  <c r="S1940"/>
  <c r="T1940"/>
  <c r="U1940"/>
  <c r="X1940"/>
  <c r="Y1940"/>
  <c r="Z1940"/>
  <c r="AA1940"/>
  <c r="AB1940"/>
  <c r="AC1940"/>
  <c r="AD1940"/>
  <c r="AE1940"/>
  <c r="AF1940"/>
  <c r="AG1940"/>
  <c r="AH1940"/>
  <c r="AI1940"/>
  <c r="AJ1940"/>
  <c r="AK1940"/>
  <c r="C1941"/>
  <c r="H1941"/>
  <c r="I1941"/>
  <c r="J1941"/>
  <c r="K1941"/>
  <c r="M1941"/>
  <c r="P1941"/>
  <c r="R1941"/>
  <c r="S1941"/>
  <c r="T1941"/>
  <c r="U1941"/>
  <c r="X1941"/>
  <c r="Y1941"/>
  <c r="Z1941"/>
  <c r="AA1941"/>
  <c r="AB1941"/>
  <c r="AC1941"/>
  <c r="AD1941"/>
  <c r="AE1941"/>
  <c r="AF1941"/>
  <c r="AG1941"/>
  <c r="AH1941"/>
  <c r="AI1941"/>
  <c r="AJ1941"/>
  <c r="AK1941"/>
  <c r="C1922"/>
  <c r="H1922"/>
  <c r="I1922"/>
  <c r="J1922"/>
  <c r="K1922"/>
  <c r="M1922"/>
  <c r="P1922"/>
  <c r="R1922"/>
  <c r="S1922"/>
  <c r="T1922"/>
  <c r="U1922"/>
  <c r="X1922"/>
  <c r="Y1922"/>
  <c r="Z1922"/>
  <c r="AA1922"/>
  <c r="AB1922"/>
  <c r="AC1922"/>
  <c r="AD1922"/>
  <c r="AE1922"/>
  <c r="AF1922"/>
  <c r="AG1922"/>
  <c r="AH1922"/>
  <c r="AI1922"/>
  <c r="AJ1922"/>
  <c r="AK1922"/>
  <c r="C1923"/>
  <c r="H1923"/>
  <c r="I1923"/>
  <c r="J1923"/>
  <c r="K1923"/>
  <c r="M1923"/>
  <c r="P1923"/>
  <c r="R1923"/>
  <c r="S1923"/>
  <c r="T1923"/>
  <c r="U1923"/>
  <c r="X1923"/>
  <c r="Y1923"/>
  <c r="Z1923"/>
  <c r="AA1923"/>
  <c r="AB1923"/>
  <c r="AC1923"/>
  <c r="AD1923"/>
  <c r="AE1923"/>
  <c r="AF1923"/>
  <c r="AG1923"/>
  <c r="AH1923"/>
  <c r="AI1923"/>
  <c r="AJ1923"/>
  <c r="AK1923"/>
  <c r="C1924"/>
  <c r="H1924"/>
  <c r="I1924"/>
  <c r="J1924"/>
  <c r="K1924"/>
  <c r="M1924"/>
  <c r="P1924"/>
  <c r="R1924"/>
  <c r="S1924"/>
  <c r="T1924"/>
  <c r="U1924"/>
  <c r="X1924"/>
  <c r="Y1924"/>
  <c r="Z1924"/>
  <c r="AA1924"/>
  <c r="AB1924"/>
  <c r="AC1924"/>
  <c r="AD1924"/>
  <c r="AE1924"/>
  <c r="AF1924"/>
  <c r="AG1924"/>
  <c r="AH1924"/>
  <c r="AI1924"/>
  <c r="AJ1924"/>
  <c r="AK1924"/>
  <c r="C1925"/>
  <c r="H1925"/>
  <c r="I1925"/>
  <c r="J1925"/>
  <c r="K1925"/>
  <c r="M1925"/>
  <c r="P1925"/>
  <c r="R1925"/>
  <c r="S1925"/>
  <c r="T1925"/>
  <c r="U1925"/>
  <c r="X1925"/>
  <c r="Y1925"/>
  <c r="Z1925"/>
  <c r="AA1925"/>
  <c r="AB1925"/>
  <c r="AC1925"/>
  <c r="AD1925"/>
  <c r="AE1925"/>
  <c r="AF1925"/>
  <c r="AG1925"/>
  <c r="AH1925"/>
  <c r="AI1925"/>
  <c r="AJ1925"/>
  <c r="AK1925"/>
  <c r="C1926"/>
  <c r="H1926"/>
  <c r="I1926"/>
  <c r="J1926"/>
  <c r="K1926"/>
  <c r="M1926"/>
  <c r="P1926"/>
  <c r="R1926"/>
  <c r="S1926"/>
  <c r="T1926"/>
  <c r="U1926"/>
  <c r="X1926"/>
  <c r="Y1926"/>
  <c r="Z1926"/>
  <c r="AA1926"/>
  <c r="AB1926"/>
  <c r="AC1926"/>
  <c r="AD1926"/>
  <c r="AE1926"/>
  <c r="AF1926"/>
  <c r="AG1926"/>
  <c r="AH1926"/>
  <c r="AI1926"/>
  <c r="AJ1926"/>
  <c r="AK1926"/>
  <c r="C1927"/>
  <c r="H1927"/>
  <c r="I1927"/>
  <c r="J1927"/>
  <c r="K1927"/>
  <c r="M1927"/>
  <c r="P1927"/>
  <c r="R1927"/>
  <c r="S1927"/>
  <c r="T1927"/>
  <c r="U1927"/>
  <c r="X1927"/>
  <c r="Y1927"/>
  <c r="Z1927"/>
  <c r="AA1927"/>
  <c r="AB1927"/>
  <c r="AC1927"/>
  <c r="AD1927"/>
  <c r="AE1927"/>
  <c r="AF1927"/>
  <c r="AG1927"/>
  <c r="AH1927"/>
  <c r="AI1927"/>
  <c r="AJ1927"/>
  <c r="AK1927"/>
  <c r="C1928"/>
  <c r="H1928"/>
  <c r="I1928"/>
  <c r="J1928"/>
  <c r="K1928"/>
  <c r="M1928"/>
  <c r="P1928"/>
  <c r="R1928"/>
  <c r="S1928"/>
  <c r="T1928"/>
  <c r="U1928"/>
  <c r="X1928"/>
  <c r="Y1928"/>
  <c r="Z1928"/>
  <c r="AA1928"/>
  <c r="AB1928"/>
  <c r="AC1928"/>
  <c r="AD1928"/>
  <c r="AE1928"/>
  <c r="AF1928"/>
  <c r="AG1928"/>
  <c r="AH1928"/>
  <c r="AI1928"/>
  <c r="AJ1928"/>
  <c r="AK1928"/>
  <c r="C1929"/>
  <c r="H1929"/>
  <c r="I1929"/>
  <c r="J1929"/>
  <c r="K1929"/>
  <c r="M1929"/>
  <c r="P1929"/>
  <c r="R1929"/>
  <c r="S1929"/>
  <c r="T1929"/>
  <c r="U1929"/>
  <c r="X1929"/>
  <c r="Y1929"/>
  <c r="Z1929"/>
  <c r="AA1929"/>
  <c r="AB1929"/>
  <c r="AC1929"/>
  <c r="AD1929"/>
  <c r="AE1929"/>
  <c r="AF1929"/>
  <c r="AG1929"/>
  <c r="AH1929"/>
  <c r="AI1929"/>
  <c r="AJ1929"/>
  <c r="AK1929"/>
  <c r="C1930"/>
  <c r="H1930"/>
  <c r="I1930"/>
  <c r="J1930"/>
  <c r="K1930"/>
  <c r="M1930"/>
  <c r="P1930"/>
  <c r="R1930"/>
  <c r="S1930"/>
  <c r="T1930"/>
  <c r="U1930"/>
  <c r="X1930"/>
  <c r="Y1930"/>
  <c r="Z1930"/>
  <c r="AA1930"/>
  <c r="AB1930"/>
  <c r="AC1930"/>
  <c r="AD1930"/>
  <c r="AE1930"/>
  <c r="AF1930"/>
  <c r="AG1930"/>
  <c r="AH1930"/>
  <c r="AI1930"/>
  <c r="AJ1930"/>
  <c r="AK1930"/>
  <c r="C1931"/>
  <c r="H1931"/>
  <c r="I1931"/>
  <c r="J1931"/>
  <c r="K1931"/>
  <c r="M1931"/>
  <c r="P1931"/>
  <c r="R1931"/>
  <c r="S1931"/>
  <c r="T1931"/>
  <c r="U1931"/>
  <c r="X1931"/>
  <c r="Y1931"/>
  <c r="Z1931"/>
  <c r="AA1931"/>
  <c r="AB1931"/>
  <c r="AC1931"/>
  <c r="AD1931"/>
  <c r="AE1931"/>
  <c r="AF1931"/>
  <c r="AG1931"/>
  <c r="AH1931"/>
  <c r="AI1931"/>
  <c r="AJ1931"/>
  <c r="AK1931"/>
  <c r="C1912"/>
  <c r="H1912"/>
  <c r="I1912"/>
  <c r="J1912"/>
  <c r="K1912"/>
  <c r="M1912"/>
  <c r="P1912"/>
  <c r="R1912"/>
  <c r="S1912"/>
  <c r="T1912"/>
  <c r="U1912"/>
  <c r="X1912"/>
  <c r="Y1912"/>
  <c r="Z1912"/>
  <c r="AA1912"/>
  <c r="AB1912"/>
  <c r="AC1912"/>
  <c r="AD1912"/>
  <c r="AE1912"/>
  <c r="AF1912"/>
  <c r="AG1912"/>
  <c r="AH1912"/>
  <c r="AI1912"/>
  <c r="AJ1912"/>
  <c r="AK1912"/>
  <c r="C1913"/>
  <c r="H1913"/>
  <c r="I1913"/>
  <c r="J1913"/>
  <c r="K1913"/>
  <c r="M1913"/>
  <c r="P1913"/>
  <c r="R1913"/>
  <c r="S1913"/>
  <c r="T1913"/>
  <c r="U1913"/>
  <c r="X1913"/>
  <c r="Y1913"/>
  <c r="Z1913"/>
  <c r="AA1913"/>
  <c r="AB1913"/>
  <c r="AC1913"/>
  <c r="AD1913"/>
  <c r="AE1913"/>
  <c r="AF1913"/>
  <c r="AG1913"/>
  <c r="AH1913"/>
  <c r="AI1913"/>
  <c r="AJ1913"/>
  <c r="AK1913"/>
  <c r="C1914"/>
  <c r="H1914"/>
  <c r="I1914"/>
  <c r="J1914"/>
  <c r="K1914"/>
  <c r="M1914"/>
  <c r="P1914"/>
  <c r="R1914"/>
  <c r="S1914"/>
  <c r="T1914"/>
  <c r="U1914"/>
  <c r="X1914"/>
  <c r="Y1914"/>
  <c r="Z1914"/>
  <c r="AA1914"/>
  <c r="AB1914"/>
  <c r="AC1914"/>
  <c r="AD1914"/>
  <c r="AE1914"/>
  <c r="AF1914"/>
  <c r="AG1914"/>
  <c r="AH1914"/>
  <c r="AI1914"/>
  <c r="AJ1914"/>
  <c r="AK1914"/>
  <c r="C1915"/>
  <c r="H1915"/>
  <c r="I1915"/>
  <c r="J1915"/>
  <c r="K1915"/>
  <c r="M1915"/>
  <c r="P1915"/>
  <c r="R1915"/>
  <c r="S1915"/>
  <c r="T1915"/>
  <c r="U1915"/>
  <c r="X1915"/>
  <c r="Y1915"/>
  <c r="Z1915"/>
  <c r="AA1915"/>
  <c r="AB1915"/>
  <c r="AC1915"/>
  <c r="AD1915"/>
  <c r="AE1915"/>
  <c r="AF1915"/>
  <c r="AG1915"/>
  <c r="AH1915"/>
  <c r="AI1915"/>
  <c r="AJ1915"/>
  <c r="AK1915"/>
  <c r="C1916"/>
  <c r="H1916"/>
  <c r="I1916"/>
  <c r="J1916"/>
  <c r="K1916"/>
  <c r="M1916"/>
  <c r="P1916"/>
  <c r="R1916"/>
  <c r="S1916"/>
  <c r="T1916"/>
  <c r="U1916"/>
  <c r="X1916"/>
  <c r="Y1916"/>
  <c r="Z1916"/>
  <c r="AA1916"/>
  <c r="AB1916"/>
  <c r="AC1916"/>
  <c r="AD1916"/>
  <c r="AE1916"/>
  <c r="AF1916"/>
  <c r="AG1916"/>
  <c r="AH1916"/>
  <c r="AI1916"/>
  <c r="AJ1916"/>
  <c r="AK1916"/>
  <c r="C1917"/>
  <c r="H1917"/>
  <c r="I1917"/>
  <c r="J1917"/>
  <c r="K1917"/>
  <c r="M1917"/>
  <c r="P1917"/>
  <c r="R1917"/>
  <c r="S1917"/>
  <c r="T1917"/>
  <c r="U1917"/>
  <c r="X1917"/>
  <c r="Y1917"/>
  <c r="Z1917"/>
  <c r="AA1917"/>
  <c r="AB1917"/>
  <c r="AC1917"/>
  <c r="AD1917"/>
  <c r="AE1917"/>
  <c r="AF1917"/>
  <c r="AG1917"/>
  <c r="AH1917"/>
  <c r="AI1917"/>
  <c r="AJ1917"/>
  <c r="AK1917"/>
  <c r="C1918"/>
  <c r="H1918"/>
  <c r="I1918"/>
  <c r="J1918"/>
  <c r="K1918"/>
  <c r="M1918"/>
  <c r="P1918"/>
  <c r="R1918"/>
  <c r="S1918"/>
  <c r="T1918"/>
  <c r="U1918"/>
  <c r="X1918"/>
  <c r="Y1918"/>
  <c r="Z1918"/>
  <c r="AA1918"/>
  <c r="AB1918"/>
  <c r="AC1918"/>
  <c r="AD1918"/>
  <c r="AE1918"/>
  <c r="AF1918"/>
  <c r="AG1918"/>
  <c r="AH1918"/>
  <c r="AI1918"/>
  <c r="AJ1918"/>
  <c r="AK1918"/>
  <c r="C1919"/>
  <c r="H1919"/>
  <c r="I1919"/>
  <c r="J1919"/>
  <c r="K1919"/>
  <c r="M1919"/>
  <c r="P1919"/>
  <c r="R1919"/>
  <c r="S1919"/>
  <c r="T1919"/>
  <c r="U1919"/>
  <c r="X1919"/>
  <c r="Y1919"/>
  <c r="Z1919"/>
  <c r="AA1919"/>
  <c r="AB1919"/>
  <c r="AC1919"/>
  <c r="AD1919"/>
  <c r="AE1919"/>
  <c r="AF1919"/>
  <c r="AG1919"/>
  <c r="AH1919"/>
  <c r="AI1919"/>
  <c r="AJ1919"/>
  <c r="AK1919"/>
  <c r="C1920"/>
  <c r="H1920"/>
  <c r="I1920"/>
  <c r="J1920"/>
  <c r="K1920"/>
  <c r="M1920"/>
  <c r="P1920"/>
  <c r="R1920"/>
  <c r="S1920"/>
  <c r="T1920"/>
  <c r="U1920"/>
  <c r="X1920"/>
  <c r="Y1920"/>
  <c r="Z1920"/>
  <c r="AA1920"/>
  <c r="AB1920"/>
  <c r="AC1920"/>
  <c r="AD1920"/>
  <c r="AE1920"/>
  <c r="AF1920"/>
  <c r="AG1920"/>
  <c r="AH1920"/>
  <c r="AI1920"/>
  <c r="AJ1920"/>
  <c r="AK1920"/>
  <c r="C1921"/>
  <c r="H1921"/>
  <c r="I1921"/>
  <c r="J1921"/>
  <c r="K1921"/>
  <c r="M1921"/>
  <c r="P1921"/>
  <c r="R1921"/>
  <c r="S1921"/>
  <c r="T1921"/>
  <c r="U1921"/>
  <c r="X1921"/>
  <c r="Y1921"/>
  <c r="Z1921"/>
  <c r="AA1921"/>
  <c r="AB1921"/>
  <c r="AC1921"/>
  <c r="AD1921"/>
  <c r="AE1921"/>
  <c r="AF1921"/>
  <c r="AG1921"/>
  <c r="AH1921"/>
  <c r="AI1921"/>
  <c r="AJ1921"/>
  <c r="AK1921"/>
  <c r="C1902"/>
  <c r="H1902"/>
  <c r="I1902"/>
  <c r="J1902"/>
  <c r="K1902"/>
  <c r="M1902"/>
  <c r="P1902"/>
  <c r="R1902"/>
  <c r="S1902"/>
  <c r="T1902"/>
  <c r="U1902"/>
  <c r="X1902"/>
  <c r="Y1902"/>
  <c r="Z1902"/>
  <c r="AA1902"/>
  <c r="AB1902"/>
  <c r="AC1902"/>
  <c r="AD1902"/>
  <c r="AE1902"/>
  <c r="AF1902"/>
  <c r="AG1902"/>
  <c r="AH1902"/>
  <c r="AI1902"/>
  <c r="AJ1902"/>
  <c r="AK1902"/>
  <c r="C1903"/>
  <c r="H1903"/>
  <c r="I1903"/>
  <c r="J1903"/>
  <c r="K1903"/>
  <c r="M1903"/>
  <c r="P1903"/>
  <c r="R1903"/>
  <c r="S1903"/>
  <c r="T1903"/>
  <c r="U1903"/>
  <c r="X1903"/>
  <c r="Y1903"/>
  <c r="Z1903"/>
  <c r="AA1903"/>
  <c r="AB1903"/>
  <c r="AC1903"/>
  <c r="AD1903"/>
  <c r="AE1903"/>
  <c r="AF1903"/>
  <c r="AG1903"/>
  <c r="AH1903"/>
  <c r="AI1903"/>
  <c r="AJ1903"/>
  <c r="AK1903"/>
  <c r="C1904"/>
  <c r="H1904"/>
  <c r="I1904"/>
  <c r="J1904"/>
  <c r="K1904"/>
  <c r="M1904"/>
  <c r="P1904"/>
  <c r="R1904"/>
  <c r="S1904"/>
  <c r="T1904"/>
  <c r="U1904"/>
  <c r="X1904"/>
  <c r="Y1904"/>
  <c r="Z1904"/>
  <c r="AA1904"/>
  <c r="AB1904"/>
  <c r="AC1904"/>
  <c r="AD1904"/>
  <c r="AE1904"/>
  <c r="AF1904"/>
  <c r="AG1904"/>
  <c r="AH1904"/>
  <c r="AI1904"/>
  <c r="AJ1904"/>
  <c r="AK1904"/>
  <c r="C1905"/>
  <c r="H1905"/>
  <c r="I1905"/>
  <c r="J1905"/>
  <c r="K1905"/>
  <c r="M1905"/>
  <c r="P1905"/>
  <c r="R1905"/>
  <c r="S1905"/>
  <c r="T1905"/>
  <c r="U1905"/>
  <c r="X1905"/>
  <c r="Y1905"/>
  <c r="Z1905"/>
  <c r="AA1905"/>
  <c r="AB1905"/>
  <c r="AC1905"/>
  <c r="AD1905"/>
  <c r="AE1905"/>
  <c r="AF1905"/>
  <c r="AG1905"/>
  <c r="AH1905"/>
  <c r="AI1905"/>
  <c r="AJ1905"/>
  <c r="AK1905"/>
  <c r="C1906"/>
  <c r="H1906"/>
  <c r="I1906"/>
  <c r="J1906"/>
  <c r="K1906"/>
  <c r="M1906"/>
  <c r="P1906"/>
  <c r="R1906"/>
  <c r="S1906"/>
  <c r="T1906"/>
  <c r="U1906"/>
  <c r="X1906"/>
  <c r="Y1906"/>
  <c r="Z1906"/>
  <c r="AA1906"/>
  <c r="AB1906"/>
  <c r="AC1906"/>
  <c r="AD1906"/>
  <c r="AE1906"/>
  <c r="AF1906"/>
  <c r="AG1906"/>
  <c r="AH1906"/>
  <c r="AI1906"/>
  <c r="AJ1906"/>
  <c r="AK1906"/>
  <c r="C1907"/>
  <c r="H1907"/>
  <c r="I1907"/>
  <c r="J1907"/>
  <c r="K1907"/>
  <c r="M1907"/>
  <c r="P1907"/>
  <c r="R1907"/>
  <c r="S1907"/>
  <c r="T1907"/>
  <c r="U1907"/>
  <c r="X1907"/>
  <c r="Y1907"/>
  <c r="Z1907"/>
  <c r="AA1907"/>
  <c r="AB1907"/>
  <c r="AC1907"/>
  <c r="AD1907"/>
  <c r="AE1907"/>
  <c r="AF1907"/>
  <c r="AG1907"/>
  <c r="AH1907"/>
  <c r="AI1907"/>
  <c r="AJ1907"/>
  <c r="AK1907"/>
  <c r="C1908"/>
  <c r="H1908"/>
  <c r="I1908"/>
  <c r="J1908"/>
  <c r="K1908"/>
  <c r="M1908"/>
  <c r="P1908"/>
  <c r="R1908"/>
  <c r="S1908"/>
  <c r="T1908"/>
  <c r="U1908"/>
  <c r="X1908"/>
  <c r="Y1908"/>
  <c r="Z1908"/>
  <c r="AA1908"/>
  <c r="AB1908"/>
  <c r="AC1908"/>
  <c r="AD1908"/>
  <c r="AE1908"/>
  <c r="AF1908"/>
  <c r="AG1908"/>
  <c r="AH1908"/>
  <c r="AI1908"/>
  <c r="AJ1908"/>
  <c r="AK1908"/>
  <c r="C1909"/>
  <c r="H1909"/>
  <c r="I1909"/>
  <c r="J1909"/>
  <c r="K1909"/>
  <c r="M1909"/>
  <c r="P1909"/>
  <c r="R1909"/>
  <c r="S1909"/>
  <c r="T1909"/>
  <c r="U1909"/>
  <c r="X1909"/>
  <c r="Y1909"/>
  <c r="Z1909"/>
  <c r="AA1909"/>
  <c r="AB1909"/>
  <c r="AC1909"/>
  <c r="AD1909"/>
  <c r="AE1909"/>
  <c r="AF1909"/>
  <c r="AG1909"/>
  <c r="AH1909"/>
  <c r="AI1909"/>
  <c r="AJ1909"/>
  <c r="AK1909"/>
  <c r="C1910"/>
  <c r="H1910"/>
  <c r="I1910"/>
  <c r="J1910"/>
  <c r="K1910"/>
  <c r="M1910"/>
  <c r="P1910"/>
  <c r="R1910"/>
  <c r="S1910"/>
  <c r="T1910"/>
  <c r="U1910"/>
  <c r="X1910"/>
  <c r="Y1910"/>
  <c r="Z1910"/>
  <c r="AA1910"/>
  <c r="AB1910"/>
  <c r="AC1910"/>
  <c r="AD1910"/>
  <c r="AE1910"/>
  <c r="AF1910"/>
  <c r="AG1910"/>
  <c r="AH1910"/>
  <c r="AI1910"/>
  <c r="AJ1910"/>
  <c r="AK1910"/>
  <c r="C1911"/>
  <c r="H1911"/>
  <c r="I1911"/>
  <c r="J1911"/>
  <c r="K1911"/>
  <c r="M1911"/>
  <c r="P1911"/>
  <c r="R1911"/>
  <c r="S1911"/>
  <c r="T1911"/>
  <c r="U1911"/>
  <c r="X1911"/>
  <c r="Y1911"/>
  <c r="Z1911"/>
  <c r="AA1911"/>
  <c r="AB1911"/>
  <c r="AC1911"/>
  <c r="AD1911"/>
  <c r="AE1911"/>
  <c r="AF1911"/>
  <c r="AG1911"/>
  <c r="AH1911"/>
  <c r="AI1911"/>
  <c r="AJ1911"/>
  <c r="AK1911"/>
  <c r="C1892"/>
  <c r="H1892"/>
  <c r="I1892"/>
  <c r="J1892"/>
  <c r="K1892"/>
  <c r="M1892"/>
  <c r="P1892"/>
  <c r="R1892"/>
  <c r="S1892"/>
  <c r="T1892"/>
  <c r="U1892"/>
  <c r="X1892"/>
  <c r="Y1892"/>
  <c r="Z1892"/>
  <c r="AA1892"/>
  <c r="AB1892"/>
  <c r="AC1892"/>
  <c r="AD1892"/>
  <c r="AE1892"/>
  <c r="AF1892"/>
  <c r="AG1892"/>
  <c r="AH1892"/>
  <c r="AI1892"/>
  <c r="AJ1892"/>
  <c r="AK1892"/>
  <c r="C1893"/>
  <c r="H1893"/>
  <c r="I1893"/>
  <c r="J1893"/>
  <c r="K1893"/>
  <c r="M1893"/>
  <c r="P1893"/>
  <c r="R1893"/>
  <c r="S1893"/>
  <c r="T1893"/>
  <c r="U1893"/>
  <c r="X1893"/>
  <c r="Y1893"/>
  <c r="Z1893"/>
  <c r="AA1893"/>
  <c r="AB1893"/>
  <c r="AC1893"/>
  <c r="AD1893"/>
  <c r="AE1893"/>
  <c r="AF1893"/>
  <c r="AG1893"/>
  <c r="AH1893"/>
  <c r="AI1893"/>
  <c r="AJ1893"/>
  <c r="AK1893"/>
  <c r="C1894"/>
  <c r="H1894"/>
  <c r="I1894"/>
  <c r="J1894"/>
  <c r="K1894"/>
  <c r="M1894"/>
  <c r="P1894"/>
  <c r="R1894"/>
  <c r="S1894"/>
  <c r="T1894"/>
  <c r="U1894"/>
  <c r="X1894"/>
  <c r="Y1894"/>
  <c r="Z1894"/>
  <c r="AA1894"/>
  <c r="AB1894"/>
  <c r="AC1894"/>
  <c r="AD1894"/>
  <c r="AE1894"/>
  <c r="AF1894"/>
  <c r="AG1894"/>
  <c r="AH1894"/>
  <c r="AI1894"/>
  <c r="AJ1894"/>
  <c r="AK1894"/>
  <c r="C1895"/>
  <c r="H1895"/>
  <c r="I1895"/>
  <c r="J1895"/>
  <c r="K1895"/>
  <c r="M1895"/>
  <c r="P1895"/>
  <c r="R1895"/>
  <c r="S1895"/>
  <c r="T1895"/>
  <c r="U1895"/>
  <c r="X1895"/>
  <c r="Y1895"/>
  <c r="Z1895"/>
  <c r="AA1895"/>
  <c r="AB1895"/>
  <c r="AC1895"/>
  <c r="AD1895"/>
  <c r="AE1895"/>
  <c r="AF1895"/>
  <c r="AG1895"/>
  <c r="AH1895"/>
  <c r="AI1895"/>
  <c r="AJ1895"/>
  <c r="AK1895"/>
  <c r="C1896"/>
  <c r="H1896"/>
  <c r="I1896"/>
  <c r="J1896"/>
  <c r="K1896"/>
  <c r="M1896"/>
  <c r="P1896"/>
  <c r="R1896"/>
  <c r="S1896"/>
  <c r="T1896"/>
  <c r="U1896"/>
  <c r="X1896"/>
  <c r="Y1896"/>
  <c r="Z1896"/>
  <c r="AA1896"/>
  <c r="AB1896"/>
  <c r="AC1896"/>
  <c r="AD1896"/>
  <c r="AE1896"/>
  <c r="AF1896"/>
  <c r="AG1896"/>
  <c r="AH1896"/>
  <c r="AI1896"/>
  <c r="AJ1896"/>
  <c r="AK1896"/>
  <c r="C1897"/>
  <c r="H1897"/>
  <c r="I1897"/>
  <c r="J1897"/>
  <c r="K1897"/>
  <c r="M1897"/>
  <c r="P1897"/>
  <c r="R1897"/>
  <c r="S1897"/>
  <c r="T1897"/>
  <c r="U1897"/>
  <c r="X1897"/>
  <c r="Y1897"/>
  <c r="Z1897"/>
  <c r="AA1897"/>
  <c r="AB1897"/>
  <c r="AC1897"/>
  <c r="AD1897"/>
  <c r="AE1897"/>
  <c r="AF1897"/>
  <c r="AG1897"/>
  <c r="AH1897"/>
  <c r="AI1897"/>
  <c r="AJ1897"/>
  <c r="AK1897"/>
  <c r="C1898"/>
  <c r="H1898"/>
  <c r="I1898"/>
  <c r="J1898"/>
  <c r="K1898"/>
  <c r="M1898"/>
  <c r="P1898"/>
  <c r="R1898"/>
  <c r="S1898"/>
  <c r="T1898"/>
  <c r="U1898"/>
  <c r="X1898"/>
  <c r="Y1898"/>
  <c r="Z1898"/>
  <c r="AA1898"/>
  <c r="AB1898"/>
  <c r="AC1898"/>
  <c r="AD1898"/>
  <c r="AE1898"/>
  <c r="AF1898"/>
  <c r="AG1898"/>
  <c r="AH1898"/>
  <c r="AI1898"/>
  <c r="AJ1898"/>
  <c r="AK1898"/>
  <c r="C1899"/>
  <c r="H1899"/>
  <c r="I1899"/>
  <c r="J1899"/>
  <c r="K1899"/>
  <c r="M1899"/>
  <c r="P1899"/>
  <c r="R1899"/>
  <c r="S1899"/>
  <c r="T1899"/>
  <c r="U1899"/>
  <c r="X1899"/>
  <c r="Y1899"/>
  <c r="Z1899"/>
  <c r="AA1899"/>
  <c r="AB1899"/>
  <c r="AC1899"/>
  <c r="AD1899"/>
  <c r="AE1899"/>
  <c r="AF1899"/>
  <c r="AG1899"/>
  <c r="AH1899"/>
  <c r="AI1899"/>
  <c r="AJ1899"/>
  <c r="AK1899"/>
  <c r="C1900"/>
  <c r="H1900"/>
  <c r="I1900"/>
  <c r="J1900"/>
  <c r="K1900"/>
  <c r="M1900"/>
  <c r="P1900"/>
  <c r="R1900"/>
  <c r="S1900"/>
  <c r="T1900"/>
  <c r="U1900"/>
  <c r="X1900"/>
  <c r="Y1900"/>
  <c r="Z1900"/>
  <c r="AA1900"/>
  <c r="AB1900"/>
  <c r="AC1900"/>
  <c r="AD1900"/>
  <c r="AE1900"/>
  <c r="AF1900"/>
  <c r="AG1900"/>
  <c r="AH1900"/>
  <c r="AI1900"/>
  <c r="AJ1900"/>
  <c r="AK1900"/>
  <c r="C1901"/>
  <c r="H1901"/>
  <c r="I1901"/>
  <c r="J1901"/>
  <c r="K1901"/>
  <c r="M1901"/>
  <c r="P1901"/>
  <c r="R1901"/>
  <c r="S1901"/>
  <c r="T1901"/>
  <c r="U1901"/>
  <c r="X1901"/>
  <c r="Y1901"/>
  <c r="Z1901"/>
  <c r="AA1901"/>
  <c r="AB1901"/>
  <c r="AC1901"/>
  <c r="AD1901"/>
  <c r="AE1901"/>
  <c r="AF1901"/>
  <c r="AG1901"/>
  <c r="AH1901"/>
  <c r="AI1901"/>
  <c r="AJ1901"/>
  <c r="AK1901"/>
  <c r="C1882"/>
  <c r="H1882"/>
  <c r="I1882"/>
  <c r="J1882"/>
  <c r="K1882"/>
  <c r="M1882"/>
  <c r="P1882"/>
  <c r="R1882"/>
  <c r="S1882"/>
  <c r="T1882"/>
  <c r="U1882"/>
  <c r="X1882"/>
  <c r="Y1882"/>
  <c r="Z1882"/>
  <c r="AA1882"/>
  <c r="AB1882"/>
  <c r="AC1882"/>
  <c r="AD1882"/>
  <c r="AE1882"/>
  <c r="AF1882"/>
  <c r="AG1882"/>
  <c r="AH1882"/>
  <c r="AI1882"/>
  <c r="AJ1882"/>
  <c r="AK1882"/>
  <c r="C1883"/>
  <c r="H1883"/>
  <c r="I1883"/>
  <c r="J1883"/>
  <c r="K1883"/>
  <c r="M1883"/>
  <c r="P1883"/>
  <c r="R1883"/>
  <c r="S1883"/>
  <c r="T1883"/>
  <c r="U1883"/>
  <c r="X1883"/>
  <c r="Y1883"/>
  <c r="Z1883"/>
  <c r="AA1883"/>
  <c r="AB1883"/>
  <c r="AC1883"/>
  <c r="AD1883"/>
  <c r="AE1883"/>
  <c r="AF1883"/>
  <c r="AG1883"/>
  <c r="AH1883"/>
  <c r="AI1883"/>
  <c r="AJ1883"/>
  <c r="AK1883"/>
  <c r="C1884"/>
  <c r="H1884"/>
  <c r="I1884"/>
  <c r="J1884"/>
  <c r="K1884"/>
  <c r="M1884"/>
  <c r="P1884"/>
  <c r="R1884"/>
  <c r="S1884"/>
  <c r="T1884"/>
  <c r="U1884"/>
  <c r="X1884"/>
  <c r="Y1884"/>
  <c r="Z1884"/>
  <c r="AA1884"/>
  <c r="AB1884"/>
  <c r="AC1884"/>
  <c r="AD1884"/>
  <c r="AE1884"/>
  <c r="AF1884"/>
  <c r="AG1884"/>
  <c r="AH1884"/>
  <c r="AI1884"/>
  <c r="AJ1884"/>
  <c r="AK1884"/>
  <c r="C1885"/>
  <c r="H1885"/>
  <c r="I1885"/>
  <c r="J1885"/>
  <c r="K1885"/>
  <c r="M1885"/>
  <c r="P1885"/>
  <c r="R1885"/>
  <c r="S1885"/>
  <c r="T1885"/>
  <c r="U1885"/>
  <c r="X1885"/>
  <c r="Y1885"/>
  <c r="Z1885"/>
  <c r="AA1885"/>
  <c r="AB1885"/>
  <c r="AC1885"/>
  <c r="AD1885"/>
  <c r="AE1885"/>
  <c r="AF1885"/>
  <c r="AG1885"/>
  <c r="AH1885"/>
  <c r="AI1885"/>
  <c r="AJ1885"/>
  <c r="AK1885"/>
  <c r="C1886"/>
  <c r="H1886"/>
  <c r="I1886"/>
  <c r="J1886"/>
  <c r="K1886"/>
  <c r="M1886"/>
  <c r="P1886"/>
  <c r="R1886"/>
  <c r="S1886"/>
  <c r="T1886"/>
  <c r="U1886"/>
  <c r="X1886"/>
  <c r="Y1886"/>
  <c r="Z1886"/>
  <c r="AA1886"/>
  <c r="AB1886"/>
  <c r="AC1886"/>
  <c r="AD1886"/>
  <c r="AE1886"/>
  <c r="AF1886"/>
  <c r="AG1886"/>
  <c r="AH1886"/>
  <c r="AI1886"/>
  <c r="AJ1886"/>
  <c r="AK1886"/>
  <c r="C1887"/>
  <c r="H1887"/>
  <c r="I1887"/>
  <c r="J1887"/>
  <c r="K1887"/>
  <c r="M1887"/>
  <c r="P1887"/>
  <c r="R1887"/>
  <c r="S1887"/>
  <c r="T1887"/>
  <c r="U1887"/>
  <c r="X1887"/>
  <c r="Y1887"/>
  <c r="Z1887"/>
  <c r="AA1887"/>
  <c r="AB1887"/>
  <c r="AC1887"/>
  <c r="AD1887"/>
  <c r="AE1887"/>
  <c r="AF1887"/>
  <c r="AG1887"/>
  <c r="AH1887"/>
  <c r="AI1887"/>
  <c r="AJ1887"/>
  <c r="AK1887"/>
  <c r="C1888"/>
  <c r="H1888"/>
  <c r="I1888"/>
  <c r="J1888"/>
  <c r="K1888"/>
  <c r="M1888"/>
  <c r="P1888"/>
  <c r="R1888"/>
  <c r="S1888"/>
  <c r="T1888"/>
  <c r="U1888"/>
  <c r="X1888"/>
  <c r="Y1888"/>
  <c r="Z1888"/>
  <c r="AA1888"/>
  <c r="AB1888"/>
  <c r="AC1888"/>
  <c r="AD1888"/>
  <c r="AE1888"/>
  <c r="AF1888"/>
  <c r="AG1888"/>
  <c r="AH1888"/>
  <c r="AI1888"/>
  <c r="AJ1888"/>
  <c r="AK1888"/>
  <c r="C1889"/>
  <c r="H1889"/>
  <c r="I1889"/>
  <c r="J1889"/>
  <c r="K1889"/>
  <c r="M1889"/>
  <c r="P1889"/>
  <c r="R1889"/>
  <c r="S1889"/>
  <c r="T1889"/>
  <c r="U1889"/>
  <c r="X1889"/>
  <c r="Y1889"/>
  <c r="Z1889"/>
  <c r="AA1889"/>
  <c r="AB1889"/>
  <c r="AC1889"/>
  <c r="AD1889"/>
  <c r="AE1889"/>
  <c r="AF1889"/>
  <c r="AG1889"/>
  <c r="AH1889"/>
  <c r="AI1889"/>
  <c r="AJ1889"/>
  <c r="AK1889"/>
  <c r="C1890"/>
  <c r="H1890"/>
  <c r="I1890"/>
  <c r="J1890"/>
  <c r="K1890"/>
  <c r="M1890"/>
  <c r="P1890"/>
  <c r="R1890"/>
  <c r="S1890"/>
  <c r="T1890"/>
  <c r="U1890"/>
  <c r="X1890"/>
  <c r="Y1890"/>
  <c r="Z1890"/>
  <c r="AA1890"/>
  <c r="AB1890"/>
  <c r="AC1890"/>
  <c r="AD1890"/>
  <c r="AE1890"/>
  <c r="AF1890"/>
  <c r="AG1890"/>
  <c r="AH1890"/>
  <c r="AI1890"/>
  <c r="AJ1890"/>
  <c r="AK1890"/>
  <c r="C1891"/>
  <c r="H1891"/>
  <c r="I1891"/>
  <c r="J1891"/>
  <c r="K1891"/>
  <c r="M1891"/>
  <c r="P1891"/>
  <c r="R1891"/>
  <c r="S1891"/>
  <c r="T1891"/>
  <c r="U1891"/>
  <c r="X1891"/>
  <c r="Y1891"/>
  <c r="Z1891"/>
  <c r="AA1891"/>
  <c r="AB1891"/>
  <c r="AC1891"/>
  <c r="AD1891"/>
  <c r="AE1891"/>
  <c r="AF1891"/>
  <c r="AG1891"/>
  <c r="AH1891"/>
  <c r="AI1891"/>
  <c r="AJ1891"/>
  <c r="AK1891"/>
  <c r="C1872"/>
  <c r="H1872"/>
  <c r="I1872"/>
  <c r="J1872"/>
  <c r="K1872"/>
  <c r="M1872"/>
  <c r="P1872"/>
  <c r="R1872"/>
  <c r="S1872"/>
  <c r="T1872"/>
  <c r="U1872"/>
  <c r="X1872"/>
  <c r="Y1872"/>
  <c r="Z1872"/>
  <c r="AA1872"/>
  <c r="AB1872"/>
  <c r="AC1872"/>
  <c r="AD1872"/>
  <c r="AE1872"/>
  <c r="AF1872"/>
  <c r="AG1872"/>
  <c r="AH1872"/>
  <c r="AI1872"/>
  <c r="AJ1872"/>
  <c r="AK1872"/>
  <c r="C1873"/>
  <c r="H1873"/>
  <c r="I1873"/>
  <c r="J1873"/>
  <c r="K1873"/>
  <c r="M1873"/>
  <c r="P1873"/>
  <c r="R1873"/>
  <c r="S1873"/>
  <c r="T1873"/>
  <c r="U1873"/>
  <c r="X1873"/>
  <c r="Y1873"/>
  <c r="Z1873"/>
  <c r="AA1873"/>
  <c r="AB1873"/>
  <c r="AC1873"/>
  <c r="AD1873"/>
  <c r="AE1873"/>
  <c r="AF1873"/>
  <c r="AG1873"/>
  <c r="AH1873"/>
  <c r="AI1873"/>
  <c r="AJ1873"/>
  <c r="AK1873"/>
  <c r="C1874"/>
  <c r="H1874"/>
  <c r="I1874"/>
  <c r="J1874"/>
  <c r="K1874"/>
  <c r="M1874"/>
  <c r="P1874"/>
  <c r="R1874"/>
  <c r="S1874"/>
  <c r="T1874"/>
  <c r="U1874"/>
  <c r="X1874"/>
  <c r="Y1874"/>
  <c r="Z1874"/>
  <c r="AA1874"/>
  <c r="AB1874"/>
  <c r="AC1874"/>
  <c r="AD1874"/>
  <c r="AE1874"/>
  <c r="AF1874"/>
  <c r="AG1874"/>
  <c r="AH1874"/>
  <c r="AI1874"/>
  <c r="AJ1874"/>
  <c r="AK1874"/>
  <c r="C1875"/>
  <c r="H1875"/>
  <c r="I1875"/>
  <c r="J1875"/>
  <c r="K1875"/>
  <c r="M1875"/>
  <c r="P1875"/>
  <c r="R1875"/>
  <c r="S1875"/>
  <c r="T1875"/>
  <c r="U1875"/>
  <c r="X1875"/>
  <c r="Y1875"/>
  <c r="Z1875"/>
  <c r="AA1875"/>
  <c r="AB1875"/>
  <c r="AC1875"/>
  <c r="AD1875"/>
  <c r="AE1875"/>
  <c r="AF1875"/>
  <c r="AG1875"/>
  <c r="AH1875"/>
  <c r="AI1875"/>
  <c r="AJ1875"/>
  <c r="AK1875"/>
  <c r="C1876"/>
  <c r="H1876"/>
  <c r="I1876"/>
  <c r="J1876"/>
  <c r="K1876"/>
  <c r="M1876"/>
  <c r="P1876"/>
  <c r="R1876"/>
  <c r="S1876"/>
  <c r="T1876"/>
  <c r="U1876"/>
  <c r="X1876"/>
  <c r="Y1876"/>
  <c r="Z1876"/>
  <c r="AA1876"/>
  <c r="AB1876"/>
  <c r="AC1876"/>
  <c r="AD1876"/>
  <c r="AE1876"/>
  <c r="AF1876"/>
  <c r="AG1876"/>
  <c r="AH1876"/>
  <c r="AI1876"/>
  <c r="AJ1876"/>
  <c r="AK1876"/>
  <c r="C1877"/>
  <c r="H1877"/>
  <c r="I1877"/>
  <c r="J1877"/>
  <c r="K1877"/>
  <c r="M1877"/>
  <c r="P1877"/>
  <c r="R1877"/>
  <c r="S1877"/>
  <c r="T1877"/>
  <c r="U1877"/>
  <c r="X1877"/>
  <c r="Y1877"/>
  <c r="Z1877"/>
  <c r="AA1877"/>
  <c r="AB1877"/>
  <c r="AC1877"/>
  <c r="AD1877"/>
  <c r="AE1877"/>
  <c r="AF1877"/>
  <c r="AG1877"/>
  <c r="AH1877"/>
  <c r="AI1877"/>
  <c r="AJ1877"/>
  <c r="AK1877"/>
  <c r="C1878"/>
  <c r="H1878"/>
  <c r="I1878"/>
  <c r="J1878"/>
  <c r="K1878"/>
  <c r="M1878"/>
  <c r="P1878"/>
  <c r="R1878"/>
  <c r="S1878"/>
  <c r="T1878"/>
  <c r="U1878"/>
  <c r="X1878"/>
  <c r="Y1878"/>
  <c r="Z1878"/>
  <c r="AA1878"/>
  <c r="AB1878"/>
  <c r="AC1878"/>
  <c r="AD1878"/>
  <c r="AE1878"/>
  <c r="AF1878"/>
  <c r="AG1878"/>
  <c r="AH1878"/>
  <c r="AI1878"/>
  <c r="AJ1878"/>
  <c r="AK1878"/>
  <c r="C1879"/>
  <c r="H1879"/>
  <c r="I1879"/>
  <c r="J1879"/>
  <c r="K1879"/>
  <c r="M1879"/>
  <c r="P1879"/>
  <c r="R1879"/>
  <c r="S1879"/>
  <c r="T1879"/>
  <c r="U1879"/>
  <c r="X1879"/>
  <c r="Y1879"/>
  <c r="Z1879"/>
  <c r="AA1879"/>
  <c r="AB1879"/>
  <c r="AC1879"/>
  <c r="AD1879"/>
  <c r="AE1879"/>
  <c r="AF1879"/>
  <c r="AG1879"/>
  <c r="AH1879"/>
  <c r="AI1879"/>
  <c r="AJ1879"/>
  <c r="AK1879"/>
  <c r="C1880"/>
  <c r="H1880"/>
  <c r="I1880"/>
  <c r="J1880"/>
  <c r="K1880"/>
  <c r="M1880"/>
  <c r="P1880"/>
  <c r="R1880"/>
  <c r="S1880"/>
  <c r="T1880"/>
  <c r="U1880"/>
  <c r="X1880"/>
  <c r="Y1880"/>
  <c r="Z1880"/>
  <c r="AA1880"/>
  <c r="AB1880"/>
  <c r="AC1880"/>
  <c r="AD1880"/>
  <c r="AE1880"/>
  <c r="AF1880"/>
  <c r="AG1880"/>
  <c r="AH1880"/>
  <c r="AI1880"/>
  <c r="AJ1880"/>
  <c r="AK1880"/>
  <c r="C1881"/>
  <c r="H1881"/>
  <c r="I1881"/>
  <c r="J1881"/>
  <c r="K1881"/>
  <c r="M1881"/>
  <c r="P1881"/>
  <c r="R1881"/>
  <c r="S1881"/>
  <c r="T1881"/>
  <c r="U1881"/>
  <c r="X1881"/>
  <c r="Y1881"/>
  <c r="Z1881"/>
  <c r="AA1881"/>
  <c r="AB1881"/>
  <c r="AC1881"/>
  <c r="AD1881"/>
  <c r="AE1881"/>
  <c r="AF1881"/>
  <c r="AG1881"/>
  <c r="AH1881"/>
  <c r="AI1881"/>
  <c r="AJ1881"/>
  <c r="AK1881"/>
  <c r="C1862"/>
  <c r="H1862"/>
  <c r="I1862"/>
  <c r="J1862"/>
  <c r="K1862"/>
  <c r="M1862"/>
  <c r="P1862"/>
  <c r="R1862"/>
  <c r="S1862"/>
  <c r="T1862"/>
  <c r="U1862"/>
  <c r="X1862"/>
  <c r="Y1862"/>
  <c r="Z1862"/>
  <c r="AA1862"/>
  <c r="AB1862"/>
  <c r="AC1862"/>
  <c r="AD1862"/>
  <c r="AE1862"/>
  <c r="AF1862"/>
  <c r="AG1862"/>
  <c r="AH1862"/>
  <c r="AI1862"/>
  <c r="AJ1862"/>
  <c r="AK1862"/>
  <c r="C1863"/>
  <c r="H1863"/>
  <c r="I1863"/>
  <c r="J1863"/>
  <c r="K1863"/>
  <c r="M1863"/>
  <c r="P1863"/>
  <c r="R1863"/>
  <c r="S1863"/>
  <c r="T1863"/>
  <c r="U1863"/>
  <c r="X1863"/>
  <c r="Y1863"/>
  <c r="Z1863"/>
  <c r="AA1863"/>
  <c r="AB1863"/>
  <c r="AC1863"/>
  <c r="AD1863"/>
  <c r="AE1863"/>
  <c r="AF1863"/>
  <c r="AG1863"/>
  <c r="AH1863"/>
  <c r="AI1863"/>
  <c r="AJ1863"/>
  <c r="AK1863"/>
  <c r="C1864"/>
  <c r="H1864"/>
  <c r="I1864"/>
  <c r="J1864"/>
  <c r="K1864"/>
  <c r="M1864"/>
  <c r="P1864"/>
  <c r="R1864"/>
  <c r="S1864"/>
  <c r="T1864"/>
  <c r="U1864"/>
  <c r="X1864"/>
  <c r="Y1864"/>
  <c r="Z1864"/>
  <c r="AA1864"/>
  <c r="AB1864"/>
  <c r="AC1864"/>
  <c r="AD1864"/>
  <c r="AE1864"/>
  <c r="AF1864"/>
  <c r="AG1864"/>
  <c r="AH1864"/>
  <c r="AI1864"/>
  <c r="AJ1864"/>
  <c r="AK1864"/>
  <c r="C1865"/>
  <c r="H1865"/>
  <c r="I1865"/>
  <c r="J1865"/>
  <c r="K1865"/>
  <c r="M1865"/>
  <c r="P1865"/>
  <c r="R1865"/>
  <c r="S1865"/>
  <c r="T1865"/>
  <c r="U1865"/>
  <c r="X1865"/>
  <c r="Y1865"/>
  <c r="Z1865"/>
  <c r="AA1865"/>
  <c r="AB1865"/>
  <c r="AC1865"/>
  <c r="AD1865"/>
  <c r="AE1865"/>
  <c r="AF1865"/>
  <c r="AG1865"/>
  <c r="AH1865"/>
  <c r="AI1865"/>
  <c r="AJ1865"/>
  <c r="AK1865"/>
  <c r="C1866"/>
  <c r="H1866"/>
  <c r="I1866"/>
  <c r="J1866"/>
  <c r="K1866"/>
  <c r="M1866"/>
  <c r="P1866"/>
  <c r="R1866"/>
  <c r="S1866"/>
  <c r="T1866"/>
  <c r="U1866"/>
  <c r="X1866"/>
  <c r="Y1866"/>
  <c r="Z1866"/>
  <c r="AA1866"/>
  <c r="AB1866"/>
  <c r="AC1866"/>
  <c r="AD1866"/>
  <c r="AE1866"/>
  <c r="AF1866"/>
  <c r="AG1866"/>
  <c r="AH1866"/>
  <c r="AI1866"/>
  <c r="AJ1866"/>
  <c r="AK1866"/>
  <c r="C1867"/>
  <c r="H1867"/>
  <c r="I1867"/>
  <c r="J1867"/>
  <c r="K1867"/>
  <c r="M1867"/>
  <c r="P1867"/>
  <c r="R1867"/>
  <c r="S1867"/>
  <c r="T1867"/>
  <c r="U1867"/>
  <c r="X1867"/>
  <c r="Y1867"/>
  <c r="Z1867"/>
  <c r="AA1867"/>
  <c r="AB1867"/>
  <c r="AC1867"/>
  <c r="AD1867"/>
  <c r="AE1867"/>
  <c r="AF1867"/>
  <c r="AG1867"/>
  <c r="AH1867"/>
  <c r="AI1867"/>
  <c r="AJ1867"/>
  <c r="AK1867"/>
  <c r="C1868"/>
  <c r="H1868"/>
  <c r="I1868"/>
  <c r="J1868"/>
  <c r="K1868"/>
  <c r="M1868"/>
  <c r="P1868"/>
  <c r="R1868"/>
  <c r="S1868"/>
  <c r="T1868"/>
  <c r="U1868"/>
  <c r="X1868"/>
  <c r="Y1868"/>
  <c r="Z1868"/>
  <c r="AA1868"/>
  <c r="AB1868"/>
  <c r="AC1868"/>
  <c r="AD1868"/>
  <c r="AE1868"/>
  <c r="AF1868"/>
  <c r="AG1868"/>
  <c r="AH1868"/>
  <c r="AI1868"/>
  <c r="AJ1868"/>
  <c r="AK1868"/>
  <c r="C1869"/>
  <c r="H1869"/>
  <c r="I1869"/>
  <c r="J1869"/>
  <c r="K1869"/>
  <c r="M1869"/>
  <c r="P1869"/>
  <c r="R1869"/>
  <c r="S1869"/>
  <c r="T1869"/>
  <c r="U1869"/>
  <c r="X1869"/>
  <c r="Y1869"/>
  <c r="Z1869"/>
  <c r="AA1869"/>
  <c r="AB1869"/>
  <c r="AC1869"/>
  <c r="AD1869"/>
  <c r="AE1869"/>
  <c r="AF1869"/>
  <c r="AG1869"/>
  <c r="AH1869"/>
  <c r="AI1869"/>
  <c r="AJ1869"/>
  <c r="AK1869"/>
  <c r="C1870"/>
  <c r="H1870"/>
  <c r="I1870"/>
  <c r="J1870"/>
  <c r="K1870"/>
  <c r="M1870"/>
  <c r="P1870"/>
  <c r="R1870"/>
  <c r="S1870"/>
  <c r="T1870"/>
  <c r="U1870"/>
  <c r="X1870"/>
  <c r="Y1870"/>
  <c r="Z1870"/>
  <c r="AA1870"/>
  <c r="AB1870"/>
  <c r="AC1870"/>
  <c r="AD1870"/>
  <c r="AE1870"/>
  <c r="AF1870"/>
  <c r="AG1870"/>
  <c r="AH1870"/>
  <c r="AI1870"/>
  <c r="AJ1870"/>
  <c r="AK1870"/>
  <c r="C1871"/>
  <c r="H1871"/>
  <c r="I1871"/>
  <c r="J1871"/>
  <c r="K1871"/>
  <c r="M1871"/>
  <c r="P1871"/>
  <c r="R1871"/>
  <c r="S1871"/>
  <c r="T1871"/>
  <c r="U1871"/>
  <c r="X1871"/>
  <c r="Y1871"/>
  <c r="Z1871"/>
  <c r="AA1871"/>
  <c r="AB1871"/>
  <c r="AC1871"/>
  <c r="AD1871"/>
  <c r="AE1871"/>
  <c r="AF1871"/>
  <c r="AG1871"/>
  <c r="AH1871"/>
  <c r="AI1871"/>
  <c r="AJ1871"/>
  <c r="AK1871"/>
  <c r="C1852"/>
  <c r="H1852"/>
  <c r="I1852"/>
  <c r="J1852"/>
  <c r="K1852"/>
  <c r="M1852"/>
  <c r="P1852"/>
  <c r="R1852"/>
  <c r="S1852"/>
  <c r="T1852"/>
  <c r="U1852"/>
  <c r="X1852"/>
  <c r="Y1852"/>
  <c r="Z1852"/>
  <c r="AA1852"/>
  <c r="AB1852"/>
  <c r="AC1852"/>
  <c r="AD1852"/>
  <c r="AE1852"/>
  <c r="AF1852"/>
  <c r="AG1852"/>
  <c r="AH1852"/>
  <c r="AI1852"/>
  <c r="AJ1852"/>
  <c r="AK1852"/>
  <c r="C1853"/>
  <c r="H1853"/>
  <c r="I1853"/>
  <c r="J1853"/>
  <c r="K1853"/>
  <c r="M1853"/>
  <c r="P1853"/>
  <c r="R1853"/>
  <c r="S1853"/>
  <c r="T1853"/>
  <c r="U1853"/>
  <c r="X1853"/>
  <c r="Y1853"/>
  <c r="Z1853"/>
  <c r="AA1853"/>
  <c r="AB1853"/>
  <c r="AC1853"/>
  <c r="AD1853"/>
  <c r="AE1853"/>
  <c r="AF1853"/>
  <c r="AG1853"/>
  <c r="AH1853"/>
  <c r="AI1853"/>
  <c r="AJ1853"/>
  <c r="AK1853"/>
  <c r="C1854"/>
  <c r="H1854"/>
  <c r="I1854"/>
  <c r="J1854"/>
  <c r="K1854"/>
  <c r="M1854"/>
  <c r="P1854"/>
  <c r="R1854"/>
  <c r="S1854"/>
  <c r="T1854"/>
  <c r="U1854"/>
  <c r="X1854"/>
  <c r="Y1854"/>
  <c r="Z1854"/>
  <c r="AA1854"/>
  <c r="AB1854"/>
  <c r="AC1854"/>
  <c r="AD1854"/>
  <c r="AE1854"/>
  <c r="AF1854"/>
  <c r="AG1854"/>
  <c r="AH1854"/>
  <c r="AI1854"/>
  <c r="AJ1854"/>
  <c r="AK1854"/>
  <c r="C1855"/>
  <c r="H1855"/>
  <c r="I1855"/>
  <c r="J1855"/>
  <c r="K1855"/>
  <c r="M1855"/>
  <c r="P1855"/>
  <c r="R1855"/>
  <c r="S1855"/>
  <c r="T1855"/>
  <c r="U1855"/>
  <c r="X1855"/>
  <c r="Y1855"/>
  <c r="Z1855"/>
  <c r="AA1855"/>
  <c r="AB1855"/>
  <c r="AC1855"/>
  <c r="AD1855"/>
  <c r="AE1855"/>
  <c r="AF1855"/>
  <c r="AG1855"/>
  <c r="AH1855"/>
  <c r="AI1855"/>
  <c r="AJ1855"/>
  <c r="AK1855"/>
  <c r="C1856"/>
  <c r="H1856"/>
  <c r="I1856"/>
  <c r="J1856"/>
  <c r="K1856"/>
  <c r="M1856"/>
  <c r="P1856"/>
  <c r="R1856"/>
  <c r="S1856"/>
  <c r="T1856"/>
  <c r="U1856"/>
  <c r="X1856"/>
  <c r="Y1856"/>
  <c r="Z1856"/>
  <c r="AA1856"/>
  <c r="AB1856"/>
  <c r="AC1856"/>
  <c r="AD1856"/>
  <c r="AE1856"/>
  <c r="AF1856"/>
  <c r="AG1856"/>
  <c r="AH1856"/>
  <c r="AI1856"/>
  <c r="AJ1856"/>
  <c r="AK1856"/>
  <c r="C1857"/>
  <c r="H1857"/>
  <c r="I1857"/>
  <c r="J1857"/>
  <c r="K1857"/>
  <c r="M1857"/>
  <c r="P1857"/>
  <c r="R1857"/>
  <c r="S1857"/>
  <c r="T1857"/>
  <c r="U1857"/>
  <c r="X1857"/>
  <c r="Y1857"/>
  <c r="Z1857"/>
  <c r="AA1857"/>
  <c r="AB1857"/>
  <c r="AC1857"/>
  <c r="AD1857"/>
  <c r="AE1857"/>
  <c r="AF1857"/>
  <c r="AG1857"/>
  <c r="AH1857"/>
  <c r="AI1857"/>
  <c r="AJ1857"/>
  <c r="AK1857"/>
  <c r="C1858"/>
  <c r="H1858"/>
  <c r="I1858"/>
  <c r="J1858"/>
  <c r="K1858"/>
  <c r="M1858"/>
  <c r="P1858"/>
  <c r="R1858"/>
  <c r="S1858"/>
  <c r="T1858"/>
  <c r="U1858"/>
  <c r="X1858"/>
  <c r="Y1858"/>
  <c r="Z1858"/>
  <c r="AA1858"/>
  <c r="AB1858"/>
  <c r="AC1858"/>
  <c r="AD1858"/>
  <c r="AE1858"/>
  <c r="AF1858"/>
  <c r="AG1858"/>
  <c r="AH1858"/>
  <c r="AI1858"/>
  <c r="AJ1858"/>
  <c r="AK1858"/>
  <c r="C1859"/>
  <c r="H1859"/>
  <c r="I1859"/>
  <c r="J1859"/>
  <c r="K1859"/>
  <c r="M1859"/>
  <c r="P1859"/>
  <c r="R1859"/>
  <c r="S1859"/>
  <c r="T1859"/>
  <c r="U1859"/>
  <c r="X1859"/>
  <c r="Y1859"/>
  <c r="Z1859"/>
  <c r="AA1859"/>
  <c r="AB1859"/>
  <c r="AC1859"/>
  <c r="AD1859"/>
  <c r="AE1859"/>
  <c r="AF1859"/>
  <c r="AG1859"/>
  <c r="AH1859"/>
  <c r="AI1859"/>
  <c r="AJ1859"/>
  <c r="AK1859"/>
  <c r="C1860"/>
  <c r="H1860"/>
  <c r="I1860"/>
  <c r="J1860"/>
  <c r="K1860"/>
  <c r="M1860"/>
  <c r="P1860"/>
  <c r="R1860"/>
  <c r="S1860"/>
  <c r="T1860"/>
  <c r="U1860"/>
  <c r="X1860"/>
  <c r="Y1860"/>
  <c r="Z1860"/>
  <c r="AA1860"/>
  <c r="AB1860"/>
  <c r="AC1860"/>
  <c r="AD1860"/>
  <c r="AE1860"/>
  <c r="AF1860"/>
  <c r="AG1860"/>
  <c r="AH1860"/>
  <c r="AI1860"/>
  <c r="AJ1860"/>
  <c r="AK1860"/>
  <c r="C1861"/>
  <c r="H1861"/>
  <c r="I1861"/>
  <c r="J1861"/>
  <c r="K1861"/>
  <c r="M1861"/>
  <c r="P1861"/>
  <c r="R1861"/>
  <c r="S1861"/>
  <c r="T1861"/>
  <c r="U1861"/>
  <c r="X1861"/>
  <c r="Y1861"/>
  <c r="Z1861"/>
  <c r="AA1861"/>
  <c r="AB1861"/>
  <c r="AC1861"/>
  <c r="AD1861"/>
  <c r="AE1861"/>
  <c r="AF1861"/>
  <c r="AG1861"/>
  <c r="AH1861"/>
  <c r="AI1861"/>
  <c r="AJ1861"/>
  <c r="AK1861"/>
  <c r="C1842"/>
  <c r="H1842"/>
  <c r="I1842"/>
  <c r="J1842"/>
  <c r="K1842"/>
  <c r="M1842"/>
  <c r="P1842"/>
  <c r="R1842"/>
  <c r="S1842"/>
  <c r="T1842"/>
  <c r="U1842"/>
  <c r="X1842"/>
  <c r="Y1842"/>
  <c r="Z1842"/>
  <c r="AA1842"/>
  <c r="AB1842"/>
  <c r="AC1842"/>
  <c r="AD1842"/>
  <c r="AE1842"/>
  <c r="AF1842"/>
  <c r="AG1842"/>
  <c r="AH1842"/>
  <c r="AI1842"/>
  <c r="AJ1842"/>
  <c r="AK1842"/>
  <c r="C1843"/>
  <c r="H1843"/>
  <c r="I1843"/>
  <c r="J1843"/>
  <c r="K1843"/>
  <c r="M1843"/>
  <c r="P1843"/>
  <c r="R1843"/>
  <c r="S1843"/>
  <c r="T1843"/>
  <c r="U1843"/>
  <c r="X1843"/>
  <c r="Y1843"/>
  <c r="Z1843"/>
  <c r="AA1843"/>
  <c r="AB1843"/>
  <c r="AC1843"/>
  <c r="AD1843"/>
  <c r="AE1843"/>
  <c r="AF1843"/>
  <c r="AG1843"/>
  <c r="AH1843"/>
  <c r="AI1843"/>
  <c r="AJ1843"/>
  <c r="AK1843"/>
  <c r="C1844"/>
  <c r="H1844"/>
  <c r="I1844"/>
  <c r="J1844"/>
  <c r="K1844"/>
  <c r="M1844"/>
  <c r="P1844"/>
  <c r="R1844"/>
  <c r="S1844"/>
  <c r="T1844"/>
  <c r="U1844"/>
  <c r="X1844"/>
  <c r="Y1844"/>
  <c r="Z1844"/>
  <c r="AA1844"/>
  <c r="AB1844"/>
  <c r="AC1844"/>
  <c r="AD1844"/>
  <c r="AE1844"/>
  <c r="AF1844"/>
  <c r="AG1844"/>
  <c r="AH1844"/>
  <c r="AI1844"/>
  <c r="AJ1844"/>
  <c r="AK1844"/>
  <c r="C1845"/>
  <c r="H1845"/>
  <c r="I1845"/>
  <c r="J1845"/>
  <c r="K1845"/>
  <c r="M1845"/>
  <c r="P1845"/>
  <c r="R1845"/>
  <c r="S1845"/>
  <c r="T1845"/>
  <c r="U1845"/>
  <c r="X1845"/>
  <c r="Y1845"/>
  <c r="Z1845"/>
  <c r="AA1845"/>
  <c r="AB1845"/>
  <c r="AC1845"/>
  <c r="AD1845"/>
  <c r="AE1845"/>
  <c r="AF1845"/>
  <c r="AG1845"/>
  <c r="AH1845"/>
  <c r="AI1845"/>
  <c r="AJ1845"/>
  <c r="AK1845"/>
  <c r="C1846"/>
  <c r="H1846"/>
  <c r="I1846"/>
  <c r="J1846"/>
  <c r="K1846"/>
  <c r="M1846"/>
  <c r="P1846"/>
  <c r="R1846"/>
  <c r="S1846"/>
  <c r="T1846"/>
  <c r="U1846"/>
  <c r="X1846"/>
  <c r="Y1846"/>
  <c r="Z1846"/>
  <c r="AA1846"/>
  <c r="AB1846"/>
  <c r="AC1846"/>
  <c r="AD1846"/>
  <c r="AE1846"/>
  <c r="AF1846"/>
  <c r="AG1846"/>
  <c r="AH1846"/>
  <c r="AI1846"/>
  <c r="AJ1846"/>
  <c r="AK1846"/>
  <c r="C1847"/>
  <c r="H1847"/>
  <c r="I1847"/>
  <c r="J1847"/>
  <c r="K1847"/>
  <c r="M1847"/>
  <c r="P1847"/>
  <c r="R1847"/>
  <c r="S1847"/>
  <c r="T1847"/>
  <c r="U1847"/>
  <c r="X1847"/>
  <c r="Y1847"/>
  <c r="Z1847"/>
  <c r="AA1847"/>
  <c r="AB1847"/>
  <c r="AC1847"/>
  <c r="AD1847"/>
  <c r="AE1847"/>
  <c r="AF1847"/>
  <c r="AG1847"/>
  <c r="AH1847"/>
  <c r="AI1847"/>
  <c r="AJ1847"/>
  <c r="AK1847"/>
  <c r="C1848"/>
  <c r="H1848"/>
  <c r="I1848"/>
  <c r="J1848"/>
  <c r="K1848"/>
  <c r="M1848"/>
  <c r="P1848"/>
  <c r="R1848"/>
  <c r="S1848"/>
  <c r="T1848"/>
  <c r="U1848"/>
  <c r="X1848"/>
  <c r="Y1848"/>
  <c r="Z1848"/>
  <c r="AA1848"/>
  <c r="AB1848"/>
  <c r="AC1848"/>
  <c r="AD1848"/>
  <c r="AE1848"/>
  <c r="AF1848"/>
  <c r="AG1848"/>
  <c r="AH1848"/>
  <c r="AI1848"/>
  <c r="AJ1848"/>
  <c r="AK1848"/>
  <c r="C1849"/>
  <c r="H1849"/>
  <c r="I1849"/>
  <c r="J1849"/>
  <c r="K1849"/>
  <c r="M1849"/>
  <c r="P1849"/>
  <c r="R1849"/>
  <c r="S1849"/>
  <c r="T1849"/>
  <c r="U1849"/>
  <c r="X1849"/>
  <c r="Y1849"/>
  <c r="Z1849"/>
  <c r="AA1849"/>
  <c r="AB1849"/>
  <c r="AC1849"/>
  <c r="AD1849"/>
  <c r="AE1849"/>
  <c r="AF1849"/>
  <c r="AG1849"/>
  <c r="AH1849"/>
  <c r="AI1849"/>
  <c r="AJ1849"/>
  <c r="AK1849"/>
  <c r="C1850"/>
  <c r="H1850"/>
  <c r="I1850"/>
  <c r="J1850"/>
  <c r="K1850"/>
  <c r="M1850"/>
  <c r="P1850"/>
  <c r="R1850"/>
  <c r="S1850"/>
  <c r="T1850"/>
  <c r="U1850"/>
  <c r="X1850"/>
  <c r="Y1850"/>
  <c r="Z1850"/>
  <c r="AA1850"/>
  <c r="AB1850"/>
  <c r="AC1850"/>
  <c r="AD1850"/>
  <c r="AE1850"/>
  <c r="AF1850"/>
  <c r="AG1850"/>
  <c r="AH1850"/>
  <c r="AI1850"/>
  <c r="AJ1850"/>
  <c r="AK1850"/>
  <c r="C1851"/>
  <c r="H1851"/>
  <c r="I1851"/>
  <c r="J1851"/>
  <c r="K1851"/>
  <c r="M1851"/>
  <c r="P1851"/>
  <c r="R1851"/>
  <c r="S1851"/>
  <c r="T1851"/>
  <c r="U1851"/>
  <c r="X1851"/>
  <c r="Y1851"/>
  <c r="Z1851"/>
  <c r="AA1851"/>
  <c r="AB1851"/>
  <c r="AC1851"/>
  <c r="AD1851"/>
  <c r="AE1851"/>
  <c r="AF1851"/>
  <c r="AG1851"/>
  <c r="AH1851"/>
  <c r="AI1851"/>
  <c r="AJ1851"/>
  <c r="AK1851"/>
  <c r="C1832"/>
  <c r="H1832"/>
  <c r="I1832"/>
  <c r="J1832"/>
  <c r="K1832"/>
  <c r="M1832"/>
  <c r="P1832"/>
  <c r="R1832"/>
  <c r="S1832"/>
  <c r="T1832"/>
  <c r="U1832"/>
  <c r="X1832"/>
  <c r="Y1832"/>
  <c r="Z1832"/>
  <c r="AA1832"/>
  <c r="AB1832"/>
  <c r="AC1832"/>
  <c r="AD1832"/>
  <c r="AE1832"/>
  <c r="AF1832"/>
  <c r="AG1832"/>
  <c r="AH1832"/>
  <c r="AI1832"/>
  <c r="AJ1832"/>
  <c r="AK1832"/>
  <c r="C1833"/>
  <c r="H1833"/>
  <c r="I1833"/>
  <c r="J1833"/>
  <c r="K1833"/>
  <c r="M1833"/>
  <c r="P1833"/>
  <c r="R1833"/>
  <c r="S1833"/>
  <c r="T1833"/>
  <c r="U1833"/>
  <c r="X1833"/>
  <c r="Y1833"/>
  <c r="Z1833"/>
  <c r="AA1833"/>
  <c r="AB1833"/>
  <c r="AC1833"/>
  <c r="AD1833"/>
  <c r="AE1833"/>
  <c r="AF1833"/>
  <c r="AG1833"/>
  <c r="AH1833"/>
  <c r="AI1833"/>
  <c r="AJ1833"/>
  <c r="AK1833"/>
  <c r="C1834"/>
  <c r="H1834"/>
  <c r="I1834"/>
  <c r="J1834"/>
  <c r="K1834"/>
  <c r="M1834"/>
  <c r="P1834"/>
  <c r="R1834"/>
  <c r="S1834"/>
  <c r="T1834"/>
  <c r="U1834"/>
  <c r="X1834"/>
  <c r="Y1834"/>
  <c r="Z1834"/>
  <c r="AA1834"/>
  <c r="AB1834"/>
  <c r="AC1834"/>
  <c r="AD1834"/>
  <c r="AE1834"/>
  <c r="AF1834"/>
  <c r="AG1834"/>
  <c r="AH1834"/>
  <c r="AI1834"/>
  <c r="AJ1834"/>
  <c r="AK1834"/>
  <c r="C1835"/>
  <c r="H1835"/>
  <c r="I1835"/>
  <c r="J1835"/>
  <c r="K1835"/>
  <c r="M1835"/>
  <c r="P1835"/>
  <c r="R1835"/>
  <c r="S1835"/>
  <c r="T1835"/>
  <c r="U1835"/>
  <c r="X1835"/>
  <c r="Y1835"/>
  <c r="Z1835"/>
  <c r="AA1835"/>
  <c r="AB1835"/>
  <c r="AC1835"/>
  <c r="AD1835"/>
  <c r="AE1835"/>
  <c r="AF1835"/>
  <c r="AG1835"/>
  <c r="AH1835"/>
  <c r="AI1835"/>
  <c r="AJ1835"/>
  <c r="AK1835"/>
  <c r="C1836"/>
  <c r="H1836"/>
  <c r="I1836"/>
  <c r="J1836"/>
  <c r="K1836"/>
  <c r="M1836"/>
  <c r="P1836"/>
  <c r="R1836"/>
  <c r="S1836"/>
  <c r="T1836"/>
  <c r="U1836"/>
  <c r="X1836"/>
  <c r="Y1836"/>
  <c r="Z1836"/>
  <c r="AA1836"/>
  <c r="AB1836"/>
  <c r="AC1836"/>
  <c r="AD1836"/>
  <c r="AE1836"/>
  <c r="AF1836"/>
  <c r="AG1836"/>
  <c r="AH1836"/>
  <c r="AI1836"/>
  <c r="AJ1836"/>
  <c r="AK1836"/>
  <c r="C1837"/>
  <c r="H1837"/>
  <c r="I1837"/>
  <c r="J1837"/>
  <c r="K1837"/>
  <c r="M1837"/>
  <c r="P1837"/>
  <c r="R1837"/>
  <c r="S1837"/>
  <c r="T1837"/>
  <c r="U1837"/>
  <c r="X1837"/>
  <c r="Y1837"/>
  <c r="Z1837"/>
  <c r="AA1837"/>
  <c r="AB1837"/>
  <c r="AC1837"/>
  <c r="AD1837"/>
  <c r="AE1837"/>
  <c r="AF1837"/>
  <c r="AG1837"/>
  <c r="AH1837"/>
  <c r="AI1837"/>
  <c r="AJ1837"/>
  <c r="AK1837"/>
  <c r="C1838"/>
  <c r="H1838"/>
  <c r="I1838"/>
  <c r="J1838"/>
  <c r="K1838"/>
  <c r="M1838"/>
  <c r="P1838"/>
  <c r="R1838"/>
  <c r="S1838"/>
  <c r="T1838"/>
  <c r="U1838"/>
  <c r="X1838"/>
  <c r="Y1838"/>
  <c r="Z1838"/>
  <c r="AA1838"/>
  <c r="AB1838"/>
  <c r="AC1838"/>
  <c r="AD1838"/>
  <c r="AE1838"/>
  <c r="AF1838"/>
  <c r="AG1838"/>
  <c r="AH1838"/>
  <c r="AI1838"/>
  <c r="AJ1838"/>
  <c r="AK1838"/>
  <c r="C1839"/>
  <c r="H1839"/>
  <c r="I1839"/>
  <c r="J1839"/>
  <c r="K1839"/>
  <c r="M1839"/>
  <c r="P1839"/>
  <c r="R1839"/>
  <c r="S1839"/>
  <c r="T1839"/>
  <c r="U1839"/>
  <c r="X1839"/>
  <c r="Y1839"/>
  <c r="Z1839"/>
  <c r="AA1839"/>
  <c r="AB1839"/>
  <c r="AC1839"/>
  <c r="AD1839"/>
  <c r="AE1839"/>
  <c r="AF1839"/>
  <c r="AG1839"/>
  <c r="AH1839"/>
  <c r="AI1839"/>
  <c r="AJ1839"/>
  <c r="AK1839"/>
  <c r="C1840"/>
  <c r="H1840"/>
  <c r="I1840"/>
  <c r="J1840"/>
  <c r="K1840"/>
  <c r="M1840"/>
  <c r="P1840"/>
  <c r="R1840"/>
  <c r="S1840"/>
  <c r="T1840"/>
  <c r="U1840"/>
  <c r="X1840"/>
  <c r="Y1840"/>
  <c r="Z1840"/>
  <c r="AA1840"/>
  <c r="AB1840"/>
  <c r="AC1840"/>
  <c r="AD1840"/>
  <c r="AE1840"/>
  <c r="AF1840"/>
  <c r="AG1840"/>
  <c r="AH1840"/>
  <c r="AI1840"/>
  <c r="AJ1840"/>
  <c r="AK1840"/>
  <c r="C1841"/>
  <c r="H1841"/>
  <c r="I1841"/>
  <c r="J1841"/>
  <c r="K1841"/>
  <c r="M1841"/>
  <c r="P1841"/>
  <c r="R1841"/>
  <c r="S1841"/>
  <c r="T1841"/>
  <c r="U1841"/>
  <c r="X1841"/>
  <c r="Y1841"/>
  <c r="Z1841"/>
  <c r="AA1841"/>
  <c r="AB1841"/>
  <c r="AC1841"/>
  <c r="AD1841"/>
  <c r="AE1841"/>
  <c r="AF1841"/>
  <c r="AG1841"/>
  <c r="AH1841"/>
  <c r="AI1841"/>
  <c r="AJ1841"/>
  <c r="AK1841"/>
  <c r="C1822"/>
  <c r="H1822"/>
  <c r="I1822"/>
  <c r="J1822"/>
  <c r="K1822"/>
  <c r="M1822"/>
  <c r="P1822"/>
  <c r="R1822"/>
  <c r="S1822"/>
  <c r="T1822"/>
  <c r="U1822"/>
  <c r="X1822"/>
  <c r="Y1822"/>
  <c r="Z1822"/>
  <c r="AA1822"/>
  <c r="AB1822"/>
  <c r="AC1822"/>
  <c r="AD1822"/>
  <c r="AE1822"/>
  <c r="AF1822"/>
  <c r="AG1822"/>
  <c r="AH1822"/>
  <c r="AI1822"/>
  <c r="AJ1822"/>
  <c r="AK1822"/>
  <c r="C1823"/>
  <c r="H1823"/>
  <c r="I1823"/>
  <c r="J1823"/>
  <c r="K1823"/>
  <c r="M1823"/>
  <c r="P1823"/>
  <c r="R1823"/>
  <c r="S1823"/>
  <c r="T1823"/>
  <c r="U1823"/>
  <c r="X1823"/>
  <c r="Y1823"/>
  <c r="Z1823"/>
  <c r="AA1823"/>
  <c r="AB1823"/>
  <c r="AC1823"/>
  <c r="AD1823"/>
  <c r="AE1823"/>
  <c r="AF1823"/>
  <c r="AG1823"/>
  <c r="AH1823"/>
  <c r="AI1823"/>
  <c r="AJ1823"/>
  <c r="AK1823"/>
  <c r="C1824"/>
  <c r="H1824"/>
  <c r="I1824"/>
  <c r="J1824"/>
  <c r="K1824"/>
  <c r="M1824"/>
  <c r="P1824"/>
  <c r="R1824"/>
  <c r="S1824"/>
  <c r="T1824"/>
  <c r="U1824"/>
  <c r="X1824"/>
  <c r="Y1824"/>
  <c r="Z1824"/>
  <c r="AA1824"/>
  <c r="AB1824"/>
  <c r="AC1824"/>
  <c r="AD1824"/>
  <c r="AE1824"/>
  <c r="AF1824"/>
  <c r="AG1824"/>
  <c r="AH1824"/>
  <c r="AI1824"/>
  <c r="AJ1824"/>
  <c r="AK1824"/>
  <c r="C1825"/>
  <c r="H1825"/>
  <c r="I1825"/>
  <c r="J1825"/>
  <c r="K1825"/>
  <c r="M1825"/>
  <c r="P1825"/>
  <c r="R1825"/>
  <c r="S1825"/>
  <c r="T1825"/>
  <c r="U1825"/>
  <c r="X1825"/>
  <c r="Y1825"/>
  <c r="Z1825"/>
  <c r="AA1825"/>
  <c r="AB1825"/>
  <c r="AC1825"/>
  <c r="AD1825"/>
  <c r="AE1825"/>
  <c r="AF1825"/>
  <c r="AG1825"/>
  <c r="AH1825"/>
  <c r="AI1825"/>
  <c r="AJ1825"/>
  <c r="AK1825"/>
  <c r="C1826"/>
  <c r="H1826"/>
  <c r="I1826"/>
  <c r="J1826"/>
  <c r="K1826"/>
  <c r="M1826"/>
  <c r="P1826"/>
  <c r="R1826"/>
  <c r="S1826"/>
  <c r="T1826"/>
  <c r="U1826"/>
  <c r="X1826"/>
  <c r="Y1826"/>
  <c r="Z1826"/>
  <c r="AA1826"/>
  <c r="AB1826"/>
  <c r="AC1826"/>
  <c r="AD1826"/>
  <c r="AE1826"/>
  <c r="AF1826"/>
  <c r="AG1826"/>
  <c r="AH1826"/>
  <c r="AI1826"/>
  <c r="AJ1826"/>
  <c r="AK1826"/>
  <c r="C1827"/>
  <c r="H1827"/>
  <c r="I1827"/>
  <c r="J1827"/>
  <c r="K1827"/>
  <c r="M1827"/>
  <c r="P1827"/>
  <c r="R1827"/>
  <c r="S1827"/>
  <c r="T1827"/>
  <c r="U1827"/>
  <c r="X1827"/>
  <c r="Y1827"/>
  <c r="Z1827"/>
  <c r="AA1827"/>
  <c r="AB1827"/>
  <c r="AC1827"/>
  <c r="AD1827"/>
  <c r="AE1827"/>
  <c r="AF1827"/>
  <c r="AG1827"/>
  <c r="AH1827"/>
  <c r="AI1827"/>
  <c r="AJ1827"/>
  <c r="AK1827"/>
  <c r="C1828"/>
  <c r="H1828"/>
  <c r="I1828"/>
  <c r="J1828"/>
  <c r="K1828"/>
  <c r="M1828"/>
  <c r="P1828"/>
  <c r="R1828"/>
  <c r="S1828"/>
  <c r="T1828"/>
  <c r="U1828"/>
  <c r="X1828"/>
  <c r="Y1828"/>
  <c r="Z1828"/>
  <c r="AA1828"/>
  <c r="AB1828"/>
  <c r="AC1828"/>
  <c r="AD1828"/>
  <c r="AE1828"/>
  <c r="AF1828"/>
  <c r="AG1828"/>
  <c r="AH1828"/>
  <c r="AI1828"/>
  <c r="AJ1828"/>
  <c r="AK1828"/>
  <c r="C1829"/>
  <c r="H1829"/>
  <c r="I1829"/>
  <c r="J1829"/>
  <c r="K1829"/>
  <c r="M1829"/>
  <c r="P1829"/>
  <c r="R1829"/>
  <c r="S1829"/>
  <c r="T1829"/>
  <c r="U1829"/>
  <c r="X1829"/>
  <c r="Y1829"/>
  <c r="Z1829"/>
  <c r="AA1829"/>
  <c r="AB1829"/>
  <c r="AC1829"/>
  <c r="AD1829"/>
  <c r="AE1829"/>
  <c r="AF1829"/>
  <c r="AG1829"/>
  <c r="AH1829"/>
  <c r="AI1829"/>
  <c r="AJ1829"/>
  <c r="AK1829"/>
  <c r="C1830"/>
  <c r="H1830"/>
  <c r="I1830"/>
  <c r="J1830"/>
  <c r="K1830"/>
  <c r="M1830"/>
  <c r="P1830"/>
  <c r="R1830"/>
  <c r="S1830"/>
  <c r="T1830"/>
  <c r="U1830"/>
  <c r="X1830"/>
  <c r="Y1830"/>
  <c r="Z1830"/>
  <c r="AA1830"/>
  <c r="AB1830"/>
  <c r="AC1830"/>
  <c r="AD1830"/>
  <c r="AE1830"/>
  <c r="AF1830"/>
  <c r="AG1830"/>
  <c r="AH1830"/>
  <c r="AI1830"/>
  <c r="AJ1830"/>
  <c r="AK1830"/>
  <c r="C1831"/>
  <c r="H1831"/>
  <c r="I1831"/>
  <c r="J1831"/>
  <c r="K1831"/>
  <c r="M1831"/>
  <c r="P1831"/>
  <c r="R1831"/>
  <c r="S1831"/>
  <c r="T1831"/>
  <c r="U1831"/>
  <c r="X1831"/>
  <c r="Y1831"/>
  <c r="Z1831"/>
  <c r="AA1831"/>
  <c r="AB1831"/>
  <c r="AC1831"/>
  <c r="AD1831"/>
  <c r="AE1831"/>
  <c r="AF1831"/>
  <c r="AG1831"/>
  <c r="AH1831"/>
  <c r="AI1831"/>
  <c r="AJ1831"/>
  <c r="AK1831"/>
  <c r="C1812"/>
  <c r="H1812"/>
  <c r="I1812"/>
  <c r="J1812"/>
  <c r="K1812"/>
  <c r="M1812"/>
  <c r="P1812"/>
  <c r="R1812"/>
  <c r="S1812"/>
  <c r="T1812"/>
  <c r="U1812"/>
  <c r="X1812"/>
  <c r="Y1812"/>
  <c r="Z1812"/>
  <c r="AA1812"/>
  <c r="AB1812"/>
  <c r="AC1812"/>
  <c r="AD1812"/>
  <c r="AE1812"/>
  <c r="AF1812"/>
  <c r="AG1812"/>
  <c r="AH1812"/>
  <c r="AI1812"/>
  <c r="AJ1812"/>
  <c r="AK1812"/>
  <c r="C1813"/>
  <c r="H1813"/>
  <c r="I1813"/>
  <c r="J1813"/>
  <c r="K1813"/>
  <c r="M1813"/>
  <c r="P1813"/>
  <c r="R1813"/>
  <c r="S1813"/>
  <c r="T1813"/>
  <c r="U1813"/>
  <c r="X1813"/>
  <c r="Y1813"/>
  <c r="Z1813"/>
  <c r="AA1813"/>
  <c r="AB1813"/>
  <c r="AC1813"/>
  <c r="AD1813"/>
  <c r="AE1813"/>
  <c r="AF1813"/>
  <c r="AG1813"/>
  <c r="AH1813"/>
  <c r="AI1813"/>
  <c r="AJ1813"/>
  <c r="AK1813"/>
  <c r="C1814"/>
  <c r="H1814"/>
  <c r="I1814"/>
  <c r="J1814"/>
  <c r="K1814"/>
  <c r="M1814"/>
  <c r="P1814"/>
  <c r="R1814"/>
  <c r="S1814"/>
  <c r="T1814"/>
  <c r="U1814"/>
  <c r="X1814"/>
  <c r="Y1814"/>
  <c r="Z1814"/>
  <c r="AA1814"/>
  <c r="AB1814"/>
  <c r="AC1814"/>
  <c r="AD1814"/>
  <c r="AE1814"/>
  <c r="AF1814"/>
  <c r="AG1814"/>
  <c r="AH1814"/>
  <c r="AI1814"/>
  <c r="AJ1814"/>
  <c r="AK1814"/>
  <c r="C1815"/>
  <c r="H1815"/>
  <c r="I1815"/>
  <c r="J1815"/>
  <c r="K1815"/>
  <c r="M1815"/>
  <c r="P1815"/>
  <c r="R1815"/>
  <c r="S1815"/>
  <c r="T1815"/>
  <c r="U1815"/>
  <c r="X1815"/>
  <c r="Y1815"/>
  <c r="Z1815"/>
  <c r="AA1815"/>
  <c r="AB1815"/>
  <c r="AC1815"/>
  <c r="AD1815"/>
  <c r="AE1815"/>
  <c r="AF1815"/>
  <c r="AG1815"/>
  <c r="AH1815"/>
  <c r="AI1815"/>
  <c r="AJ1815"/>
  <c r="AK1815"/>
  <c r="C1816"/>
  <c r="H1816"/>
  <c r="I1816"/>
  <c r="J1816"/>
  <c r="K1816"/>
  <c r="M1816"/>
  <c r="P1816"/>
  <c r="R1816"/>
  <c r="S1816"/>
  <c r="T1816"/>
  <c r="U1816"/>
  <c r="X1816"/>
  <c r="Y1816"/>
  <c r="Z1816"/>
  <c r="AA1816"/>
  <c r="AB1816"/>
  <c r="AC1816"/>
  <c r="AD1816"/>
  <c r="AE1816"/>
  <c r="AF1816"/>
  <c r="AG1816"/>
  <c r="AH1816"/>
  <c r="AI1816"/>
  <c r="AJ1816"/>
  <c r="AK1816"/>
  <c r="C1817"/>
  <c r="H1817"/>
  <c r="I1817"/>
  <c r="J1817"/>
  <c r="K1817"/>
  <c r="M1817"/>
  <c r="P1817"/>
  <c r="R1817"/>
  <c r="S1817"/>
  <c r="T1817"/>
  <c r="U1817"/>
  <c r="X1817"/>
  <c r="Y1817"/>
  <c r="Z1817"/>
  <c r="AA1817"/>
  <c r="AB1817"/>
  <c r="AC1817"/>
  <c r="AD1817"/>
  <c r="AE1817"/>
  <c r="AF1817"/>
  <c r="AG1817"/>
  <c r="AH1817"/>
  <c r="AI1817"/>
  <c r="AJ1817"/>
  <c r="AK1817"/>
  <c r="C1818"/>
  <c r="H1818"/>
  <c r="I1818"/>
  <c r="J1818"/>
  <c r="K1818"/>
  <c r="M1818"/>
  <c r="P1818"/>
  <c r="R1818"/>
  <c r="S1818"/>
  <c r="T1818"/>
  <c r="U1818"/>
  <c r="X1818"/>
  <c r="Y1818"/>
  <c r="Z1818"/>
  <c r="AA1818"/>
  <c r="AB1818"/>
  <c r="AC1818"/>
  <c r="AD1818"/>
  <c r="AE1818"/>
  <c r="AF1818"/>
  <c r="AG1818"/>
  <c r="AH1818"/>
  <c r="AI1818"/>
  <c r="AJ1818"/>
  <c r="AK1818"/>
  <c r="C1819"/>
  <c r="H1819"/>
  <c r="I1819"/>
  <c r="J1819"/>
  <c r="K1819"/>
  <c r="M1819"/>
  <c r="P1819"/>
  <c r="R1819"/>
  <c r="S1819"/>
  <c r="T1819"/>
  <c r="U1819"/>
  <c r="X1819"/>
  <c r="Y1819"/>
  <c r="Z1819"/>
  <c r="AA1819"/>
  <c r="AB1819"/>
  <c r="AC1819"/>
  <c r="AD1819"/>
  <c r="AE1819"/>
  <c r="AF1819"/>
  <c r="AG1819"/>
  <c r="AH1819"/>
  <c r="AI1819"/>
  <c r="AJ1819"/>
  <c r="AK1819"/>
  <c r="C1820"/>
  <c r="H1820"/>
  <c r="I1820"/>
  <c r="J1820"/>
  <c r="K1820"/>
  <c r="M1820"/>
  <c r="P1820"/>
  <c r="R1820"/>
  <c r="S1820"/>
  <c r="T1820"/>
  <c r="U1820"/>
  <c r="X1820"/>
  <c r="Y1820"/>
  <c r="Z1820"/>
  <c r="AA1820"/>
  <c r="AB1820"/>
  <c r="AC1820"/>
  <c r="AD1820"/>
  <c r="AE1820"/>
  <c r="AF1820"/>
  <c r="AG1820"/>
  <c r="AH1820"/>
  <c r="AI1820"/>
  <c r="AJ1820"/>
  <c r="AK1820"/>
  <c r="C1821"/>
  <c r="H1821"/>
  <c r="I1821"/>
  <c r="J1821"/>
  <c r="K1821"/>
  <c r="M1821"/>
  <c r="P1821"/>
  <c r="R1821"/>
  <c r="S1821"/>
  <c r="T1821"/>
  <c r="U1821"/>
  <c r="X1821"/>
  <c r="Y1821"/>
  <c r="Z1821"/>
  <c r="AA1821"/>
  <c r="AB1821"/>
  <c r="AC1821"/>
  <c r="AD1821"/>
  <c r="AE1821"/>
  <c r="AF1821"/>
  <c r="AG1821"/>
  <c r="AH1821"/>
  <c r="AI1821"/>
  <c r="AJ1821"/>
  <c r="AK1821"/>
  <c r="C1802"/>
  <c r="H1802"/>
  <c r="I1802"/>
  <c r="J1802"/>
  <c r="K1802"/>
  <c r="M1802"/>
  <c r="P1802"/>
  <c r="R1802"/>
  <c r="S1802"/>
  <c r="T1802"/>
  <c r="U1802"/>
  <c r="X1802"/>
  <c r="Y1802"/>
  <c r="Z1802"/>
  <c r="AA1802"/>
  <c r="AB1802"/>
  <c r="AC1802"/>
  <c r="AD1802"/>
  <c r="AE1802"/>
  <c r="AF1802"/>
  <c r="AG1802"/>
  <c r="AH1802"/>
  <c r="AI1802"/>
  <c r="AJ1802"/>
  <c r="AK1802"/>
  <c r="C1803"/>
  <c r="H1803"/>
  <c r="I1803"/>
  <c r="J1803"/>
  <c r="K1803"/>
  <c r="M1803"/>
  <c r="P1803"/>
  <c r="R1803"/>
  <c r="S1803"/>
  <c r="T1803"/>
  <c r="U1803"/>
  <c r="X1803"/>
  <c r="Y1803"/>
  <c r="Z1803"/>
  <c r="AA1803"/>
  <c r="AB1803"/>
  <c r="AC1803"/>
  <c r="AD1803"/>
  <c r="AE1803"/>
  <c r="AF1803"/>
  <c r="AG1803"/>
  <c r="AH1803"/>
  <c r="AI1803"/>
  <c r="AJ1803"/>
  <c r="AK1803"/>
  <c r="C1804"/>
  <c r="H1804"/>
  <c r="I1804"/>
  <c r="J1804"/>
  <c r="K1804"/>
  <c r="M1804"/>
  <c r="P1804"/>
  <c r="R1804"/>
  <c r="S1804"/>
  <c r="T1804"/>
  <c r="U1804"/>
  <c r="X1804"/>
  <c r="Y1804"/>
  <c r="Z1804"/>
  <c r="AA1804"/>
  <c r="AB1804"/>
  <c r="AC1804"/>
  <c r="AD1804"/>
  <c r="AE1804"/>
  <c r="AF1804"/>
  <c r="AG1804"/>
  <c r="AH1804"/>
  <c r="AI1804"/>
  <c r="AJ1804"/>
  <c r="AK1804"/>
  <c r="C1805"/>
  <c r="H1805"/>
  <c r="I1805"/>
  <c r="J1805"/>
  <c r="K1805"/>
  <c r="M1805"/>
  <c r="P1805"/>
  <c r="R1805"/>
  <c r="S1805"/>
  <c r="T1805"/>
  <c r="U1805"/>
  <c r="X1805"/>
  <c r="Y1805"/>
  <c r="Z1805"/>
  <c r="AA1805"/>
  <c r="AB1805"/>
  <c r="AC1805"/>
  <c r="AD1805"/>
  <c r="AE1805"/>
  <c r="AF1805"/>
  <c r="AG1805"/>
  <c r="AH1805"/>
  <c r="AI1805"/>
  <c r="AJ1805"/>
  <c r="AK1805"/>
  <c r="C1806"/>
  <c r="H1806"/>
  <c r="I1806"/>
  <c r="J1806"/>
  <c r="K1806"/>
  <c r="M1806"/>
  <c r="P1806"/>
  <c r="R1806"/>
  <c r="S1806"/>
  <c r="T1806"/>
  <c r="U1806"/>
  <c r="X1806"/>
  <c r="Y1806"/>
  <c r="Z1806"/>
  <c r="AA1806"/>
  <c r="AB1806"/>
  <c r="AC1806"/>
  <c r="AD1806"/>
  <c r="AE1806"/>
  <c r="AF1806"/>
  <c r="AG1806"/>
  <c r="AH1806"/>
  <c r="AI1806"/>
  <c r="AJ1806"/>
  <c r="AK1806"/>
  <c r="C1807"/>
  <c r="H1807"/>
  <c r="I1807"/>
  <c r="J1807"/>
  <c r="K1807"/>
  <c r="M1807"/>
  <c r="P1807"/>
  <c r="R1807"/>
  <c r="S1807"/>
  <c r="T1807"/>
  <c r="U1807"/>
  <c r="X1807"/>
  <c r="Y1807"/>
  <c r="Z1807"/>
  <c r="AA1807"/>
  <c r="AB1807"/>
  <c r="AC1807"/>
  <c r="AD1807"/>
  <c r="AE1807"/>
  <c r="AF1807"/>
  <c r="AG1807"/>
  <c r="AH1807"/>
  <c r="AI1807"/>
  <c r="AJ1807"/>
  <c r="AK1807"/>
  <c r="C1808"/>
  <c r="H1808"/>
  <c r="I1808"/>
  <c r="J1808"/>
  <c r="K1808"/>
  <c r="M1808"/>
  <c r="P1808"/>
  <c r="R1808"/>
  <c r="S1808"/>
  <c r="T1808"/>
  <c r="U1808"/>
  <c r="X1808"/>
  <c r="Y1808"/>
  <c r="Z1808"/>
  <c r="AA1808"/>
  <c r="AB1808"/>
  <c r="AC1808"/>
  <c r="AD1808"/>
  <c r="AE1808"/>
  <c r="AF1808"/>
  <c r="AG1808"/>
  <c r="AH1808"/>
  <c r="AI1808"/>
  <c r="AJ1808"/>
  <c r="AK1808"/>
  <c r="C1809"/>
  <c r="H1809"/>
  <c r="I1809"/>
  <c r="J1809"/>
  <c r="K1809"/>
  <c r="M1809"/>
  <c r="P1809"/>
  <c r="R1809"/>
  <c r="S1809"/>
  <c r="T1809"/>
  <c r="U1809"/>
  <c r="X1809"/>
  <c r="Y1809"/>
  <c r="Z1809"/>
  <c r="AA1809"/>
  <c r="AB1809"/>
  <c r="AC1809"/>
  <c r="AD1809"/>
  <c r="AE1809"/>
  <c r="AF1809"/>
  <c r="AG1809"/>
  <c r="AH1809"/>
  <c r="AI1809"/>
  <c r="AJ1809"/>
  <c r="AK1809"/>
  <c r="C1810"/>
  <c r="H1810"/>
  <c r="I1810"/>
  <c r="J1810"/>
  <c r="K1810"/>
  <c r="M1810"/>
  <c r="P1810"/>
  <c r="R1810"/>
  <c r="S1810"/>
  <c r="T1810"/>
  <c r="U1810"/>
  <c r="X1810"/>
  <c r="Y1810"/>
  <c r="Z1810"/>
  <c r="AA1810"/>
  <c r="AB1810"/>
  <c r="AC1810"/>
  <c r="AD1810"/>
  <c r="AE1810"/>
  <c r="AF1810"/>
  <c r="AG1810"/>
  <c r="AH1810"/>
  <c r="AI1810"/>
  <c r="AJ1810"/>
  <c r="AK1810"/>
  <c r="C1811"/>
  <c r="H1811"/>
  <c r="I1811"/>
  <c r="J1811"/>
  <c r="K1811"/>
  <c r="M1811"/>
  <c r="P1811"/>
  <c r="R1811"/>
  <c r="S1811"/>
  <c r="T1811"/>
  <c r="U1811"/>
  <c r="X1811"/>
  <c r="Y1811"/>
  <c r="Z1811"/>
  <c r="AA1811"/>
  <c r="AB1811"/>
  <c r="AC1811"/>
  <c r="AD1811"/>
  <c r="AE1811"/>
  <c r="AF1811"/>
  <c r="AG1811"/>
  <c r="AH1811"/>
  <c r="AI1811"/>
  <c r="AJ1811"/>
  <c r="AK1811"/>
  <c r="C1792"/>
  <c r="H1792"/>
  <c r="I1792"/>
  <c r="J1792"/>
  <c r="K1792"/>
  <c r="M1792"/>
  <c r="P1792"/>
  <c r="R1792"/>
  <c r="S1792"/>
  <c r="T1792"/>
  <c r="U1792"/>
  <c r="X1792"/>
  <c r="Y1792"/>
  <c r="Z1792"/>
  <c r="AA1792"/>
  <c r="AB1792"/>
  <c r="AC1792"/>
  <c r="AD1792"/>
  <c r="AE1792"/>
  <c r="AF1792"/>
  <c r="AG1792"/>
  <c r="AH1792"/>
  <c r="AI1792"/>
  <c r="AJ1792"/>
  <c r="AK1792"/>
  <c r="C1793"/>
  <c r="H1793"/>
  <c r="I1793"/>
  <c r="J1793"/>
  <c r="K1793"/>
  <c r="M1793"/>
  <c r="P1793"/>
  <c r="R1793"/>
  <c r="S1793"/>
  <c r="T1793"/>
  <c r="U1793"/>
  <c r="X1793"/>
  <c r="Y1793"/>
  <c r="Z1793"/>
  <c r="AA1793"/>
  <c r="AB1793"/>
  <c r="AC1793"/>
  <c r="AD1793"/>
  <c r="AE1793"/>
  <c r="AF1793"/>
  <c r="AG1793"/>
  <c r="AH1793"/>
  <c r="AI1793"/>
  <c r="AJ1793"/>
  <c r="AK1793"/>
  <c r="C1794"/>
  <c r="H1794"/>
  <c r="I1794"/>
  <c r="J1794"/>
  <c r="K1794"/>
  <c r="M1794"/>
  <c r="P1794"/>
  <c r="R1794"/>
  <c r="S1794"/>
  <c r="T1794"/>
  <c r="U1794"/>
  <c r="X1794"/>
  <c r="Y1794"/>
  <c r="Z1794"/>
  <c r="AA1794"/>
  <c r="AB1794"/>
  <c r="AC1794"/>
  <c r="AD1794"/>
  <c r="AE1794"/>
  <c r="AF1794"/>
  <c r="AG1794"/>
  <c r="AH1794"/>
  <c r="AI1794"/>
  <c r="AJ1794"/>
  <c r="AK1794"/>
  <c r="C1795"/>
  <c r="H1795"/>
  <c r="I1795"/>
  <c r="J1795"/>
  <c r="K1795"/>
  <c r="M1795"/>
  <c r="P1795"/>
  <c r="R1795"/>
  <c r="S1795"/>
  <c r="T1795"/>
  <c r="U1795"/>
  <c r="X1795"/>
  <c r="Y1795"/>
  <c r="Z1795"/>
  <c r="AA1795"/>
  <c r="AB1795"/>
  <c r="AC1795"/>
  <c r="AD1795"/>
  <c r="AE1795"/>
  <c r="AF1795"/>
  <c r="AG1795"/>
  <c r="AH1795"/>
  <c r="AI1795"/>
  <c r="AJ1795"/>
  <c r="AK1795"/>
  <c r="C1796"/>
  <c r="H1796"/>
  <c r="I1796"/>
  <c r="J1796"/>
  <c r="K1796"/>
  <c r="M1796"/>
  <c r="P1796"/>
  <c r="R1796"/>
  <c r="S1796"/>
  <c r="T1796"/>
  <c r="U1796"/>
  <c r="X1796"/>
  <c r="Y1796"/>
  <c r="Z1796"/>
  <c r="AA1796"/>
  <c r="AB1796"/>
  <c r="AC1796"/>
  <c r="AD1796"/>
  <c r="AE1796"/>
  <c r="AF1796"/>
  <c r="AG1796"/>
  <c r="AH1796"/>
  <c r="AI1796"/>
  <c r="AJ1796"/>
  <c r="AK1796"/>
  <c r="C1797"/>
  <c r="H1797"/>
  <c r="I1797"/>
  <c r="J1797"/>
  <c r="K1797"/>
  <c r="M1797"/>
  <c r="P1797"/>
  <c r="R1797"/>
  <c r="S1797"/>
  <c r="T1797"/>
  <c r="U1797"/>
  <c r="X1797"/>
  <c r="Y1797"/>
  <c r="Z1797"/>
  <c r="AA1797"/>
  <c r="AB1797"/>
  <c r="AC1797"/>
  <c r="AD1797"/>
  <c r="AE1797"/>
  <c r="AF1797"/>
  <c r="AG1797"/>
  <c r="AH1797"/>
  <c r="AI1797"/>
  <c r="AJ1797"/>
  <c r="AK1797"/>
  <c r="C1798"/>
  <c r="H1798"/>
  <c r="I1798"/>
  <c r="J1798"/>
  <c r="K1798"/>
  <c r="M1798"/>
  <c r="P1798"/>
  <c r="R1798"/>
  <c r="S1798"/>
  <c r="T1798"/>
  <c r="U1798"/>
  <c r="X1798"/>
  <c r="Y1798"/>
  <c r="Z1798"/>
  <c r="AA1798"/>
  <c r="AB1798"/>
  <c r="AC1798"/>
  <c r="AD1798"/>
  <c r="AE1798"/>
  <c r="AF1798"/>
  <c r="AG1798"/>
  <c r="AH1798"/>
  <c r="AI1798"/>
  <c r="AJ1798"/>
  <c r="AK1798"/>
  <c r="C1799"/>
  <c r="H1799"/>
  <c r="I1799"/>
  <c r="J1799"/>
  <c r="K1799"/>
  <c r="M1799"/>
  <c r="P1799"/>
  <c r="R1799"/>
  <c r="S1799"/>
  <c r="T1799"/>
  <c r="U1799"/>
  <c r="X1799"/>
  <c r="Y1799"/>
  <c r="Z1799"/>
  <c r="AA1799"/>
  <c r="AB1799"/>
  <c r="AC1799"/>
  <c r="AD1799"/>
  <c r="AE1799"/>
  <c r="AF1799"/>
  <c r="AG1799"/>
  <c r="AH1799"/>
  <c r="AI1799"/>
  <c r="AJ1799"/>
  <c r="AK1799"/>
  <c r="C1800"/>
  <c r="H1800"/>
  <c r="I1800"/>
  <c r="J1800"/>
  <c r="K1800"/>
  <c r="M1800"/>
  <c r="P1800"/>
  <c r="R1800"/>
  <c r="S1800"/>
  <c r="T1800"/>
  <c r="U1800"/>
  <c r="X1800"/>
  <c r="Y1800"/>
  <c r="Z1800"/>
  <c r="AA1800"/>
  <c r="AB1800"/>
  <c r="AC1800"/>
  <c r="AD1800"/>
  <c r="AE1800"/>
  <c r="AF1800"/>
  <c r="AG1800"/>
  <c r="AH1800"/>
  <c r="AI1800"/>
  <c r="AJ1800"/>
  <c r="AK1800"/>
  <c r="C1801"/>
  <c r="H1801"/>
  <c r="I1801"/>
  <c r="J1801"/>
  <c r="K1801"/>
  <c r="M1801"/>
  <c r="P1801"/>
  <c r="R1801"/>
  <c r="S1801"/>
  <c r="T1801"/>
  <c r="U1801"/>
  <c r="X1801"/>
  <c r="Y1801"/>
  <c r="Z1801"/>
  <c r="AA1801"/>
  <c r="AB1801"/>
  <c r="AC1801"/>
  <c r="AD1801"/>
  <c r="AE1801"/>
  <c r="AF1801"/>
  <c r="AG1801"/>
  <c r="AH1801"/>
  <c r="AI1801"/>
  <c r="AJ1801"/>
  <c r="AK1801"/>
  <c r="C1782"/>
  <c r="H1782"/>
  <c r="I1782"/>
  <c r="J1782"/>
  <c r="K1782"/>
  <c r="M1782"/>
  <c r="P1782"/>
  <c r="R1782"/>
  <c r="S1782"/>
  <c r="T1782"/>
  <c r="U1782"/>
  <c r="X1782"/>
  <c r="Y1782"/>
  <c r="Z1782"/>
  <c r="AA1782"/>
  <c r="AB1782"/>
  <c r="AC1782"/>
  <c r="AD1782"/>
  <c r="AE1782"/>
  <c r="AF1782"/>
  <c r="AG1782"/>
  <c r="AH1782"/>
  <c r="AI1782"/>
  <c r="AJ1782"/>
  <c r="AK1782"/>
  <c r="C1783"/>
  <c r="H1783"/>
  <c r="I1783"/>
  <c r="J1783"/>
  <c r="K1783"/>
  <c r="M1783"/>
  <c r="P1783"/>
  <c r="R1783"/>
  <c r="S1783"/>
  <c r="T1783"/>
  <c r="U1783"/>
  <c r="X1783"/>
  <c r="Y1783"/>
  <c r="Z1783"/>
  <c r="AA1783"/>
  <c r="AB1783"/>
  <c r="AC1783"/>
  <c r="AD1783"/>
  <c r="AE1783"/>
  <c r="AF1783"/>
  <c r="AG1783"/>
  <c r="AH1783"/>
  <c r="AI1783"/>
  <c r="AJ1783"/>
  <c r="AK1783"/>
  <c r="C1784"/>
  <c r="H1784"/>
  <c r="I1784"/>
  <c r="J1784"/>
  <c r="K1784"/>
  <c r="M1784"/>
  <c r="P1784"/>
  <c r="R1784"/>
  <c r="S1784"/>
  <c r="T1784"/>
  <c r="U1784"/>
  <c r="X1784"/>
  <c r="Y1784"/>
  <c r="Z1784"/>
  <c r="AA1784"/>
  <c r="AB1784"/>
  <c r="AC1784"/>
  <c r="AD1784"/>
  <c r="AE1784"/>
  <c r="AF1784"/>
  <c r="AG1784"/>
  <c r="AH1784"/>
  <c r="AI1784"/>
  <c r="AJ1784"/>
  <c r="AK1784"/>
  <c r="C1785"/>
  <c r="H1785"/>
  <c r="I1785"/>
  <c r="J1785"/>
  <c r="K1785"/>
  <c r="M1785"/>
  <c r="P1785"/>
  <c r="R1785"/>
  <c r="S1785"/>
  <c r="T1785"/>
  <c r="U1785"/>
  <c r="X1785"/>
  <c r="Y1785"/>
  <c r="Z1785"/>
  <c r="AA1785"/>
  <c r="AB1785"/>
  <c r="AC1785"/>
  <c r="AD1785"/>
  <c r="AE1785"/>
  <c r="AF1785"/>
  <c r="AG1785"/>
  <c r="AH1785"/>
  <c r="AI1785"/>
  <c r="AJ1785"/>
  <c r="AK1785"/>
  <c r="C1786"/>
  <c r="H1786"/>
  <c r="I1786"/>
  <c r="J1786"/>
  <c r="K1786"/>
  <c r="M1786"/>
  <c r="P1786"/>
  <c r="R1786"/>
  <c r="S1786"/>
  <c r="T1786"/>
  <c r="U1786"/>
  <c r="X1786"/>
  <c r="Y1786"/>
  <c r="Z1786"/>
  <c r="AA1786"/>
  <c r="AB1786"/>
  <c r="AC1786"/>
  <c r="AD1786"/>
  <c r="AE1786"/>
  <c r="AF1786"/>
  <c r="AG1786"/>
  <c r="AH1786"/>
  <c r="AI1786"/>
  <c r="AJ1786"/>
  <c r="AK1786"/>
  <c r="C1787"/>
  <c r="H1787"/>
  <c r="I1787"/>
  <c r="J1787"/>
  <c r="K1787"/>
  <c r="M1787"/>
  <c r="P1787"/>
  <c r="R1787"/>
  <c r="S1787"/>
  <c r="T1787"/>
  <c r="U1787"/>
  <c r="X1787"/>
  <c r="Y1787"/>
  <c r="Z1787"/>
  <c r="AA1787"/>
  <c r="AB1787"/>
  <c r="AC1787"/>
  <c r="AD1787"/>
  <c r="AE1787"/>
  <c r="AF1787"/>
  <c r="AG1787"/>
  <c r="AH1787"/>
  <c r="AI1787"/>
  <c r="AJ1787"/>
  <c r="AK1787"/>
  <c r="C1788"/>
  <c r="H1788"/>
  <c r="I1788"/>
  <c r="J1788"/>
  <c r="K1788"/>
  <c r="M1788"/>
  <c r="P1788"/>
  <c r="R1788"/>
  <c r="S1788"/>
  <c r="T1788"/>
  <c r="U1788"/>
  <c r="X1788"/>
  <c r="Y1788"/>
  <c r="Z1788"/>
  <c r="AA1788"/>
  <c r="AB1788"/>
  <c r="AC1788"/>
  <c r="AD1788"/>
  <c r="AE1788"/>
  <c r="AF1788"/>
  <c r="AG1788"/>
  <c r="AH1788"/>
  <c r="AI1788"/>
  <c r="AJ1788"/>
  <c r="AK1788"/>
  <c r="C1789"/>
  <c r="H1789"/>
  <c r="I1789"/>
  <c r="J1789"/>
  <c r="K1789"/>
  <c r="M1789"/>
  <c r="P1789"/>
  <c r="R1789"/>
  <c r="S1789"/>
  <c r="T1789"/>
  <c r="U1789"/>
  <c r="X1789"/>
  <c r="Y1789"/>
  <c r="Z1789"/>
  <c r="AA1789"/>
  <c r="AB1789"/>
  <c r="AC1789"/>
  <c r="AD1789"/>
  <c r="AE1789"/>
  <c r="AF1789"/>
  <c r="AG1789"/>
  <c r="AH1789"/>
  <c r="AI1789"/>
  <c r="AJ1789"/>
  <c r="AK1789"/>
  <c r="C1790"/>
  <c r="H1790"/>
  <c r="I1790"/>
  <c r="J1790"/>
  <c r="K1790"/>
  <c r="M1790"/>
  <c r="P1790"/>
  <c r="R1790"/>
  <c r="S1790"/>
  <c r="T1790"/>
  <c r="U1790"/>
  <c r="X1790"/>
  <c r="Y1790"/>
  <c r="Z1790"/>
  <c r="AA1790"/>
  <c r="AB1790"/>
  <c r="AC1790"/>
  <c r="AD1790"/>
  <c r="AE1790"/>
  <c r="AF1790"/>
  <c r="AG1790"/>
  <c r="AH1790"/>
  <c r="AI1790"/>
  <c r="AJ1790"/>
  <c r="AK1790"/>
  <c r="C1791"/>
  <c r="H1791"/>
  <c r="I1791"/>
  <c r="J1791"/>
  <c r="K1791"/>
  <c r="M1791"/>
  <c r="P1791"/>
  <c r="R1791"/>
  <c r="S1791"/>
  <c r="T1791"/>
  <c r="U1791"/>
  <c r="X1791"/>
  <c r="Y1791"/>
  <c r="Z1791"/>
  <c r="AA1791"/>
  <c r="AB1791"/>
  <c r="AC1791"/>
  <c r="AD1791"/>
  <c r="AE1791"/>
  <c r="AF1791"/>
  <c r="AG1791"/>
  <c r="AH1791"/>
  <c r="AI1791"/>
  <c r="AJ1791"/>
  <c r="AK1791"/>
  <c r="C1772"/>
  <c r="H1772"/>
  <c r="I1772"/>
  <c r="J1772"/>
  <c r="K1772"/>
  <c r="M1772"/>
  <c r="P1772"/>
  <c r="R1772"/>
  <c r="S1772"/>
  <c r="T1772"/>
  <c r="U1772"/>
  <c r="X1772"/>
  <c r="Y1772"/>
  <c r="Z1772"/>
  <c r="AA1772"/>
  <c r="AB1772"/>
  <c r="AC1772"/>
  <c r="AD1772"/>
  <c r="AE1772"/>
  <c r="AF1772"/>
  <c r="AG1772"/>
  <c r="AH1772"/>
  <c r="AI1772"/>
  <c r="AJ1772"/>
  <c r="AK1772"/>
  <c r="C1773"/>
  <c r="H1773"/>
  <c r="I1773"/>
  <c r="J1773"/>
  <c r="K1773"/>
  <c r="M1773"/>
  <c r="P1773"/>
  <c r="R1773"/>
  <c r="S1773"/>
  <c r="T1773"/>
  <c r="U1773"/>
  <c r="X1773"/>
  <c r="Y1773"/>
  <c r="Z1773"/>
  <c r="AA1773"/>
  <c r="AB1773"/>
  <c r="AC1773"/>
  <c r="AD1773"/>
  <c r="AE1773"/>
  <c r="AF1773"/>
  <c r="AG1773"/>
  <c r="AH1773"/>
  <c r="AI1773"/>
  <c r="AJ1773"/>
  <c r="AK1773"/>
  <c r="C1774"/>
  <c r="H1774"/>
  <c r="I1774"/>
  <c r="J1774"/>
  <c r="K1774"/>
  <c r="M1774"/>
  <c r="P1774"/>
  <c r="R1774"/>
  <c r="S1774"/>
  <c r="T1774"/>
  <c r="U1774"/>
  <c r="X1774"/>
  <c r="Y1774"/>
  <c r="Z1774"/>
  <c r="AA1774"/>
  <c r="AB1774"/>
  <c r="AC1774"/>
  <c r="AD1774"/>
  <c r="AE1774"/>
  <c r="AF1774"/>
  <c r="AG1774"/>
  <c r="AH1774"/>
  <c r="AI1774"/>
  <c r="AJ1774"/>
  <c r="AK1774"/>
  <c r="C1775"/>
  <c r="H1775"/>
  <c r="I1775"/>
  <c r="J1775"/>
  <c r="K1775"/>
  <c r="M1775"/>
  <c r="P1775"/>
  <c r="R1775"/>
  <c r="S1775"/>
  <c r="T1775"/>
  <c r="U1775"/>
  <c r="X1775"/>
  <c r="Y1775"/>
  <c r="Z1775"/>
  <c r="AA1775"/>
  <c r="AB1775"/>
  <c r="AC1775"/>
  <c r="AD1775"/>
  <c r="AE1775"/>
  <c r="AF1775"/>
  <c r="AG1775"/>
  <c r="AH1775"/>
  <c r="AI1775"/>
  <c r="AJ1775"/>
  <c r="AK1775"/>
  <c r="C1776"/>
  <c r="H1776"/>
  <c r="I1776"/>
  <c r="J1776"/>
  <c r="K1776"/>
  <c r="M1776"/>
  <c r="P1776"/>
  <c r="R1776"/>
  <c r="S1776"/>
  <c r="T1776"/>
  <c r="U1776"/>
  <c r="X1776"/>
  <c r="Y1776"/>
  <c r="Z1776"/>
  <c r="AA1776"/>
  <c r="AB1776"/>
  <c r="AC1776"/>
  <c r="AD1776"/>
  <c r="AE1776"/>
  <c r="AF1776"/>
  <c r="AG1776"/>
  <c r="AH1776"/>
  <c r="AI1776"/>
  <c r="AJ1776"/>
  <c r="AK1776"/>
  <c r="C1777"/>
  <c r="H1777"/>
  <c r="I1777"/>
  <c r="J1777"/>
  <c r="K1777"/>
  <c r="M1777"/>
  <c r="P1777"/>
  <c r="R1777"/>
  <c r="S1777"/>
  <c r="T1777"/>
  <c r="U1777"/>
  <c r="X1777"/>
  <c r="Y1777"/>
  <c r="Z1777"/>
  <c r="AA1777"/>
  <c r="AB1777"/>
  <c r="AC1777"/>
  <c r="AD1777"/>
  <c r="AE1777"/>
  <c r="AF1777"/>
  <c r="AG1777"/>
  <c r="AH1777"/>
  <c r="AI1777"/>
  <c r="AJ1777"/>
  <c r="AK1777"/>
  <c r="C1778"/>
  <c r="H1778"/>
  <c r="I1778"/>
  <c r="J1778"/>
  <c r="K1778"/>
  <c r="M1778"/>
  <c r="P1778"/>
  <c r="R1778"/>
  <c r="S1778"/>
  <c r="T1778"/>
  <c r="U1778"/>
  <c r="X1778"/>
  <c r="Y1778"/>
  <c r="Z1778"/>
  <c r="AA1778"/>
  <c r="AB1778"/>
  <c r="AC1778"/>
  <c r="AD1778"/>
  <c r="AE1778"/>
  <c r="AF1778"/>
  <c r="AG1778"/>
  <c r="AH1778"/>
  <c r="AI1778"/>
  <c r="AJ1778"/>
  <c r="AK1778"/>
  <c r="C1779"/>
  <c r="H1779"/>
  <c r="I1779"/>
  <c r="J1779"/>
  <c r="K1779"/>
  <c r="M1779"/>
  <c r="P1779"/>
  <c r="R1779"/>
  <c r="S1779"/>
  <c r="T1779"/>
  <c r="U1779"/>
  <c r="X1779"/>
  <c r="Y1779"/>
  <c r="Z1779"/>
  <c r="AA1779"/>
  <c r="AB1779"/>
  <c r="AC1779"/>
  <c r="AD1779"/>
  <c r="AE1779"/>
  <c r="AF1779"/>
  <c r="AG1779"/>
  <c r="AH1779"/>
  <c r="AI1779"/>
  <c r="AJ1779"/>
  <c r="AK1779"/>
  <c r="C1780"/>
  <c r="H1780"/>
  <c r="I1780"/>
  <c r="J1780"/>
  <c r="K1780"/>
  <c r="M1780"/>
  <c r="P1780"/>
  <c r="R1780"/>
  <c r="S1780"/>
  <c r="T1780"/>
  <c r="U1780"/>
  <c r="X1780"/>
  <c r="Y1780"/>
  <c r="Z1780"/>
  <c r="AA1780"/>
  <c r="AB1780"/>
  <c r="AC1780"/>
  <c r="AD1780"/>
  <c r="AE1780"/>
  <c r="AF1780"/>
  <c r="AG1780"/>
  <c r="AH1780"/>
  <c r="AI1780"/>
  <c r="AJ1780"/>
  <c r="AK1780"/>
  <c r="C1781"/>
  <c r="H1781"/>
  <c r="I1781"/>
  <c r="J1781"/>
  <c r="K1781"/>
  <c r="M1781"/>
  <c r="P1781"/>
  <c r="R1781"/>
  <c r="S1781"/>
  <c r="T1781"/>
  <c r="U1781"/>
  <c r="X1781"/>
  <c r="Y1781"/>
  <c r="Z1781"/>
  <c r="AA1781"/>
  <c r="AB1781"/>
  <c r="AC1781"/>
  <c r="AD1781"/>
  <c r="AE1781"/>
  <c r="AF1781"/>
  <c r="AG1781"/>
  <c r="AH1781"/>
  <c r="AI1781"/>
  <c r="AJ1781"/>
  <c r="AK1781"/>
  <c r="C1762"/>
  <c r="H1762"/>
  <c r="I1762"/>
  <c r="J1762"/>
  <c r="K1762"/>
  <c r="M1762"/>
  <c r="P1762"/>
  <c r="R1762"/>
  <c r="S1762"/>
  <c r="T1762"/>
  <c r="U1762"/>
  <c r="X1762"/>
  <c r="Y1762"/>
  <c r="Z1762"/>
  <c r="AA1762"/>
  <c r="AB1762"/>
  <c r="AC1762"/>
  <c r="AD1762"/>
  <c r="AE1762"/>
  <c r="AF1762"/>
  <c r="AG1762"/>
  <c r="AH1762"/>
  <c r="AI1762"/>
  <c r="AJ1762"/>
  <c r="AK1762"/>
  <c r="C1763"/>
  <c r="H1763"/>
  <c r="I1763"/>
  <c r="J1763"/>
  <c r="K1763"/>
  <c r="M1763"/>
  <c r="P1763"/>
  <c r="R1763"/>
  <c r="S1763"/>
  <c r="T1763"/>
  <c r="U1763"/>
  <c r="X1763"/>
  <c r="Y1763"/>
  <c r="Z1763"/>
  <c r="AA1763"/>
  <c r="AB1763"/>
  <c r="AC1763"/>
  <c r="AD1763"/>
  <c r="AE1763"/>
  <c r="AF1763"/>
  <c r="AG1763"/>
  <c r="AH1763"/>
  <c r="AI1763"/>
  <c r="AJ1763"/>
  <c r="AK1763"/>
  <c r="C1764"/>
  <c r="H1764"/>
  <c r="I1764"/>
  <c r="J1764"/>
  <c r="K1764"/>
  <c r="M1764"/>
  <c r="P1764"/>
  <c r="R1764"/>
  <c r="S1764"/>
  <c r="T1764"/>
  <c r="U1764"/>
  <c r="X1764"/>
  <c r="Y1764"/>
  <c r="Z1764"/>
  <c r="AA1764"/>
  <c r="AB1764"/>
  <c r="AC1764"/>
  <c r="AD1764"/>
  <c r="AE1764"/>
  <c r="AF1764"/>
  <c r="AG1764"/>
  <c r="AH1764"/>
  <c r="AI1764"/>
  <c r="AJ1764"/>
  <c r="AK1764"/>
  <c r="C1765"/>
  <c r="H1765"/>
  <c r="I1765"/>
  <c r="J1765"/>
  <c r="K1765"/>
  <c r="M1765"/>
  <c r="P1765"/>
  <c r="R1765"/>
  <c r="S1765"/>
  <c r="T1765"/>
  <c r="U1765"/>
  <c r="X1765"/>
  <c r="Y1765"/>
  <c r="Z1765"/>
  <c r="AA1765"/>
  <c r="AB1765"/>
  <c r="AC1765"/>
  <c r="AD1765"/>
  <c r="AE1765"/>
  <c r="AF1765"/>
  <c r="AG1765"/>
  <c r="AH1765"/>
  <c r="AI1765"/>
  <c r="AJ1765"/>
  <c r="AK1765"/>
  <c r="C1766"/>
  <c r="H1766"/>
  <c r="I1766"/>
  <c r="J1766"/>
  <c r="K1766"/>
  <c r="M1766"/>
  <c r="P1766"/>
  <c r="R1766"/>
  <c r="S1766"/>
  <c r="T1766"/>
  <c r="U1766"/>
  <c r="X1766"/>
  <c r="Y1766"/>
  <c r="Z1766"/>
  <c r="AA1766"/>
  <c r="AB1766"/>
  <c r="AC1766"/>
  <c r="AD1766"/>
  <c r="AE1766"/>
  <c r="AF1766"/>
  <c r="AG1766"/>
  <c r="AH1766"/>
  <c r="AI1766"/>
  <c r="AJ1766"/>
  <c r="AK1766"/>
  <c r="C1767"/>
  <c r="H1767"/>
  <c r="I1767"/>
  <c r="J1767"/>
  <c r="K1767"/>
  <c r="M1767"/>
  <c r="P1767"/>
  <c r="R1767"/>
  <c r="S1767"/>
  <c r="T1767"/>
  <c r="U1767"/>
  <c r="X1767"/>
  <c r="Y1767"/>
  <c r="Z1767"/>
  <c r="AA1767"/>
  <c r="AB1767"/>
  <c r="AC1767"/>
  <c r="AD1767"/>
  <c r="AE1767"/>
  <c r="AF1767"/>
  <c r="AG1767"/>
  <c r="AH1767"/>
  <c r="AI1767"/>
  <c r="AJ1767"/>
  <c r="AK1767"/>
  <c r="C1768"/>
  <c r="H1768"/>
  <c r="I1768"/>
  <c r="J1768"/>
  <c r="K1768"/>
  <c r="M1768"/>
  <c r="P1768"/>
  <c r="R1768"/>
  <c r="S1768"/>
  <c r="T1768"/>
  <c r="U1768"/>
  <c r="X1768"/>
  <c r="Y1768"/>
  <c r="Z1768"/>
  <c r="AA1768"/>
  <c r="AB1768"/>
  <c r="AC1768"/>
  <c r="AD1768"/>
  <c r="AE1768"/>
  <c r="AF1768"/>
  <c r="AG1768"/>
  <c r="AH1768"/>
  <c r="AI1768"/>
  <c r="AJ1768"/>
  <c r="AK1768"/>
  <c r="C1769"/>
  <c r="H1769"/>
  <c r="I1769"/>
  <c r="J1769"/>
  <c r="K1769"/>
  <c r="M1769"/>
  <c r="P1769"/>
  <c r="R1769"/>
  <c r="S1769"/>
  <c r="T1769"/>
  <c r="U1769"/>
  <c r="X1769"/>
  <c r="Y1769"/>
  <c r="Z1769"/>
  <c r="AA1769"/>
  <c r="AB1769"/>
  <c r="AC1769"/>
  <c r="AD1769"/>
  <c r="AE1769"/>
  <c r="AF1769"/>
  <c r="AG1769"/>
  <c r="AH1769"/>
  <c r="AI1769"/>
  <c r="AJ1769"/>
  <c r="AK1769"/>
  <c r="C1770"/>
  <c r="H1770"/>
  <c r="I1770"/>
  <c r="J1770"/>
  <c r="K1770"/>
  <c r="M1770"/>
  <c r="P1770"/>
  <c r="R1770"/>
  <c r="S1770"/>
  <c r="T1770"/>
  <c r="U1770"/>
  <c r="X1770"/>
  <c r="Y1770"/>
  <c r="Z1770"/>
  <c r="AA1770"/>
  <c r="AB1770"/>
  <c r="AC1770"/>
  <c r="AD1770"/>
  <c r="AE1770"/>
  <c r="AF1770"/>
  <c r="AG1770"/>
  <c r="AH1770"/>
  <c r="AI1770"/>
  <c r="AJ1770"/>
  <c r="AK1770"/>
  <c r="C1771"/>
  <c r="H1771"/>
  <c r="I1771"/>
  <c r="J1771"/>
  <c r="K1771"/>
  <c r="M1771"/>
  <c r="P1771"/>
  <c r="R1771"/>
  <c r="S1771"/>
  <c r="T1771"/>
  <c r="U1771"/>
  <c r="X1771"/>
  <c r="Y1771"/>
  <c r="Z1771"/>
  <c r="AA1771"/>
  <c r="AB1771"/>
  <c r="AC1771"/>
  <c r="AD1771"/>
  <c r="AE1771"/>
  <c r="AF1771"/>
  <c r="AG1771"/>
  <c r="AH1771"/>
  <c r="AI1771"/>
  <c r="AJ1771"/>
  <c r="AK1771"/>
  <c r="C1752"/>
  <c r="H1752"/>
  <c r="I1752"/>
  <c r="J1752"/>
  <c r="K1752"/>
  <c r="M1752"/>
  <c r="P1752"/>
  <c r="R1752"/>
  <c r="S1752"/>
  <c r="T1752"/>
  <c r="U1752"/>
  <c r="X1752"/>
  <c r="Y1752"/>
  <c r="Z1752"/>
  <c r="AA1752"/>
  <c r="AB1752"/>
  <c r="AC1752"/>
  <c r="AD1752"/>
  <c r="AE1752"/>
  <c r="AF1752"/>
  <c r="AG1752"/>
  <c r="AH1752"/>
  <c r="AI1752"/>
  <c r="AJ1752"/>
  <c r="AK1752"/>
  <c r="C1753"/>
  <c r="H1753"/>
  <c r="I1753"/>
  <c r="J1753"/>
  <c r="K1753"/>
  <c r="M1753"/>
  <c r="P1753"/>
  <c r="R1753"/>
  <c r="S1753"/>
  <c r="T1753"/>
  <c r="U1753"/>
  <c r="X1753"/>
  <c r="Y1753"/>
  <c r="Z1753"/>
  <c r="AA1753"/>
  <c r="AB1753"/>
  <c r="AC1753"/>
  <c r="AD1753"/>
  <c r="AE1753"/>
  <c r="AF1753"/>
  <c r="AG1753"/>
  <c r="AH1753"/>
  <c r="AI1753"/>
  <c r="AJ1753"/>
  <c r="AK1753"/>
  <c r="C1754"/>
  <c r="H1754"/>
  <c r="I1754"/>
  <c r="J1754"/>
  <c r="K1754"/>
  <c r="M1754"/>
  <c r="P1754"/>
  <c r="R1754"/>
  <c r="S1754"/>
  <c r="T1754"/>
  <c r="U1754"/>
  <c r="X1754"/>
  <c r="Y1754"/>
  <c r="Z1754"/>
  <c r="AA1754"/>
  <c r="AB1754"/>
  <c r="AC1754"/>
  <c r="AD1754"/>
  <c r="AE1754"/>
  <c r="AF1754"/>
  <c r="AG1754"/>
  <c r="AH1754"/>
  <c r="AI1754"/>
  <c r="AJ1754"/>
  <c r="AK1754"/>
  <c r="C1755"/>
  <c r="H1755"/>
  <c r="I1755"/>
  <c r="J1755"/>
  <c r="K1755"/>
  <c r="M1755"/>
  <c r="P1755"/>
  <c r="R1755"/>
  <c r="S1755"/>
  <c r="T1755"/>
  <c r="U1755"/>
  <c r="X1755"/>
  <c r="Y1755"/>
  <c r="Z1755"/>
  <c r="AA1755"/>
  <c r="AB1755"/>
  <c r="AC1755"/>
  <c r="AD1755"/>
  <c r="AE1755"/>
  <c r="AF1755"/>
  <c r="AG1755"/>
  <c r="AH1755"/>
  <c r="AI1755"/>
  <c r="AJ1755"/>
  <c r="AK1755"/>
  <c r="C1756"/>
  <c r="H1756"/>
  <c r="I1756"/>
  <c r="J1756"/>
  <c r="K1756"/>
  <c r="M1756"/>
  <c r="P1756"/>
  <c r="R1756"/>
  <c r="S1756"/>
  <c r="T1756"/>
  <c r="U1756"/>
  <c r="X1756"/>
  <c r="Y1756"/>
  <c r="Z1756"/>
  <c r="AA1756"/>
  <c r="AB1756"/>
  <c r="AC1756"/>
  <c r="AD1756"/>
  <c r="AE1756"/>
  <c r="AF1756"/>
  <c r="AG1756"/>
  <c r="AH1756"/>
  <c r="AI1756"/>
  <c r="AJ1756"/>
  <c r="AK1756"/>
  <c r="C1757"/>
  <c r="H1757"/>
  <c r="I1757"/>
  <c r="J1757"/>
  <c r="K1757"/>
  <c r="M1757"/>
  <c r="P1757"/>
  <c r="R1757"/>
  <c r="S1757"/>
  <c r="T1757"/>
  <c r="U1757"/>
  <c r="X1757"/>
  <c r="Y1757"/>
  <c r="Z1757"/>
  <c r="AA1757"/>
  <c r="AB1757"/>
  <c r="AC1757"/>
  <c r="AD1757"/>
  <c r="AE1757"/>
  <c r="AF1757"/>
  <c r="AG1757"/>
  <c r="AH1757"/>
  <c r="AI1757"/>
  <c r="AJ1757"/>
  <c r="AK1757"/>
  <c r="C1758"/>
  <c r="H1758"/>
  <c r="I1758"/>
  <c r="J1758"/>
  <c r="K1758"/>
  <c r="M1758"/>
  <c r="P1758"/>
  <c r="R1758"/>
  <c r="S1758"/>
  <c r="T1758"/>
  <c r="U1758"/>
  <c r="X1758"/>
  <c r="Y1758"/>
  <c r="Z1758"/>
  <c r="AA1758"/>
  <c r="AB1758"/>
  <c r="AC1758"/>
  <c r="AD1758"/>
  <c r="AE1758"/>
  <c r="AF1758"/>
  <c r="AG1758"/>
  <c r="AH1758"/>
  <c r="AI1758"/>
  <c r="AJ1758"/>
  <c r="AK1758"/>
  <c r="C1759"/>
  <c r="H1759"/>
  <c r="I1759"/>
  <c r="J1759"/>
  <c r="K1759"/>
  <c r="M1759"/>
  <c r="P1759"/>
  <c r="R1759"/>
  <c r="S1759"/>
  <c r="T1759"/>
  <c r="U1759"/>
  <c r="X1759"/>
  <c r="Y1759"/>
  <c r="Z1759"/>
  <c r="AA1759"/>
  <c r="AB1759"/>
  <c r="AC1759"/>
  <c r="AD1759"/>
  <c r="AE1759"/>
  <c r="AF1759"/>
  <c r="AG1759"/>
  <c r="AH1759"/>
  <c r="AI1759"/>
  <c r="AJ1759"/>
  <c r="AK1759"/>
  <c r="C1760"/>
  <c r="H1760"/>
  <c r="I1760"/>
  <c r="J1760"/>
  <c r="K1760"/>
  <c r="M1760"/>
  <c r="P1760"/>
  <c r="R1760"/>
  <c r="S1760"/>
  <c r="T1760"/>
  <c r="U1760"/>
  <c r="X1760"/>
  <c r="Y1760"/>
  <c r="Z1760"/>
  <c r="AA1760"/>
  <c r="AB1760"/>
  <c r="AC1760"/>
  <c r="AD1760"/>
  <c r="AE1760"/>
  <c r="AF1760"/>
  <c r="AG1760"/>
  <c r="AH1760"/>
  <c r="AI1760"/>
  <c r="AJ1760"/>
  <c r="AK1760"/>
  <c r="C1761"/>
  <c r="H1761"/>
  <c r="I1761"/>
  <c r="J1761"/>
  <c r="K1761"/>
  <c r="M1761"/>
  <c r="P1761"/>
  <c r="R1761"/>
  <c r="S1761"/>
  <c r="T1761"/>
  <c r="U1761"/>
  <c r="X1761"/>
  <c r="Y1761"/>
  <c r="Z1761"/>
  <c r="AA1761"/>
  <c r="AB1761"/>
  <c r="AC1761"/>
  <c r="AD1761"/>
  <c r="AE1761"/>
  <c r="AF1761"/>
  <c r="AG1761"/>
  <c r="AH1761"/>
  <c r="AI1761"/>
  <c r="AJ1761"/>
  <c r="AK1761"/>
  <c r="C1742"/>
  <c r="H1742"/>
  <c r="I1742"/>
  <c r="J1742"/>
  <c r="K1742"/>
  <c r="M1742"/>
  <c r="P1742"/>
  <c r="R1742"/>
  <c r="S1742"/>
  <c r="T1742"/>
  <c r="U1742"/>
  <c r="X1742"/>
  <c r="Y1742"/>
  <c r="Z1742"/>
  <c r="AA1742"/>
  <c r="AB1742"/>
  <c r="AC1742"/>
  <c r="AD1742"/>
  <c r="AE1742"/>
  <c r="AF1742"/>
  <c r="AG1742"/>
  <c r="AH1742"/>
  <c r="AI1742"/>
  <c r="AJ1742"/>
  <c r="AK1742"/>
  <c r="C1743"/>
  <c r="H1743"/>
  <c r="I1743"/>
  <c r="J1743"/>
  <c r="K1743"/>
  <c r="M1743"/>
  <c r="P1743"/>
  <c r="R1743"/>
  <c r="S1743"/>
  <c r="T1743"/>
  <c r="U1743"/>
  <c r="X1743"/>
  <c r="Y1743"/>
  <c r="Z1743"/>
  <c r="AA1743"/>
  <c r="AB1743"/>
  <c r="AC1743"/>
  <c r="AD1743"/>
  <c r="AE1743"/>
  <c r="AF1743"/>
  <c r="AG1743"/>
  <c r="AH1743"/>
  <c r="AI1743"/>
  <c r="AJ1743"/>
  <c r="AK1743"/>
  <c r="C1744"/>
  <c r="H1744"/>
  <c r="I1744"/>
  <c r="J1744"/>
  <c r="K1744"/>
  <c r="M1744"/>
  <c r="P1744"/>
  <c r="R1744"/>
  <c r="S1744"/>
  <c r="T1744"/>
  <c r="U1744"/>
  <c r="X1744"/>
  <c r="Y1744"/>
  <c r="Z1744"/>
  <c r="AA1744"/>
  <c r="AB1744"/>
  <c r="AC1744"/>
  <c r="AD1744"/>
  <c r="AE1744"/>
  <c r="AF1744"/>
  <c r="AG1744"/>
  <c r="AH1744"/>
  <c r="AI1744"/>
  <c r="AJ1744"/>
  <c r="AK1744"/>
  <c r="C1745"/>
  <c r="H1745"/>
  <c r="I1745"/>
  <c r="J1745"/>
  <c r="K1745"/>
  <c r="M1745"/>
  <c r="P1745"/>
  <c r="R1745"/>
  <c r="S1745"/>
  <c r="T1745"/>
  <c r="U1745"/>
  <c r="X1745"/>
  <c r="Y1745"/>
  <c r="Z1745"/>
  <c r="AA1745"/>
  <c r="AB1745"/>
  <c r="AC1745"/>
  <c r="AD1745"/>
  <c r="AE1745"/>
  <c r="AF1745"/>
  <c r="AG1745"/>
  <c r="AH1745"/>
  <c r="AI1745"/>
  <c r="AJ1745"/>
  <c r="AK1745"/>
  <c r="C1746"/>
  <c r="H1746"/>
  <c r="I1746"/>
  <c r="J1746"/>
  <c r="K1746"/>
  <c r="M1746"/>
  <c r="P1746"/>
  <c r="R1746"/>
  <c r="S1746"/>
  <c r="T1746"/>
  <c r="U1746"/>
  <c r="X1746"/>
  <c r="Y1746"/>
  <c r="Z1746"/>
  <c r="AA1746"/>
  <c r="AB1746"/>
  <c r="AC1746"/>
  <c r="AD1746"/>
  <c r="AE1746"/>
  <c r="AF1746"/>
  <c r="AG1746"/>
  <c r="AH1746"/>
  <c r="AI1746"/>
  <c r="AJ1746"/>
  <c r="AK1746"/>
  <c r="C1747"/>
  <c r="H1747"/>
  <c r="I1747"/>
  <c r="J1747"/>
  <c r="K1747"/>
  <c r="M1747"/>
  <c r="P1747"/>
  <c r="R1747"/>
  <c r="S1747"/>
  <c r="T1747"/>
  <c r="U1747"/>
  <c r="X1747"/>
  <c r="Y1747"/>
  <c r="Z1747"/>
  <c r="AA1747"/>
  <c r="AB1747"/>
  <c r="AC1747"/>
  <c r="AD1747"/>
  <c r="AE1747"/>
  <c r="AF1747"/>
  <c r="AG1747"/>
  <c r="AH1747"/>
  <c r="AI1747"/>
  <c r="AJ1747"/>
  <c r="AK1747"/>
  <c r="C1748"/>
  <c r="H1748"/>
  <c r="I1748"/>
  <c r="J1748"/>
  <c r="K1748"/>
  <c r="M1748"/>
  <c r="P1748"/>
  <c r="R1748"/>
  <c r="S1748"/>
  <c r="T1748"/>
  <c r="U1748"/>
  <c r="X1748"/>
  <c r="Y1748"/>
  <c r="Z1748"/>
  <c r="AA1748"/>
  <c r="AB1748"/>
  <c r="AC1748"/>
  <c r="AD1748"/>
  <c r="AE1748"/>
  <c r="AF1748"/>
  <c r="AG1748"/>
  <c r="AH1748"/>
  <c r="AI1748"/>
  <c r="AJ1748"/>
  <c r="AK1748"/>
  <c r="C1749"/>
  <c r="H1749"/>
  <c r="I1749"/>
  <c r="J1749"/>
  <c r="K1749"/>
  <c r="M1749"/>
  <c r="P1749"/>
  <c r="R1749"/>
  <c r="S1749"/>
  <c r="T1749"/>
  <c r="U1749"/>
  <c r="X1749"/>
  <c r="Y1749"/>
  <c r="Z1749"/>
  <c r="AA1749"/>
  <c r="AB1749"/>
  <c r="AC1749"/>
  <c r="AD1749"/>
  <c r="AE1749"/>
  <c r="AF1749"/>
  <c r="AG1749"/>
  <c r="AH1749"/>
  <c r="AI1749"/>
  <c r="AJ1749"/>
  <c r="AK1749"/>
  <c r="C1750"/>
  <c r="H1750"/>
  <c r="I1750"/>
  <c r="J1750"/>
  <c r="K1750"/>
  <c r="M1750"/>
  <c r="P1750"/>
  <c r="R1750"/>
  <c r="S1750"/>
  <c r="T1750"/>
  <c r="U1750"/>
  <c r="X1750"/>
  <c r="Y1750"/>
  <c r="Z1750"/>
  <c r="AA1750"/>
  <c r="AB1750"/>
  <c r="AC1750"/>
  <c r="AD1750"/>
  <c r="AE1750"/>
  <c r="AF1750"/>
  <c r="AG1750"/>
  <c r="AH1750"/>
  <c r="AI1750"/>
  <c r="AJ1750"/>
  <c r="AK1750"/>
  <c r="C1751"/>
  <c r="H1751"/>
  <c r="I1751"/>
  <c r="J1751"/>
  <c r="K1751"/>
  <c r="M1751"/>
  <c r="P1751"/>
  <c r="R1751"/>
  <c r="S1751"/>
  <c r="T1751"/>
  <c r="U1751"/>
  <c r="X1751"/>
  <c r="Y1751"/>
  <c r="Z1751"/>
  <c r="AA1751"/>
  <c r="AB1751"/>
  <c r="AC1751"/>
  <c r="AD1751"/>
  <c r="AE1751"/>
  <c r="AF1751"/>
  <c r="AG1751"/>
  <c r="AH1751"/>
  <c r="AI1751"/>
  <c r="AJ1751"/>
  <c r="AK1751"/>
  <c r="C1732"/>
  <c r="H1732"/>
  <c r="I1732"/>
  <c r="J1732"/>
  <c r="K1732"/>
  <c r="M1732"/>
  <c r="P1732"/>
  <c r="R1732"/>
  <c r="S1732"/>
  <c r="T1732"/>
  <c r="U1732"/>
  <c r="X1732"/>
  <c r="Y1732"/>
  <c r="Z1732"/>
  <c r="AA1732"/>
  <c r="AB1732"/>
  <c r="AC1732"/>
  <c r="AD1732"/>
  <c r="AE1732"/>
  <c r="AF1732"/>
  <c r="AG1732"/>
  <c r="AH1732"/>
  <c r="AI1732"/>
  <c r="AJ1732"/>
  <c r="AK1732"/>
  <c r="C1733"/>
  <c r="H1733"/>
  <c r="I1733"/>
  <c r="J1733"/>
  <c r="K1733"/>
  <c r="M1733"/>
  <c r="P1733"/>
  <c r="R1733"/>
  <c r="S1733"/>
  <c r="T1733"/>
  <c r="U1733"/>
  <c r="X1733"/>
  <c r="Y1733"/>
  <c r="Z1733"/>
  <c r="AA1733"/>
  <c r="AB1733"/>
  <c r="AC1733"/>
  <c r="AD1733"/>
  <c r="AE1733"/>
  <c r="AF1733"/>
  <c r="AG1733"/>
  <c r="AH1733"/>
  <c r="AI1733"/>
  <c r="AJ1733"/>
  <c r="AK1733"/>
  <c r="C1734"/>
  <c r="H1734"/>
  <c r="I1734"/>
  <c r="J1734"/>
  <c r="K1734"/>
  <c r="M1734"/>
  <c r="P1734"/>
  <c r="R1734"/>
  <c r="S1734"/>
  <c r="T1734"/>
  <c r="U1734"/>
  <c r="X1734"/>
  <c r="Y1734"/>
  <c r="Z1734"/>
  <c r="AA1734"/>
  <c r="AB1734"/>
  <c r="AC1734"/>
  <c r="AD1734"/>
  <c r="AE1734"/>
  <c r="AF1734"/>
  <c r="AG1734"/>
  <c r="AH1734"/>
  <c r="AI1734"/>
  <c r="AJ1734"/>
  <c r="AK1734"/>
  <c r="C1735"/>
  <c r="H1735"/>
  <c r="I1735"/>
  <c r="J1735"/>
  <c r="K1735"/>
  <c r="M1735"/>
  <c r="P1735"/>
  <c r="R1735"/>
  <c r="S1735"/>
  <c r="T1735"/>
  <c r="U1735"/>
  <c r="X1735"/>
  <c r="Y1735"/>
  <c r="Z1735"/>
  <c r="AA1735"/>
  <c r="AB1735"/>
  <c r="AC1735"/>
  <c r="AD1735"/>
  <c r="AE1735"/>
  <c r="AF1735"/>
  <c r="AG1735"/>
  <c r="AH1735"/>
  <c r="AI1735"/>
  <c r="AJ1735"/>
  <c r="AK1735"/>
  <c r="C1736"/>
  <c r="H1736"/>
  <c r="I1736"/>
  <c r="J1736"/>
  <c r="K1736"/>
  <c r="M1736"/>
  <c r="P1736"/>
  <c r="R1736"/>
  <c r="S1736"/>
  <c r="T1736"/>
  <c r="U1736"/>
  <c r="X1736"/>
  <c r="Y1736"/>
  <c r="Z1736"/>
  <c r="AA1736"/>
  <c r="AB1736"/>
  <c r="AC1736"/>
  <c r="AD1736"/>
  <c r="AE1736"/>
  <c r="AF1736"/>
  <c r="AG1736"/>
  <c r="AH1736"/>
  <c r="AI1736"/>
  <c r="AJ1736"/>
  <c r="AK1736"/>
  <c r="C1737"/>
  <c r="H1737"/>
  <c r="I1737"/>
  <c r="J1737"/>
  <c r="K1737"/>
  <c r="M1737"/>
  <c r="P1737"/>
  <c r="R1737"/>
  <c r="S1737"/>
  <c r="T1737"/>
  <c r="U1737"/>
  <c r="X1737"/>
  <c r="Y1737"/>
  <c r="Z1737"/>
  <c r="AA1737"/>
  <c r="AB1737"/>
  <c r="AC1737"/>
  <c r="AD1737"/>
  <c r="AE1737"/>
  <c r="AF1737"/>
  <c r="AG1737"/>
  <c r="AH1737"/>
  <c r="AI1737"/>
  <c r="AJ1737"/>
  <c r="AK1737"/>
  <c r="C1738"/>
  <c r="H1738"/>
  <c r="I1738"/>
  <c r="J1738"/>
  <c r="K1738"/>
  <c r="M1738"/>
  <c r="P1738"/>
  <c r="R1738"/>
  <c r="S1738"/>
  <c r="T1738"/>
  <c r="U1738"/>
  <c r="X1738"/>
  <c r="Y1738"/>
  <c r="Z1738"/>
  <c r="AA1738"/>
  <c r="AB1738"/>
  <c r="AC1738"/>
  <c r="AD1738"/>
  <c r="AE1738"/>
  <c r="AF1738"/>
  <c r="AG1738"/>
  <c r="AH1738"/>
  <c r="AI1738"/>
  <c r="AJ1738"/>
  <c r="AK1738"/>
  <c r="C1739"/>
  <c r="H1739"/>
  <c r="I1739"/>
  <c r="J1739"/>
  <c r="K1739"/>
  <c r="M1739"/>
  <c r="P1739"/>
  <c r="R1739"/>
  <c r="S1739"/>
  <c r="T1739"/>
  <c r="U1739"/>
  <c r="X1739"/>
  <c r="Y1739"/>
  <c r="Z1739"/>
  <c r="AA1739"/>
  <c r="AB1739"/>
  <c r="AC1739"/>
  <c r="AD1739"/>
  <c r="AE1739"/>
  <c r="AF1739"/>
  <c r="AG1739"/>
  <c r="AH1739"/>
  <c r="AI1739"/>
  <c r="AJ1739"/>
  <c r="AK1739"/>
  <c r="C1740"/>
  <c r="H1740"/>
  <c r="I1740"/>
  <c r="J1740"/>
  <c r="K1740"/>
  <c r="M1740"/>
  <c r="P1740"/>
  <c r="R1740"/>
  <c r="S1740"/>
  <c r="T1740"/>
  <c r="U1740"/>
  <c r="X1740"/>
  <c r="Y1740"/>
  <c r="Z1740"/>
  <c r="AA1740"/>
  <c r="AB1740"/>
  <c r="AC1740"/>
  <c r="AD1740"/>
  <c r="AE1740"/>
  <c r="AF1740"/>
  <c r="AG1740"/>
  <c r="AH1740"/>
  <c r="AI1740"/>
  <c r="AJ1740"/>
  <c r="AK1740"/>
  <c r="C1741"/>
  <c r="H1741"/>
  <c r="I1741"/>
  <c r="J1741"/>
  <c r="K1741"/>
  <c r="M1741"/>
  <c r="P1741"/>
  <c r="R1741"/>
  <c r="S1741"/>
  <c r="T1741"/>
  <c r="U1741"/>
  <c r="X1741"/>
  <c r="Y1741"/>
  <c r="Z1741"/>
  <c r="AA1741"/>
  <c r="AB1741"/>
  <c r="AC1741"/>
  <c r="AD1741"/>
  <c r="AE1741"/>
  <c r="AF1741"/>
  <c r="AG1741"/>
  <c r="AH1741"/>
  <c r="AI1741"/>
  <c r="AJ1741"/>
  <c r="AK1741"/>
  <c r="C1722"/>
  <c r="H1722"/>
  <c r="I1722"/>
  <c r="J1722"/>
  <c r="K1722"/>
  <c r="M1722"/>
  <c r="P1722"/>
  <c r="R1722"/>
  <c r="S1722"/>
  <c r="T1722"/>
  <c r="U1722"/>
  <c r="X1722"/>
  <c r="Y1722"/>
  <c r="Z1722"/>
  <c r="AA1722"/>
  <c r="AB1722"/>
  <c r="AC1722"/>
  <c r="AD1722"/>
  <c r="AE1722"/>
  <c r="AF1722"/>
  <c r="AG1722"/>
  <c r="AH1722"/>
  <c r="AI1722"/>
  <c r="AJ1722"/>
  <c r="AK1722"/>
  <c r="C1723"/>
  <c r="H1723"/>
  <c r="I1723"/>
  <c r="J1723"/>
  <c r="K1723"/>
  <c r="M1723"/>
  <c r="P1723"/>
  <c r="R1723"/>
  <c r="S1723"/>
  <c r="T1723"/>
  <c r="U1723"/>
  <c r="X1723"/>
  <c r="Y1723"/>
  <c r="Z1723"/>
  <c r="AA1723"/>
  <c r="AB1723"/>
  <c r="AC1723"/>
  <c r="AD1723"/>
  <c r="AE1723"/>
  <c r="AF1723"/>
  <c r="AG1723"/>
  <c r="AH1723"/>
  <c r="AI1723"/>
  <c r="AJ1723"/>
  <c r="AK1723"/>
  <c r="C1724"/>
  <c r="H1724"/>
  <c r="I1724"/>
  <c r="J1724"/>
  <c r="K1724"/>
  <c r="M1724"/>
  <c r="P1724"/>
  <c r="R1724"/>
  <c r="S1724"/>
  <c r="T1724"/>
  <c r="U1724"/>
  <c r="X1724"/>
  <c r="Y1724"/>
  <c r="Z1724"/>
  <c r="AA1724"/>
  <c r="AB1724"/>
  <c r="AC1724"/>
  <c r="AD1724"/>
  <c r="AE1724"/>
  <c r="AF1724"/>
  <c r="AG1724"/>
  <c r="AH1724"/>
  <c r="AI1724"/>
  <c r="AJ1724"/>
  <c r="AK1724"/>
  <c r="C1725"/>
  <c r="H1725"/>
  <c r="I1725"/>
  <c r="J1725"/>
  <c r="K1725"/>
  <c r="M1725"/>
  <c r="P1725"/>
  <c r="R1725"/>
  <c r="S1725"/>
  <c r="T1725"/>
  <c r="U1725"/>
  <c r="X1725"/>
  <c r="Y1725"/>
  <c r="Z1725"/>
  <c r="AA1725"/>
  <c r="AB1725"/>
  <c r="AC1725"/>
  <c r="AD1725"/>
  <c r="AE1725"/>
  <c r="AF1725"/>
  <c r="AG1725"/>
  <c r="AH1725"/>
  <c r="AI1725"/>
  <c r="AJ1725"/>
  <c r="AK1725"/>
  <c r="C1726"/>
  <c r="H1726"/>
  <c r="I1726"/>
  <c r="J1726"/>
  <c r="K1726"/>
  <c r="M1726"/>
  <c r="P1726"/>
  <c r="R1726"/>
  <c r="S1726"/>
  <c r="T1726"/>
  <c r="U1726"/>
  <c r="X1726"/>
  <c r="Y1726"/>
  <c r="Z1726"/>
  <c r="AA1726"/>
  <c r="AB1726"/>
  <c r="AC1726"/>
  <c r="AD1726"/>
  <c r="AE1726"/>
  <c r="AF1726"/>
  <c r="AG1726"/>
  <c r="AH1726"/>
  <c r="AI1726"/>
  <c r="AJ1726"/>
  <c r="AK1726"/>
  <c r="C1727"/>
  <c r="H1727"/>
  <c r="I1727"/>
  <c r="J1727"/>
  <c r="K1727"/>
  <c r="M1727"/>
  <c r="P1727"/>
  <c r="R1727"/>
  <c r="S1727"/>
  <c r="T1727"/>
  <c r="U1727"/>
  <c r="X1727"/>
  <c r="Y1727"/>
  <c r="Z1727"/>
  <c r="AA1727"/>
  <c r="AB1727"/>
  <c r="AC1727"/>
  <c r="AD1727"/>
  <c r="AE1727"/>
  <c r="AF1727"/>
  <c r="AG1727"/>
  <c r="AH1727"/>
  <c r="AI1727"/>
  <c r="AJ1727"/>
  <c r="AK1727"/>
  <c r="C1728"/>
  <c r="H1728"/>
  <c r="I1728"/>
  <c r="J1728"/>
  <c r="K1728"/>
  <c r="M1728"/>
  <c r="P1728"/>
  <c r="R1728"/>
  <c r="S1728"/>
  <c r="T1728"/>
  <c r="U1728"/>
  <c r="X1728"/>
  <c r="Y1728"/>
  <c r="Z1728"/>
  <c r="AA1728"/>
  <c r="AB1728"/>
  <c r="AC1728"/>
  <c r="AD1728"/>
  <c r="AE1728"/>
  <c r="AF1728"/>
  <c r="AG1728"/>
  <c r="AH1728"/>
  <c r="AI1728"/>
  <c r="AJ1728"/>
  <c r="AK1728"/>
  <c r="C1729"/>
  <c r="H1729"/>
  <c r="I1729"/>
  <c r="J1729"/>
  <c r="K1729"/>
  <c r="M1729"/>
  <c r="P1729"/>
  <c r="R1729"/>
  <c r="S1729"/>
  <c r="T1729"/>
  <c r="U1729"/>
  <c r="X1729"/>
  <c r="Y1729"/>
  <c r="Z1729"/>
  <c r="AA1729"/>
  <c r="AB1729"/>
  <c r="AC1729"/>
  <c r="AD1729"/>
  <c r="AE1729"/>
  <c r="AF1729"/>
  <c r="AG1729"/>
  <c r="AH1729"/>
  <c r="AI1729"/>
  <c r="AJ1729"/>
  <c r="AK1729"/>
  <c r="C1730"/>
  <c r="H1730"/>
  <c r="I1730"/>
  <c r="J1730"/>
  <c r="K1730"/>
  <c r="M1730"/>
  <c r="P1730"/>
  <c r="R1730"/>
  <c r="S1730"/>
  <c r="T1730"/>
  <c r="U1730"/>
  <c r="X1730"/>
  <c r="Y1730"/>
  <c r="Z1730"/>
  <c r="AA1730"/>
  <c r="AB1730"/>
  <c r="AC1730"/>
  <c r="AD1730"/>
  <c r="AE1730"/>
  <c r="AF1730"/>
  <c r="AG1730"/>
  <c r="AH1730"/>
  <c r="AI1730"/>
  <c r="AJ1730"/>
  <c r="AK1730"/>
  <c r="C1731"/>
  <c r="H1731"/>
  <c r="I1731"/>
  <c r="J1731"/>
  <c r="K1731"/>
  <c r="M1731"/>
  <c r="P1731"/>
  <c r="R1731"/>
  <c r="S1731"/>
  <c r="T1731"/>
  <c r="U1731"/>
  <c r="X1731"/>
  <c r="Y1731"/>
  <c r="Z1731"/>
  <c r="AA1731"/>
  <c r="AB1731"/>
  <c r="AC1731"/>
  <c r="AD1731"/>
  <c r="AE1731"/>
  <c r="AF1731"/>
  <c r="AG1731"/>
  <c r="AH1731"/>
  <c r="AI1731"/>
  <c r="AJ1731"/>
  <c r="AK1731"/>
  <c r="C1712"/>
  <c r="H1712"/>
  <c r="I1712"/>
  <c r="J1712"/>
  <c r="K1712"/>
  <c r="M1712"/>
  <c r="P1712"/>
  <c r="R1712"/>
  <c r="S1712"/>
  <c r="T1712"/>
  <c r="U1712"/>
  <c r="X1712"/>
  <c r="Y1712"/>
  <c r="Z1712"/>
  <c r="AA1712"/>
  <c r="AB1712"/>
  <c r="AC1712"/>
  <c r="AD1712"/>
  <c r="AE1712"/>
  <c r="AF1712"/>
  <c r="AG1712"/>
  <c r="AH1712"/>
  <c r="AI1712"/>
  <c r="AJ1712"/>
  <c r="AK1712"/>
  <c r="C1713"/>
  <c r="H1713"/>
  <c r="I1713"/>
  <c r="J1713"/>
  <c r="K1713"/>
  <c r="M1713"/>
  <c r="P1713"/>
  <c r="R1713"/>
  <c r="S1713"/>
  <c r="T1713"/>
  <c r="U1713"/>
  <c r="X1713"/>
  <c r="Y1713"/>
  <c r="Z1713"/>
  <c r="AA1713"/>
  <c r="AB1713"/>
  <c r="AC1713"/>
  <c r="AD1713"/>
  <c r="AE1713"/>
  <c r="AF1713"/>
  <c r="AG1713"/>
  <c r="AH1713"/>
  <c r="AI1713"/>
  <c r="AJ1713"/>
  <c r="AK1713"/>
  <c r="C1714"/>
  <c r="H1714"/>
  <c r="I1714"/>
  <c r="J1714"/>
  <c r="K1714"/>
  <c r="M1714"/>
  <c r="P1714"/>
  <c r="R1714"/>
  <c r="S1714"/>
  <c r="T1714"/>
  <c r="U1714"/>
  <c r="X1714"/>
  <c r="Y1714"/>
  <c r="Z1714"/>
  <c r="AA1714"/>
  <c r="AB1714"/>
  <c r="AC1714"/>
  <c r="AD1714"/>
  <c r="AE1714"/>
  <c r="AF1714"/>
  <c r="AG1714"/>
  <c r="AH1714"/>
  <c r="AI1714"/>
  <c r="AJ1714"/>
  <c r="AK1714"/>
  <c r="C1715"/>
  <c r="H1715"/>
  <c r="I1715"/>
  <c r="J1715"/>
  <c r="K1715"/>
  <c r="M1715"/>
  <c r="P1715"/>
  <c r="R1715"/>
  <c r="S1715"/>
  <c r="T1715"/>
  <c r="U1715"/>
  <c r="X1715"/>
  <c r="Y1715"/>
  <c r="Z1715"/>
  <c r="AA1715"/>
  <c r="AB1715"/>
  <c r="AC1715"/>
  <c r="AD1715"/>
  <c r="AE1715"/>
  <c r="AF1715"/>
  <c r="AG1715"/>
  <c r="AH1715"/>
  <c r="AI1715"/>
  <c r="AJ1715"/>
  <c r="AK1715"/>
  <c r="C1716"/>
  <c r="H1716"/>
  <c r="I1716"/>
  <c r="J1716"/>
  <c r="K1716"/>
  <c r="M1716"/>
  <c r="P1716"/>
  <c r="R1716"/>
  <c r="S1716"/>
  <c r="T1716"/>
  <c r="U1716"/>
  <c r="X1716"/>
  <c r="Y1716"/>
  <c r="Z1716"/>
  <c r="AA1716"/>
  <c r="AB1716"/>
  <c r="AC1716"/>
  <c r="AD1716"/>
  <c r="AE1716"/>
  <c r="AF1716"/>
  <c r="AG1716"/>
  <c r="AH1716"/>
  <c r="AI1716"/>
  <c r="AJ1716"/>
  <c r="AK1716"/>
  <c r="C1717"/>
  <c r="H1717"/>
  <c r="I1717"/>
  <c r="J1717"/>
  <c r="K1717"/>
  <c r="M1717"/>
  <c r="P1717"/>
  <c r="R1717"/>
  <c r="S1717"/>
  <c r="T1717"/>
  <c r="U1717"/>
  <c r="X1717"/>
  <c r="Y1717"/>
  <c r="Z1717"/>
  <c r="AA1717"/>
  <c r="AB1717"/>
  <c r="AC1717"/>
  <c r="AD1717"/>
  <c r="AE1717"/>
  <c r="AF1717"/>
  <c r="AG1717"/>
  <c r="AH1717"/>
  <c r="AI1717"/>
  <c r="AJ1717"/>
  <c r="AK1717"/>
  <c r="C1718"/>
  <c r="H1718"/>
  <c r="I1718"/>
  <c r="J1718"/>
  <c r="K1718"/>
  <c r="M1718"/>
  <c r="P1718"/>
  <c r="R1718"/>
  <c r="S1718"/>
  <c r="T1718"/>
  <c r="U1718"/>
  <c r="X1718"/>
  <c r="Y1718"/>
  <c r="Z1718"/>
  <c r="AA1718"/>
  <c r="AB1718"/>
  <c r="AC1718"/>
  <c r="AD1718"/>
  <c r="AE1718"/>
  <c r="AF1718"/>
  <c r="AG1718"/>
  <c r="AH1718"/>
  <c r="AI1718"/>
  <c r="AJ1718"/>
  <c r="AK1718"/>
  <c r="C1719"/>
  <c r="H1719"/>
  <c r="I1719"/>
  <c r="J1719"/>
  <c r="K1719"/>
  <c r="M1719"/>
  <c r="P1719"/>
  <c r="R1719"/>
  <c r="S1719"/>
  <c r="T1719"/>
  <c r="U1719"/>
  <c r="X1719"/>
  <c r="Y1719"/>
  <c r="Z1719"/>
  <c r="AA1719"/>
  <c r="AB1719"/>
  <c r="AC1719"/>
  <c r="AD1719"/>
  <c r="AE1719"/>
  <c r="AF1719"/>
  <c r="AG1719"/>
  <c r="AH1719"/>
  <c r="AI1719"/>
  <c r="AJ1719"/>
  <c r="AK1719"/>
  <c r="C1720"/>
  <c r="H1720"/>
  <c r="I1720"/>
  <c r="J1720"/>
  <c r="K1720"/>
  <c r="M1720"/>
  <c r="P1720"/>
  <c r="R1720"/>
  <c r="S1720"/>
  <c r="T1720"/>
  <c r="U1720"/>
  <c r="X1720"/>
  <c r="Y1720"/>
  <c r="Z1720"/>
  <c r="AA1720"/>
  <c r="AB1720"/>
  <c r="AC1720"/>
  <c r="AD1720"/>
  <c r="AE1720"/>
  <c r="AF1720"/>
  <c r="AG1720"/>
  <c r="AH1720"/>
  <c r="AI1720"/>
  <c r="AJ1720"/>
  <c r="AK1720"/>
  <c r="C1721"/>
  <c r="H1721"/>
  <c r="I1721"/>
  <c r="J1721"/>
  <c r="K1721"/>
  <c r="M1721"/>
  <c r="P1721"/>
  <c r="R1721"/>
  <c r="S1721"/>
  <c r="T1721"/>
  <c r="U1721"/>
  <c r="X1721"/>
  <c r="Y1721"/>
  <c r="Z1721"/>
  <c r="AA1721"/>
  <c r="AB1721"/>
  <c r="AC1721"/>
  <c r="AD1721"/>
  <c r="AE1721"/>
  <c r="AF1721"/>
  <c r="AG1721"/>
  <c r="AH1721"/>
  <c r="AI1721"/>
  <c r="AJ1721"/>
  <c r="AK1721"/>
  <c r="C1702"/>
  <c r="H1702"/>
  <c r="I1702"/>
  <c r="J1702"/>
  <c r="K1702"/>
  <c r="M1702"/>
  <c r="P1702"/>
  <c r="R1702"/>
  <c r="S1702"/>
  <c r="T1702"/>
  <c r="U1702"/>
  <c r="X1702"/>
  <c r="Y1702"/>
  <c r="Z1702"/>
  <c r="AA1702"/>
  <c r="AB1702"/>
  <c r="AC1702"/>
  <c r="AD1702"/>
  <c r="AE1702"/>
  <c r="AF1702"/>
  <c r="AG1702"/>
  <c r="AH1702"/>
  <c r="AI1702"/>
  <c r="AJ1702"/>
  <c r="AK1702"/>
  <c r="C1703"/>
  <c r="H1703"/>
  <c r="I1703"/>
  <c r="J1703"/>
  <c r="K1703"/>
  <c r="M1703"/>
  <c r="P1703"/>
  <c r="R1703"/>
  <c r="S1703"/>
  <c r="T1703"/>
  <c r="U1703"/>
  <c r="X1703"/>
  <c r="Y1703"/>
  <c r="Z1703"/>
  <c r="AA1703"/>
  <c r="AB1703"/>
  <c r="AC1703"/>
  <c r="AD1703"/>
  <c r="AE1703"/>
  <c r="AF1703"/>
  <c r="AG1703"/>
  <c r="AH1703"/>
  <c r="AI1703"/>
  <c r="AJ1703"/>
  <c r="AK1703"/>
  <c r="C1704"/>
  <c r="H1704"/>
  <c r="I1704"/>
  <c r="J1704"/>
  <c r="K1704"/>
  <c r="M1704"/>
  <c r="P1704"/>
  <c r="R1704"/>
  <c r="S1704"/>
  <c r="T1704"/>
  <c r="U1704"/>
  <c r="X1704"/>
  <c r="Y1704"/>
  <c r="Z1704"/>
  <c r="AA1704"/>
  <c r="AB1704"/>
  <c r="AC1704"/>
  <c r="AD1704"/>
  <c r="AE1704"/>
  <c r="AF1704"/>
  <c r="AG1704"/>
  <c r="AH1704"/>
  <c r="AI1704"/>
  <c r="AJ1704"/>
  <c r="AK1704"/>
  <c r="C1705"/>
  <c r="H1705"/>
  <c r="I1705"/>
  <c r="J1705"/>
  <c r="K1705"/>
  <c r="M1705"/>
  <c r="P1705"/>
  <c r="R1705"/>
  <c r="S1705"/>
  <c r="T1705"/>
  <c r="U1705"/>
  <c r="X1705"/>
  <c r="Y1705"/>
  <c r="Z1705"/>
  <c r="AA1705"/>
  <c r="AB1705"/>
  <c r="AC1705"/>
  <c r="AD1705"/>
  <c r="AE1705"/>
  <c r="AF1705"/>
  <c r="AG1705"/>
  <c r="AH1705"/>
  <c r="AI1705"/>
  <c r="AJ1705"/>
  <c r="AK1705"/>
  <c r="C1706"/>
  <c r="H1706"/>
  <c r="I1706"/>
  <c r="J1706"/>
  <c r="K1706"/>
  <c r="M1706"/>
  <c r="P1706"/>
  <c r="R1706"/>
  <c r="S1706"/>
  <c r="T1706"/>
  <c r="U1706"/>
  <c r="X1706"/>
  <c r="Y1706"/>
  <c r="Z1706"/>
  <c r="AA1706"/>
  <c r="AB1706"/>
  <c r="AC1706"/>
  <c r="AD1706"/>
  <c r="AE1706"/>
  <c r="AF1706"/>
  <c r="AG1706"/>
  <c r="AH1706"/>
  <c r="AI1706"/>
  <c r="AJ1706"/>
  <c r="AK1706"/>
  <c r="C1707"/>
  <c r="H1707"/>
  <c r="I1707"/>
  <c r="J1707"/>
  <c r="K1707"/>
  <c r="M1707"/>
  <c r="P1707"/>
  <c r="R1707"/>
  <c r="S1707"/>
  <c r="T1707"/>
  <c r="U1707"/>
  <c r="X1707"/>
  <c r="Y1707"/>
  <c r="Z1707"/>
  <c r="AA1707"/>
  <c r="AB1707"/>
  <c r="AC1707"/>
  <c r="AD1707"/>
  <c r="AE1707"/>
  <c r="AF1707"/>
  <c r="AG1707"/>
  <c r="AH1707"/>
  <c r="AI1707"/>
  <c r="AJ1707"/>
  <c r="AK1707"/>
  <c r="C1708"/>
  <c r="H1708"/>
  <c r="I1708"/>
  <c r="J1708"/>
  <c r="K1708"/>
  <c r="M1708"/>
  <c r="P1708"/>
  <c r="R1708"/>
  <c r="S1708"/>
  <c r="T1708"/>
  <c r="U1708"/>
  <c r="X1708"/>
  <c r="Y1708"/>
  <c r="Z1708"/>
  <c r="AA1708"/>
  <c r="AB1708"/>
  <c r="AC1708"/>
  <c r="AD1708"/>
  <c r="AE1708"/>
  <c r="AF1708"/>
  <c r="AG1708"/>
  <c r="AH1708"/>
  <c r="AI1708"/>
  <c r="AJ1708"/>
  <c r="AK1708"/>
  <c r="C1709"/>
  <c r="H1709"/>
  <c r="I1709"/>
  <c r="J1709"/>
  <c r="K1709"/>
  <c r="M1709"/>
  <c r="P1709"/>
  <c r="R1709"/>
  <c r="S1709"/>
  <c r="T1709"/>
  <c r="U1709"/>
  <c r="X1709"/>
  <c r="Y1709"/>
  <c r="Z1709"/>
  <c r="AA1709"/>
  <c r="AB1709"/>
  <c r="AC1709"/>
  <c r="AD1709"/>
  <c r="AE1709"/>
  <c r="AF1709"/>
  <c r="AG1709"/>
  <c r="AH1709"/>
  <c r="AI1709"/>
  <c r="AJ1709"/>
  <c r="AK1709"/>
  <c r="C1710"/>
  <c r="H1710"/>
  <c r="I1710"/>
  <c r="J1710"/>
  <c r="K1710"/>
  <c r="M1710"/>
  <c r="P1710"/>
  <c r="R1710"/>
  <c r="S1710"/>
  <c r="T1710"/>
  <c r="U1710"/>
  <c r="X1710"/>
  <c r="Y1710"/>
  <c r="Z1710"/>
  <c r="AA1710"/>
  <c r="AB1710"/>
  <c r="AC1710"/>
  <c r="AD1710"/>
  <c r="AE1710"/>
  <c r="AF1710"/>
  <c r="AG1710"/>
  <c r="AH1710"/>
  <c r="AI1710"/>
  <c r="AJ1710"/>
  <c r="AK1710"/>
  <c r="C1711"/>
  <c r="H1711"/>
  <c r="I1711"/>
  <c r="J1711"/>
  <c r="K1711"/>
  <c r="M1711"/>
  <c r="P1711"/>
  <c r="R1711"/>
  <c r="S1711"/>
  <c r="T1711"/>
  <c r="U1711"/>
  <c r="X1711"/>
  <c r="Y1711"/>
  <c r="Z1711"/>
  <c r="AA1711"/>
  <c r="AB1711"/>
  <c r="AC1711"/>
  <c r="AD1711"/>
  <c r="AE1711"/>
  <c r="AF1711"/>
  <c r="AG1711"/>
  <c r="AH1711"/>
  <c r="AI1711"/>
  <c r="AJ1711"/>
  <c r="AK1711"/>
  <c r="C1692"/>
  <c r="H1692"/>
  <c r="I1692"/>
  <c r="J1692"/>
  <c r="K1692"/>
  <c r="M1692"/>
  <c r="P1692"/>
  <c r="R1692"/>
  <c r="S1692"/>
  <c r="T1692"/>
  <c r="U1692"/>
  <c r="X1692"/>
  <c r="Y1692"/>
  <c r="Z1692"/>
  <c r="AA1692"/>
  <c r="AB1692"/>
  <c r="AC1692"/>
  <c r="AD1692"/>
  <c r="AE1692"/>
  <c r="AF1692"/>
  <c r="AG1692"/>
  <c r="AH1692"/>
  <c r="AI1692"/>
  <c r="AJ1692"/>
  <c r="AK1692"/>
  <c r="C1693"/>
  <c r="H1693"/>
  <c r="I1693"/>
  <c r="J1693"/>
  <c r="K1693"/>
  <c r="M1693"/>
  <c r="P1693"/>
  <c r="R1693"/>
  <c r="S1693"/>
  <c r="T1693"/>
  <c r="U1693"/>
  <c r="X1693"/>
  <c r="Y1693"/>
  <c r="Z1693"/>
  <c r="AA1693"/>
  <c r="AB1693"/>
  <c r="AC1693"/>
  <c r="AD1693"/>
  <c r="AE1693"/>
  <c r="AF1693"/>
  <c r="AG1693"/>
  <c r="AH1693"/>
  <c r="AI1693"/>
  <c r="AJ1693"/>
  <c r="AK1693"/>
  <c r="C1694"/>
  <c r="H1694"/>
  <c r="I1694"/>
  <c r="J1694"/>
  <c r="K1694"/>
  <c r="M1694"/>
  <c r="P1694"/>
  <c r="R1694"/>
  <c r="S1694"/>
  <c r="T1694"/>
  <c r="U1694"/>
  <c r="X1694"/>
  <c r="Y1694"/>
  <c r="Z1694"/>
  <c r="AA1694"/>
  <c r="AB1694"/>
  <c r="AC1694"/>
  <c r="AD1694"/>
  <c r="AE1694"/>
  <c r="AF1694"/>
  <c r="AG1694"/>
  <c r="AH1694"/>
  <c r="AI1694"/>
  <c r="AJ1694"/>
  <c r="AK1694"/>
  <c r="C1695"/>
  <c r="H1695"/>
  <c r="I1695"/>
  <c r="J1695"/>
  <c r="K1695"/>
  <c r="M1695"/>
  <c r="P1695"/>
  <c r="R1695"/>
  <c r="S1695"/>
  <c r="T1695"/>
  <c r="U1695"/>
  <c r="X1695"/>
  <c r="Y1695"/>
  <c r="Z1695"/>
  <c r="AA1695"/>
  <c r="AB1695"/>
  <c r="AC1695"/>
  <c r="AD1695"/>
  <c r="AE1695"/>
  <c r="AF1695"/>
  <c r="AG1695"/>
  <c r="AH1695"/>
  <c r="AI1695"/>
  <c r="AJ1695"/>
  <c r="AK1695"/>
  <c r="C1696"/>
  <c r="H1696"/>
  <c r="I1696"/>
  <c r="J1696"/>
  <c r="K1696"/>
  <c r="M1696"/>
  <c r="P1696"/>
  <c r="R1696"/>
  <c r="S1696"/>
  <c r="T1696"/>
  <c r="U1696"/>
  <c r="X1696"/>
  <c r="Y1696"/>
  <c r="Z1696"/>
  <c r="AA1696"/>
  <c r="AB1696"/>
  <c r="AC1696"/>
  <c r="AD1696"/>
  <c r="AE1696"/>
  <c r="AF1696"/>
  <c r="AG1696"/>
  <c r="AH1696"/>
  <c r="AI1696"/>
  <c r="AJ1696"/>
  <c r="AK1696"/>
  <c r="C1697"/>
  <c r="H1697"/>
  <c r="I1697"/>
  <c r="J1697"/>
  <c r="K1697"/>
  <c r="M1697"/>
  <c r="P1697"/>
  <c r="R1697"/>
  <c r="S1697"/>
  <c r="T1697"/>
  <c r="U1697"/>
  <c r="X1697"/>
  <c r="Y1697"/>
  <c r="Z1697"/>
  <c r="AA1697"/>
  <c r="AB1697"/>
  <c r="AC1697"/>
  <c r="AD1697"/>
  <c r="AE1697"/>
  <c r="AF1697"/>
  <c r="AG1697"/>
  <c r="AH1697"/>
  <c r="AI1697"/>
  <c r="AJ1697"/>
  <c r="AK1697"/>
  <c r="C1698"/>
  <c r="H1698"/>
  <c r="I1698"/>
  <c r="J1698"/>
  <c r="K1698"/>
  <c r="M1698"/>
  <c r="P1698"/>
  <c r="R1698"/>
  <c r="S1698"/>
  <c r="T1698"/>
  <c r="U1698"/>
  <c r="X1698"/>
  <c r="Y1698"/>
  <c r="Z1698"/>
  <c r="AA1698"/>
  <c r="AB1698"/>
  <c r="AC1698"/>
  <c r="AD1698"/>
  <c r="AE1698"/>
  <c r="AF1698"/>
  <c r="AG1698"/>
  <c r="AH1698"/>
  <c r="AI1698"/>
  <c r="AJ1698"/>
  <c r="AK1698"/>
  <c r="C1699"/>
  <c r="H1699"/>
  <c r="I1699"/>
  <c r="J1699"/>
  <c r="K1699"/>
  <c r="M1699"/>
  <c r="P1699"/>
  <c r="R1699"/>
  <c r="S1699"/>
  <c r="T1699"/>
  <c r="U1699"/>
  <c r="X1699"/>
  <c r="Y1699"/>
  <c r="Z1699"/>
  <c r="AA1699"/>
  <c r="AB1699"/>
  <c r="AC1699"/>
  <c r="AD1699"/>
  <c r="AE1699"/>
  <c r="AF1699"/>
  <c r="AG1699"/>
  <c r="AH1699"/>
  <c r="AI1699"/>
  <c r="AJ1699"/>
  <c r="AK1699"/>
  <c r="C1700"/>
  <c r="H1700"/>
  <c r="I1700"/>
  <c r="J1700"/>
  <c r="K1700"/>
  <c r="M1700"/>
  <c r="P1700"/>
  <c r="R1700"/>
  <c r="S1700"/>
  <c r="T1700"/>
  <c r="U1700"/>
  <c r="X1700"/>
  <c r="Y1700"/>
  <c r="Z1700"/>
  <c r="AA1700"/>
  <c r="AB1700"/>
  <c r="AC1700"/>
  <c r="AD1700"/>
  <c r="AE1700"/>
  <c r="AF1700"/>
  <c r="AG1700"/>
  <c r="AH1700"/>
  <c r="AI1700"/>
  <c r="AJ1700"/>
  <c r="AK1700"/>
  <c r="C1701"/>
  <c r="H1701"/>
  <c r="I1701"/>
  <c r="J1701"/>
  <c r="K1701"/>
  <c r="M1701"/>
  <c r="P1701"/>
  <c r="R1701"/>
  <c r="S1701"/>
  <c r="T1701"/>
  <c r="U1701"/>
  <c r="X1701"/>
  <c r="Y1701"/>
  <c r="Z1701"/>
  <c r="AA1701"/>
  <c r="AB1701"/>
  <c r="AC1701"/>
  <c r="AD1701"/>
  <c r="AE1701"/>
  <c r="AF1701"/>
  <c r="AG1701"/>
  <c r="AH1701"/>
  <c r="AI1701"/>
  <c r="AJ1701"/>
  <c r="AK1701"/>
  <c r="C1682"/>
  <c r="H1682"/>
  <c r="I1682"/>
  <c r="J1682"/>
  <c r="K1682"/>
  <c r="M1682"/>
  <c r="P1682"/>
  <c r="R1682"/>
  <c r="S1682"/>
  <c r="T1682"/>
  <c r="U1682"/>
  <c r="X1682"/>
  <c r="Y1682"/>
  <c r="Z1682"/>
  <c r="AA1682"/>
  <c r="AB1682"/>
  <c r="AC1682"/>
  <c r="AD1682"/>
  <c r="AE1682"/>
  <c r="AF1682"/>
  <c r="AG1682"/>
  <c r="AH1682"/>
  <c r="AI1682"/>
  <c r="AJ1682"/>
  <c r="AK1682"/>
  <c r="C1683"/>
  <c r="H1683"/>
  <c r="I1683"/>
  <c r="J1683"/>
  <c r="K1683"/>
  <c r="M1683"/>
  <c r="P1683"/>
  <c r="R1683"/>
  <c r="S1683"/>
  <c r="T1683"/>
  <c r="U1683"/>
  <c r="X1683"/>
  <c r="Y1683"/>
  <c r="Z1683"/>
  <c r="AA1683"/>
  <c r="AB1683"/>
  <c r="AC1683"/>
  <c r="AD1683"/>
  <c r="AE1683"/>
  <c r="AF1683"/>
  <c r="AG1683"/>
  <c r="AH1683"/>
  <c r="AI1683"/>
  <c r="AJ1683"/>
  <c r="AK1683"/>
  <c r="C1684"/>
  <c r="H1684"/>
  <c r="I1684"/>
  <c r="J1684"/>
  <c r="K1684"/>
  <c r="M1684"/>
  <c r="P1684"/>
  <c r="R1684"/>
  <c r="S1684"/>
  <c r="T1684"/>
  <c r="U1684"/>
  <c r="X1684"/>
  <c r="Y1684"/>
  <c r="Z1684"/>
  <c r="AA1684"/>
  <c r="AB1684"/>
  <c r="AC1684"/>
  <c r="AD1684"/>
  <c r="AE1684"/>
  <c r="AF1684"/>
  <c r="AG1684"/>
  <c r="AH1684"/>
  <c r="AI1684"/>
  <c r="AJ1684"/>
  <c r="AK1684"/>
  <c r="C1685"/>
  <c r="H1685"/>
  <c r="I1685"/>
  <c r="J1685"/>
  <c r="K1685"/>
  <c r="M1685"/>
  <c r="P1685"/>
  <c r="R1685"/>
  <c r="S1685"/>
  <c r="T1685"/>
  <c r="U1685"/>
  <c r="X1685"/>
  <c r="Y1685"/>
  <c r="Z1685"/>
  <c r="AA1685"/>
  <c r="AB1685"/>
  <c r="AC1685"/>
  <c r="AD1685"/>
  <c r="AE1685"/>
  <c r="AF1685"/>
  <c r="AG1685"/>
  <c r="AH1685"/>
  <c r="AI1685"/>
  <c r="AJ1685"/>
  <c r="AK1685"/>
  <c r="C1686"/>
  <c r="H1686"/>
  <c r="I1686"/>
  <c r="J1686"/>
  <c r="K1686"/>
  <c r="M1686"/>
  <c r="P1686"/>
  <c r="R1686"/>
  <c r="S1686"/>
  <c r="T1686"/>
  <c r="U1686"/>
  <c r="X1686"/>
  <c r="Y1686"/>
  <c r="Z1686"/>
  <c r="AA1686"/>
  <c r="AB1686"/>
  <c r="AC1686"/>
  <c r="AD1686"/>
  <c r="AE1686"/>
  <c r="AF1686"/>
  <c r="AG1686"/>
  <c r="AH1686"/>
  <c r="AI1686"/>
  <c r="AJ1686"/>
  <c r="AK1686"/>
  <c r="C1687"/>
  <c r="H1687"/>
  <c r="I1687"/>
  <c r="J1687"/>
  <c r="K1687"/>
  <c r="M1687"/>
  <c r="P1687"/>
  <c r="R1687"/>
  <c r="S1687"/>
  <c r="T1687"/>
  <c r="U1687"/>
  <c r="X1687"/>
  <c r="Y1687"/>
  <c r="Z1687"/>
  <c r="AA1687"/>
  <c r="AB1687"/>
  <c r="AC1687"/>
  <c r="AD1687"/>
  <c r="AE1687"/>
  <c r="AF1687"/>
  <c r="AG1687"/>
  <c r="AH1687"/>
  <c r="AI1687"/>
  <c r="AJ1687"/>
  <c r="AK1687"/>
  <c r="C1688"/>
  <c r="H1688"/>
  <c r="I1688"/>
  <c r="J1688"/>
  <c r="K1688"/>
  <c r="M1688"/>
  <c r="P1688"/>
  <c r="R1688"/>
  <c r="S1688"/>
  <c r="T1688"/>
  <c r="U1688"/>
  <c r="X1688"/>
  <c r="Y1688"/>
  <c r="Z1688"/>
  <c r="AA1688"/>
  <c r="AB1688"/>
  <c r="AC1688"/>
  <c r="AD1688"/>
  <c r="AE1688"/>
  <c r="AF1688"/>
  <c r="AG1688"/>
  <c r="AH1688"/>
  <c r="AI1688"/>
  <c r="AJ1688"/>
  <c r="AK1688"/>
  <c r="C1689"/>
  <c r="H1689"/>
  <c r="I1689"/>
  <c r="J1689"/>
  <c r="K1689"/>
  <c r="M1689"/>
  <c r="P1689"/>
  <c r="R1689"/>
  <c r="S1689"/>
  <c r="T1689"/>
  <c r="U1689"/>
  <c r="X1689"/>
  <c r="Y1689"/>
  <c r="Z1689"/>
  <c r="AA1689"/>
  <c r="AB1689"/>
  <c r="AC1689"/>
  <c r="AD1689"/>
  <c r="AE1689"/>
  <c r="AF1689"/>
  <c r="AG1689"/>
  <c r="AH1689"/>
  <c r="AI1689"/>
  <c r="AJ1689"/>
  <c r="AK1689"/>
  <c r="C1690"/>
  <c r="H1690"/>
  <c r="I1690"/>
  <c r="J1690"/>
  <c r="K1690"/>
  <c r="M1690"/>
  <c r="P1690"/>
  <c r="R1690"/>
  <c r="S1690"/>
  <c r="T1690"/>
  <c r="U1690"/>
  <c r="X1690"/>
  <c r="Y1690"/>
  <c r="Z1690"/>
  <c r="AA1690"/>
  <c r="AB1690"/>
  <c r="AC1690"/>
  <c r="AD1690"/>
  <c r="AE1690"/>
  <c r="AF1690"/>
  <c r="AG1690"/>
  <c r="AH1690"/>
  <c r="AI1690"/>
  <c r="AJ1690"/>
  <c r="AK1690"/>
  <c r="C1691"/>
  <c r="H1691"/>
  <c r="I1691"/>
  <c r="J1691"/>
  <c r="K1691"/>
  <c r="M1691"/>
  <c r="P1691"/>
  <c r="R1691"/>
  <c r="S1691"/>
  <c r="T1691"/>
  <c r="U1691"/>
  <c r="X1691"/>
  <c r="Y1691"/>
  <c r="Z1691"/>
  <c r="AA1691"/>
  <c r="AB1691"/>
  <c r="AC1691"/>
  <c r="AD1691"/>
  <c r="AE1691"/>
  <c r="AF1691"/>
  <c r="AG1691"/>
  <c r="AH1691"/>
  <c r="AI1691"/>
  <c r="AJ1691"/>
  <c r="AK1691"/>
  <c r="C1672"/>
  <c r="H1672"/>
  <c r="I1672"/>
  <c r="J1672"/>
  <c r="K1672"/>
  <c r="M1672"/>
  <c r="P1672"/>
  <c r="R1672"/>
  <c r="S1672"/>
  <c r="T1672"/>
  <c r="U1672"/>
  <c r="X1672"/>
  <c r="Y1672"/>
  <c r="Z1672"/>
  <c r="AA1672"/>
  <c r="AB1672"/>
  <c r="AC1672"/>
  <c r="AD1672"/>
  <c r="AE1672"/>
  <c r="AF1672"/>
  <c r="AG1672"/>
  <c r="AH1672"/>
  <c r="AI1672"/>
  <c r="AJ1672"/>
  <c r="AK1672"/>
  <c r="C1673"/>
  <c r="H1673"/>
  <c r="I1673"/>
  <c r="J1673"/>
  <c r="K1673"/>
  <c r="M1673"/>
  <c r="P1673"/>
  <c r="R1673"/>
  <c r="S1673"/>
  <c r="T1673"/>
  <c r="U1673"/>
  <c r="X1673"/>
  <c r="Y1673"/>
  <c r="Z1673"/>
  <c r="AA1673"/>
  <c r="AB1673"/>
  <c r="AC1673"/>
  <c r="AD1673"/>
  <c r="AE1673"/>
  <c r="AF1673"/>
  <c r="AG1673"/>
  <c r="AH1673"/>
  <c r="AI1673"/>
  <c r="AJ1673"/>
  <c r="AK1673"/>
  <c r="C1674"/>
  <c r="H1674"/>
  <c r="I1674"/>
  <c r="J1674"/>
  <c r="K1674"/>
  <c r="M1674"/>
  <c r="P1674"/>
  <c r="R1674"/>
  <c r="S1674"/>
  <c r="T1674"/>
  <c r="U1674"/>
  <c r="X1674"/>
  <c r="Y1674"/>
  <c r="Z1674"/>
  <c r="AA1674"/>
  <c r="AB1674"/>
  <c r="AC1674"/>
  <c r="AD1674"/>
  <c r="AE1674"/>
  <c r="AF1674"/>
  <c r="AG1674"/>
  <c r="AH1674"/>
  <c r="AI1674"/>
  <c r="AJ1674"/>
  <c r="AK1674"/>
  <c r="C1675"/>
  <c r="H1675"/>
  <c r="I1675"/>
  <c r="J1675"/>
  <c r="K1675"/>
  <c r="M1675"/>
  <c r="P1675"/>
  <c r="R1675"/>
  <c r="S1675"/>
  <c r="T1675"/>
  <c r="U1675"/>
  <c r="X1675"/>
  <c r="Y1675"/>
  <c r="Z1675"/>
  <c r="AA1675"/>
  <c r="AB1675"/>
  <c r="AC1675"/>
  <c r="AD1675"/>
  <c r="AE1675"/>
  <c r="AF1675"/>
  <c r="AG1675"/>
  <c r="AH1675"/>
  <c r="AI1675"/>
  <c r="AJ1675"/>
  <c r="AK1675"/>
  <c r="C1676"/>
  <c r="H1676"/>
  <c r="I1676"/>
  <c r="J1676"/>
  <c r="K1676"/>
  <c r="M1676"/>
  <c r="P1676"/>
  <c r="R1676"/>
  <c r="S1676"/>
  <c r="T1676"/>
  <c r="U1676"/>
  <c r="X1676"/>
  <c r="Y1676"/>
  <c r="Z1676"/>
  <c r="AA1676"/>
  <c r="AB1676"/>
  <c r="AC1676"/>
  <c r="AD1676"/>
  <c r="AE1676"/>
  <c r="AF1676"/>
  <c r="AG1676"/>
  <c r="AH1676"/>
  <c r="AI1676"/>
  <c r="AJ1676"/>
  <c r="AK1676"/>
  <c r="C1677"/>
  <c r="H1677"/>
  <c r="I1677"/>
  <c r="J1677"/>
  <c r="K1677"/>
  <c r="M1677"/>
  <c r="P1677"/>
  <c r="R1677"/>
  <c r="S1677"/>
  <c r="T1677"/>
  <c r="U1677"/>
  <c r="X1677"/>
  <c r="Y1677"/>
  <c r="Z1677"/>
  <c r="AA1677"/>
  <c r="AB1677"/>
  <c r="AC1677"/>
  <c r="AD1677"/>
  <c r="AE1677"/>
  <c r="AF1677"/>
  <c r="AG1677"/>
  <c r="AH1677"/>
  <c r="AI1677"/>
  <c r="AJ1677"/>
  <c r="AK1677"/>
  <c r="C1678"/>
  <c r="H1678"/>
  <c r="I1678"/>
  <c r="J1678"/>
  <c r="K1678"/>
  <c r="M1678"/>
  <c r="P1678"/>
  <c r="R1678"/>
  <c r="S1678"/>
  <c r="T1678"/>
  <c r="U1678"/>
  <c r="X1678"/>
  <c r="Y1678"/>
  <c r="Z1678"/>
  <c r="AA1678"/>
  <c r="AB1678"/>
  <c r="AC1678"/>
  <c r="AD1678"/>
  <c r="AE1678"/>
  <c r="AF1678"/>
  <c r="AG1678"/>
  <c r="AH1678"/>
  <c r="AI1678"/>
  <c r="AJ1678"/>
  <c r="AK1678"/>
  <c r="C1679"/>
  <c r="H1679"/>
  <c r="I1679"/>
  <c r="J1679"/>
  <c r="K1679"/>
  <c r="M1679"/>
  <c r="P1679"/>
  <c r="R1679"/>
  <c r="S1679"/>
  <c r="T1679"/>
  <c r="U1679"/>
  <c r="X1679"/>
  <c r="Y1679"/>
  <c r="Z1679"/>
  <c r="AA1679"/>
  <c r="AB1679"/>
  <c r="AC1679"/>
  <c r="AD1679"/>
  <c r="AE1679"/>
  <c r="AF1679"/>
  <c r="AG1679"/>
  <c r="AH1679"/>
  <c r="AI1679"/>
  <c r="AJ1679"/>
  <c r="AK1679"/>
  <c r="C1680"/>
  <c r="H1680"/>
  <c r="I1680"/>
  <c r="J1680"/>
  <c r="K1680"/>
  <c r="M1680"/>
  <c r="P1680"/>
  <c r="R1680"/>
  <c r="S1680"/>
  <c r="T1680"/>
  <c r="U1680"/>
  <c r="X1680"/>
  <c r="Y1680"/>
  <c r="Z1680"/>
  <c r="AA1680"/>
  <c r="AB1680"/>
  <c r="AC1680"/>
  <c r="AD1680"/>
  <c r="AE1680"/>
  <c r="AF1680"/>
  <c r="AG1680"/>
  <c r="AH1680"/>
  <c r="AI1680"/>
  <c r="AJ1680"/>
  <c r="AK1680"/>
  <c r="C1681"/>
  <c r="H1681"/>
  <c r="I1681"/>
  <c r="J1681"/>
  <c r="K1681"/>
  <c r="M1681"/>
  <c r="P1681"/>
  <c r="R1681"/>
  <c r="S1681"/>
  <c r="T1681"/>
  <c r="U1681"/>
  <c r="X1681"/>
  <c r="Y1681"/>
  <c r="Z1681"/>
  <c r="AA1681"/>
  <c r="AB1681"/>
  <c r="AC1681"/>
  <c r="AD1681"/>
  <c r="AE1681"/>
  <c r="AF1681"/>
  <c r="AG1681"/>
  <c r="AH1681"/>
  <c r="AI1681"/>
  <c r="AJ1681"/>
  <c r="AK1681"/>
  <c r="C1662"/>
  <c r="H1662"/>
  <c r="I1662"/>
  <c r="J1662"/>
  <c r="K1662"/>
  <c r="M1662"/>
  <c r="P1662"/>
  <c r="R1662"/>
  <c r="S1662"/>
  <c r="T1662"/>
  <c r="U1662"/>
  <c r="X1662"/>
  <c r="Y1662"/>
  <c r="Z1662"/>
  <c r="AA1662"/>
  <c r="AB1662"/>
  <c r="AC1662"/>
  <c r="AD1662"/>
  <c r="AE1662"/>
  <c r="AF1662"/>
  <c r="AG1662"/>
  <c r="AH1662"/>
  <c r="AI1662"/>
  <c r="AJ1662"/>
  <c r="AK1662"/>
  <c r="C1663"/>
  <c r="H1663"/>
  <c r="I1663"/>
  <c r="J1663"/>
  <c r="K1663"/>
  <c r="M1663"/>
  <c r="P1663"/>
  <c r="R1663"/>
  <c r="S1663"/>
  <c r="T1663"/>
  <c r="U1663"/>
  <c r="X1663"/>
  <c r="Y1663"/>
  <c r="Z1663"/>
  <c r="AA1663"/>
  <c r="AB1663"/>
  <c r="AC1663"/>
  <c r="AD1663"/>
  <c r="AE1663"/>
  <c r="AF1663"/>
  <c r="AG1663"/>
  <c r="AH1663"/>
  <c r="AI1663"/>
  <c r="AJ1663"/>
  <c r="AK1663"/>
  <c r="C1664"/>
  <c r="H1664"/>
  <c r="I1664"/>
  <c r="J1664"/>
  <c r="K1664"/>
  <c r="M1664"/>
  <c r="P1664"/>
  <c r="R1664"/>
  <c r="S1664"/>
  <c r="T1664"/>
  <c r="U1664"/>
  <c r="X1664"/>
  <c r="Y1664"/>
  <c r="Z1664"/>
  <c r="AA1664"/>
  <c r="AB1664"/>
  <c r="AC1664"/>
  <c r="AD1664"/>
  <c r="AE1664"/>
  <c r="AF1664"/>
  <c r="AG1664"/>
  <c r="AH1664"/>
  <c r="AI1664"/>
  <c r="AJ1664"/>
  <c r="AK1664"/>
  <c r="C1665"/>
  <c r="H1665"/>
  <c r="I1665"/>
  <c r="J1665"/>
  <c r="K1665"/>
  <c r="M1665"/>
  <c r="P1665"/>
  <c r="R1665"/>
  <c r="S1665"/>
  <c r="T1665"/>
  <c r="U1665"/>
  <c r="X1665"/>
  <c r="Y1665"/>
  <c r="Z1665"/>
  <c r="AA1665"/>
  <c r="AB1665"/>
  <c r="AC1665"/>
  <c r="AD1665"/>
  <c r="AE1665"/>
  <c r="AF1665"/>
  <c r="AG1665"/>
  <c r="AH1665"/>
  <c r="AI1665"/>
  <c r="AJ1665"/>
  <c r="AK1665"/>
  <c r="C1666"/>
  <c r="H1666"/>
  <c r="I1666"/>
  <c r="J1666"/>
  <c r="K1666"/>
  <c r="M1666"/>
  <c r="P1666"/>
  <c r="R1666"/>
  <c r="S1666"/>
  <c r="T1666"/>
  <c r="U1666"/>
  <c r="X1666"/>
  <c r="Y1666"/>
  <c r="Z1666"/>
  <c r="AA1666"/>
  <c r="AB1666"/>
  <c r="AC1666"/>
  <c r="AD1666"/>
  <c r="AE1666"/>
  <c r="AF1666"/>
  <c r="AG1666"/>
  <c r="AH1666"/>
  <c r="AI1666"/>
  <c r="AJ1666"/>
  <c r="AK1666"/>
  <c r="C1667"/>
  <c r="H1667"/>
  <c r="I1667"/>
  <c r="J1667"/>
  <c r="K1667"/>
  <c r="M1667"/>
  <c r="P1667"/>
  <c r="R1667"/>
  <c r="S1667"/>
  <c r="T1667"/>
  <c r="U1667"/>
  <c r="X1667"/>
  <c r="Y1667"/>
  <c r="Z1667"/>
  <c r="AA1667"/>
  <c r="AB1667"/>
  <c r="AC1667"/>
  <c r="AD1667"/>
  <c r="AE1667"/>
  <c r="AF1667"/>
  <c r="AG1667"/>
  <c r="AH1667"/>
  <c r="AI1667"/>
  <c r="AJ1667"/>
  <c r="AK1667"/>
  <c r="C1668"/>
  <c r="H1668"/>
  <c r="I1668"/>
  <c r="J1668"/>
  <c r="K1668"/>
  <c r="M1668"/>
  <c r="P1668"/>
  <c r="R1668"/>
  <c r="S1668"/>
  <c r="T1668"/>
  <c r="U1668"/>
  <c r="X1668"/>
  <c r="Y1668"/>
  <c r="Z1668"/>
  <c r="AA1668"/>
  <c r="AB1668"/>
  <c r="AC1668"/>
  <c r="AD1668"/>
  <c r="AE1668"/>
  <c r="AF1668"/>
  <c r="AG1668"/>
  <c r="AH1668"/>
  <c r="AI1668"/>
  <c r="AJ1668"/>
  <c r="AK1668"/>
  <c r="C1669"/>
  <c r="H1669"/>
  <c r="I1669"/>
  <c r="J1669"/>
  <c r="K1669"/>
  <c r="M1669"/>
  <c r="P1669"/>
  <c r="R1669"/>
  <c r="S1669"/>
  <c r="T1669"/>
  <c r="U1669"/>
  <c r="X1669"/>
  <c r="Y1669"/>
  <c r="Z1669"/>
  <c r="AA1669"/>
  <c r="AB1669"/>
  <c r="AC1669"/>
  <c r="AD1669"/>
  <c r="AE1669"/>
  <c r="AF1669"/>
  <c r="AG1669"/>
  <c r="AH1669"/>
  <c r="AI1669"/>
  <c r="AJ1669"/>
  <c r="AK1669"/>
  <c r="C1670"/>
  <c r="H1670"/>
  <c r="I1670"/>
  <c r="J1670"/>
  <c r="K1670"/>
  <c r="M1670"/>
  <c r="P1670"/>
  <c r="R1670"/>
  <c r="S1670"/>
  <c r="T1670"/>
  <c r="U1670"/>
  <c r="X1670"/>
  <c r="Y1670"/>
  <c r="Z1670"/>
  <c r="AA1670"/>
  <c r="AB1670"/>
  <c r="AC1670"/>
  <c r="AD1670"/>
  <c r="AE1670"/>
  <c r="AF1670"/>
  <c r="AG1670"/>
  <c r="AH1670"/>
  <c r="AI1670"/>
  <c r="AJ1670"/>
  <c r="AK1670"/>
  <c r="C1671"/>
  <c r="H1671"/>
  <c r="I1671"/>
  <c r="J1671"/>
  <c r="K1671"/>
  <c r="M1671"/>
  <c r="P1671"/>
  <c r="R1671"/>
  <c r="S1671"/>
  <c r="T1671"/>
  <c r="U1671"/>
  <c r="X1671"/>
  <c r="Y1671"/>
  <c r="Z1671"/>
  <c r="AA1671"/>
  <c r="AB1671"/>
  <c r="AC1671"/>
  <c r="AD1671"/>
  <c r="AE1671"/>
  <c r="AF1671"/>
  <c r="AG1671"/>
  <c r="AH1671"/>
  <c r="AI1671"/>
  <c r="AJ1671"/>
  <c r="AK1671"/>
  <c r="C1652"/>
  <c r="H1652"/>
  <c r="I1652"/>
  <c r="J1652"/>
  <c r="K1652"/>
  <c r="M1652"/>
  <c r="P1652"/>
  <c r="R1652"/>
  <c r="S1652"/>
  <c r="T1652"/>
  <c r="U1652"/>
  <c r="X1652"/>
  <c r="Y1652"/>
  <c r="Z1652"/>
  <c r="AA1652"/>
  <c r="AB1652"/>
  <c r="AC1652"/>
  <c r="AD1652"/>
  <c r="AE1652"/>
  <c r="AF1652"/>
  <c r="AG1652"/>
  <c r="AH1652"/>
  <c r="AI1652"/>
  <c r="AJ1652"/>
  <c r="AK1652"/>
  <c r="C1653"/>
  <c r="H1653"/>
  <c r="I1653"/>
  <c r="J1653"/>
  <c r="K1653"/>
  <c r="M1653"/>
  <c r="P1653"/>
  <c r="R1653"/>
  <c r="S1653"/>
  <c r="T1653"/>
  <c r="U1653"/>
  <c r="X1653"/>
  <c r="Y1653"/>
  <c r="Z1653"/>
  <c r="AA1653"/>
  <c r="AB1653"/>
  <c r="AC1653"/>
  <c r="AD1653"/>
  <c r="AE1653"/>
  <c r="AF1653"/>
  <c r="AG1653"/>
  <c r="AH1653"/>
  <c r="AI1653"/>
  <c r="AJ1653"/>
  <c r="AK1653"/>
  <c r="C1654"/>
  <c r="H1654"/>
  <c r="I1654"/>
  <c r="J1654"/>
  <c r="K1654"/>
  <c r="M1654"/>
  <c r="P1654"/>
  <c r="R1654"/>
  <c r="S1654"/>
  <c r="T1654"/>
  <c r="U1654"/>
  <c r="X1654"/>
  <c r="Y1654"/>
  <c r="Z1654"/>
  <c r="AA1654"/>
  <c r="AB1654"/>
  <c r="AC1654"/>
  <c r="AD1654"/>
  <c r="AE1654"/>
  <c r="AF1654"/>
  <c r="AG1654"/>
  <c r="AH1654"/>
  <c r="AI1654"/>
  <c r="AJ1654"/>
  <c r="AK1654"/>
  <c r="C1655"/>
  <c r="H1655"/>
  <c r="I1655"/>
  <c r="J1655"/>
  <c r="K1655"/>
  <c r="M1655"/>
  <c r="P1655"/>
  <c r="R1655"/>
  <c r="S1655"/>
  <c r="T1655"/>
  <c r="U1655"/>
  <c r="X1655"/>
  <c r="Y1655"/>
  <c r="Z1655"/>
  <c r="AA1655"/>
  <c r="AB1655"/>
  <c r="AC1655"/>
  <c r="AD1655"/>
  <c r="AE1655"/>
  <c r="AF1655"/>
  <c r="AG1655"/>
  <c r="AH1655"/>
  <c r="AI1655"/>
  <c r="AJ1655"/>
  <c r="AK1655"/>
  <c r="C1656"/>
  <c r="H1656"/>
  <c r="I1656"/>
  <c r="J1656"/>
  <c r="K1656"/>
  <c r="M1656"/>
  <c r="P1656"/>
  <c r="R1656"/>
  <c r="S1656"/>
  <c r="T1656"/>
  <c r="U1656"/>
  <c r="X1656"/>
  <c r="Y1656"/>
  <c r="Z1656"/>
  <c r="AA1656"/>
  <c r="AB1656"/>
  <c r="AC1656"/>
  <c r="AD1656"/>
  <c r="AE1656"/>
  <c r="AF1656"/>
  <c r="AG1656"/>
  <c r="AH1656"/>
  <c r="AI1656"/>
  <c r="AJ1656"/>
  <c r="AK1656"/>
  <c r="C1657"/>
  <c r="H1657"/>
  <c r="I1657"/>
  <c r="J1657"/>
  <c r="K1657"/>
  <c r="M1657"/>
  <c r="P1657"/>
  <c r="R1657"/>
  <c r="S1657"/>
  <c r="T1657"/>
  <c r="U1657"/>
  <c r="X1657"/>
  <c r="Y1657"/>
  <c r="Z1657"/>
  <c r="AA1657"/>
  <c r="AB1657"/>
  <c r="AC1657"/>
  <c r="AD1657"/>
  <c r="AE1657"/>
  <c r="AF1657"/>
  <c r="AG1657"/>
  <c r="AH1657"/>
  <c r="AI1657"/>
  <c r="AJ1657"/>
  <c r="AK1657"/>
  <c r="C1658"/>
  <c r="H1658"/>
  <c r="I1658"/>
  <c r="J1658"/>
  <c r="K1658"/>
  <c r="M1658"/>
  <c r="P1658"/>
  <c r="R1658"/>
  <c r="S1658"/>
  <c r="T1658"/>
  <c r="U1658"/>
  <c r="X1658"/>
  <c r="Y1658"/>
  <c r="Z1658"/>
  <c r="AA1658"/>
  <c r="AB1658"/>
  <c r="AC1658"/>
  <c r="AD1658"/>
  <c r="AE1658"/>
  <c r="AF1658"/>
  <c r="AG1658"/>
  <c r="AH1658"/>
  <c r="AI1658"/>
  <c r="AJ1658"/>
  <c r="AK1658"/>
  <c r="C1659"/>
  <c r="H1659"/>
  <c r="I1659"/>
  <c r="J1659"/>
  <c r="K1659"/>
  <c r="M1659"/>
  <c r="P1659"/>
  <c r="R1659"/>
  <c r="S1659"/>
  <c r="T1659"/>
  <c r="U1659"/>
  <c r="X1659"/>
  <c r="Y1659"/>
  <c r="Z1659"/>
  <c r="AA1659"/>
  <c r="AB1659"/>
  <c r="AC1659"/>
  <c r="AD1659"/>
  <c r="AE1659"/>
  <c r="AF1659"/>
  <c r="AG1659"/>
  <c r="AH1659"/>
  <c r="AI1659"/>
  <c r="AJ1659"/>
  <c r="AK1659"/>
  <c r="C1660"/>
  <c r="H1660"/>
  <c r="I1660"/>
  <c r="J1660"/>
  <c r="K1660"/>
  <c r="M1660"/>
  <c r="P1660"/>
  <c r="R1660"/>
  <c r="S1660"/>
  <c r="T1660"/>
  <c r="U1660"/>
  <c r="X1660"/>
  <c r="Y1660"/>
  <c r="Z1660"/>
  <c r="AA1660"/>
  <c r="AB1660"/>
  <c r="AC1660"/>
  <c r="AD1660"/>
  <c r="AE1660"/>
  <c r="AF1660"/>
  <c r="AG1660"/>
  <c r="AH1660"/>
  <c r="AI1660"/>
  <c r="AJ1660"/>
  <c r="AK1660"/>
  <c r="C1661"/>
  <c r="H1661"/>
  <c r="I1661"/>
  <c r="J1661"/>
  <c r="K1661"/>
  <c r="M1661"/>
  <c r="P1661"/>
  <c r="R1661"/>
  <c r="S1661"/>
  <c r="T1661"/>
  <c r="U1661"/>
  <c r="X1661"/>
  <c r="Y1661"/>
  <c r="Z1661"/>
  <c r="AA1661"/>
  <c r="AB1661"/>
  <c r="AC1661"/>
  <c r="AD1661"/>
  <c r="AE1661"/>
  <c r="AF1661"/>
  <c r="AG1661"/>
  <c r="AH1661"/>
  <c r="AI1661"/>
  <c r="AJ1661"/>
  <c r="AK1661"/>
  <c r="C1642"/>
  <c r="H1642"/>
  <c r="I1642"/>
  <c r="J1642"/>
  <c r="K1642"/>
  <c r="M1642"/>
  <c r="P1642"/>
  <c r="R1642"/>
  <c r="S1642"/>
  <c r="T1642"/>
  <c r="U1642"/>
  <c r="X1642"/>
  <c r="Y1642"/>
  <c r="Z1642"/>
  <c r="AA1642"/>
  <c r="AB1642"/>
  <c r="AC1642"/>
  <c r="AD1642"/>
  <c r="AE1642"/>
  <c r="AF1642"/>
  <c r="AG1642"/>
  <c r="AH1642"/>
  <c r="AI1642"/>
  <c r="AJ1642"/>
  <c r="AK1642"/>
  <c r="C1643"/>
  <c r="H1643"/>
  <c r="I1643"/>
  <c r="J1643"/>
  <c r="K1643"/>
  <c r="M1643"/>
  <c r="P1643"/>
  <c r="R1643"/>
  <c r="S1643"/>
  <c r="T1643"/>
  <c r="U1643"/>
  <c r="X1643"/>
  <c r="Y1643"/>
  <c r="Z1643"/>
  <c r="AA1643"/>
  <c r="AB1643"/>
  <c r="AC1643"/>
  <c r="AD1643"/>
  <c r="AE1643"/>
  <c r="AF1643"/>
  <c r="AG1643"/>
  <c r="AH1643"/>
  <c r="AI1643"/>
  <c r="AJ1643"/>
  <c r="AK1643"/>
  <c r="C1644"/>
  <c r="H1644"/>
  <c r="I1644"/>
  <c r="J1644"/>
  <c r="K1644"/>
  <c r="M1644"/>
  <c r="P1644"/>
  <c r="R1644"/>
  <c r="S1644"/>
  <c r="T1644"/>
  <c r="U1644"/>
  <c r="X1644"/>
  <c r="Y1644"/>
  <c r="Z1644"/>
  <c r="AA1644"/>
  <c r="AB1644"/>
  <c r="AC1644"/>
  <c r="AD1644"/>
  <c r="AE1644"/>
  <c r="AF1644"/>
  <c r="AG1644"/>
  <c r="AH1644"/>
  <c r="AI1644"/>
  <c r="AJ1644"/>
  <c r="AK1644"/>
  <c r="C1645"/>
  <c r="H1645"/>
  <c r="I1645"/>
  <c r="J1645"/>
  <c r="K1645"/>
  <c r="M1645"/>
  <c r="P1645"/>
  <c r="R1645"/>
  <c r="S1645"/>
  <c r="T1645"/>
  <c r="U1645"/>
  <c r="X1645"/>
  <c r="Y1645"/>
  <c r="Z1645"/>
  <c r="AA1645"/>
  <c r="AB1645"/>
  <c r="AC1645"/>
  <c r="AD1645"/>
  <c r="AE1645"/>
  <c r="AF1645"/>
  <c r="AG1645"/>
  <c r="AH1645"/>
  <c r="AI1645"/>
  <c r="AJ1645"/>
  <c r="AK1645"/>
  <c r="C1646"/>
  <c r="H1646"/>
  <c r="I1646"/>
  <c r="J1646"/>
  <c r="K1646"/>
  <c r="M1646"/>
  <c r="P1646"/>
  <c r="R1646"/>
  <c r="S1646"/>
  <c r="T1646"/>
  <c r="U1646"/>
  <c r="X1646"/>
  <c r="Y1646"/>
  <c r="Z1646"/>
  <c r="AA1646"/>
  <c r="AB1646"/>
  <c r="AC1646"/>
  <c r="AD1646"/>
  <c r="AE1646"/>
  <c r="AF1646"/>
  <c r="AG1646"/>
  <c r="AH1646"/>
  <c r="AI1646"/>
  <c r="AJ1646"/>
  <c r="AK1646"/>
  <c r="C1647"/>
  <c r="H1647"/>
  <c r="I1647"/>
  <c r="J1647"/>
  <c r="K1647"/>
  <c r="M1647"/>
  <c r="P1647"/>
  <c r="R1647"/>
  <c r="S1647"/>
  <c r="T1647"/>
  <c r="U1647"/>
  <c r="X1647"/>
  <c r="Y1647"/>
  <c r="Z1647"/>
  <c r="AA1647"/>
  <c r="AB1647"/>
  <c r="AC1647"/>
  <c r="AD1647"/>
  <c r="AE1647"/>
  <c r="AF1647"/>
  <c r="AG1647"/>
  <c r="AH1647"/>
  <c r="AI1647"/>
  <c r="AJ1647"/>
  <c r="AK1647"/>
  <c r="C1648"/>
  <c r="H1648"/>
  <c r="I1648"/>
  <c r="J1648"/>
  <c r="K1648"/>
  <c r="M1648"/>
  <c r="P1648"/>
  <c r="R1648"/>
  <c r="S1648"/>
  <c r="T1648"/>
  <c r="U1648"/>
  <c r="X1648"/>
  <c r="Y1648"/>
  <c r="Z1648"/>
  <c r="AA1648"/>
  <c r="AB1648"/>
  <c r="AC1648"/>
  <c r="AD1648"/>
  <c r="AE1648"/>
  <c r="AF1648"/>
  <c r="AG1648"/>
  <c r="AH1648"/>
  <c r="AI1648"/>
  <c r="AJ1648"/>
  <c r="AK1648"/>
  <c r="C1649"/>
  <c r="H1649"/>
  <c r="I1649"/>
  <c r="J1649"/>
  <c r="K1649"/>
  <c r="M1649"/>
  <c r="P1649"/>
  <c r="R1649"/>
  <c r="S1649"/>
  <c r="T1649"/>
  <c r="U1649"/>
  <c r="X1649"/>
  <c r="Y1649"/>
  <c r="Z1649"/>
  <c r="AA1649"/>
  <c r="AB1649"/>
  <c r="AC1649"/>
  <c r="AD1649"/>
  <c r="AE1649"/>
  <c r="AF1649"/>
  <c r="AG1649"/>
  <c r="AH1649"/>
  <c r="AI1649"/>
  <c r="AJ1649"/>
  <c r="AK1649"/>
  <c r="C1650"/>
  <c r="H1650"/>
  <c r="I1650"/>
  <c r="J1650"/>
  <c r="K1650"/>
  <c r="M1650"/>
  <c r="P1650"/>
  <c r="R1650"/>
  <c r="S1650"/>
  <c r="T1650"/>
  <c r="U1650"/>
  <c r="X1650"/>
  <c r="Y1650"/>
  <c r="Z1650"/>
  <c r="AA1650"/>
  <c r="AB1650"/>
  <c r="AC1650"/>
  <c r="AD1650"/>
  <c r="AE1650"/>
  <c r="AF1650"/>
  <c r="AG1650"/>
  <c r="AH1650"/>
  <c r="AI1650"/>
  <c r="AJ1650"/>
  <c r="AK1650"/>
  <c r="C1651"/>
  <c r="H1651"/>
  <c r="I1651"/>
  <c r="J1651"/>
  <c r="K1651"/>
  <c r="M1651"/>
  <c r="P1651"/>
  <c r="R1651"/>
  <c r="S1651"/>
  <c r="T1651"/>
  <c r="U1651"/>
  <c r="X1651"/>
  <c r="Y1651"/>
  <c r="Z1651"/>
  <c r="AA1651"/>
  <c r="AB1651"/>
  <c r="AC1651"/>
  <c r="AD1651"/>
  <c r="AE1651"/>
  <c r="AF1651"/>
  <c r="AG1651"/>
  <c r="AH1651"/>
  <c r="AI1651"/>
  <c r="AJ1651"/>
  <c r="AK1651"/>
  <c r="C1632"/>
  <c r="H1632"/>
  <c r="I1632"/>
  <c r="J1632"/>
  <c r="K1632"/>
  <c r="M1632"/>
  <c r="P1632"/>
  <c r="R1632"/>
  <c r="S1632"/>
  <c r="T1632"/>
  <c r="U1632"/>
  <c r="X1632"/>
  <c r="Y1632"/>
  <c r="Z1632"/>
  <c r="AA1632"/>
  <c r="AB1632"/>
  <c r="AC1632"/>
  <c r="AD1632"/>
  <c r="AE1632"/>
  <c r="AF1632"/>
  <c r="AG1632"/>
  <c r="AH1632"/>
  <c r="AI1632"/>
  <c r="AJ1632"/>
  <c r="AK1632"/>
  <c r="C1633"/>
  <c r="H1633"/>
  <c r="I1633"/>
  <c r="J1633"/>
  <c r="K1633"/>
  <c r="M1633"/>
  <c r="P1633"/>
  <c r="R1633"/>
  <c r="S1633"/>
  <c r="T1633"/>
  <c r="U1633"/>
  <c r="X1633"/>
  <c r="Y1633"/>
  <c r="Z1633"/>
  <c r="AA1633"/>
  <c r="AB1633"/>
  <c r="AC1633"/>
  <c r="AD1633"/>
  <c r="AE1633"/>
  <c r="AF1633"/>
  <c r="AG1633"/>
  <c r="AH1633"/>
  <c r="AI1633"/>
  <c r="AJ1633"/>
  <c r="AK1633"/>
  <c r="C1634"/>
  <c r="H1634"/>
  <c r="I1634"/>
  <c r="J1634"/>
  <c r="K1634"/>
  <c r="M1634"/>
  <c r="P1634"/>
  <c r="R1634"/>
  <c r="S1634"/>
  <c r="T1634"/>
  <c r="U1634"/>
  <c r="X1634"/>
  <c r="Y1634"/>
  <c r="Z1634"/>
  <c r="AA1634"/>
  <c r="AB1634"/>
  <c r="AC1634"/>
  <c r="AD1634"/>
  <c r="AE1634"/>
  <c r="AF1634"/>
  <c r="AG1634"/>
  <c r="AH1634"/>
  <c r="AI1634"/>
  <c r="AJ1634"/>
  <c r="AK1634"/>
  <c r="C1635"/>
  <c r="H1635"/>
  <c r="I1635"/>
  <c r="J1635"/>
  <c r="K1635"/>
  <c r="M1635"/>
  <c r="P1635"/>
  <c r="R1635"/>
  <c r="S1635"/>
  <c r="T1635"/>
  <c r="U1635"/>
  <c r="X1635"/>
  <c r="Y1635"/>
  <c r="Z1635"/>
  <c r="AA1635"/>
  <c r="AB1635"/>
  <c r="AC1635"/>
  <c r="AD1635"/>
  <c r="AE1635"/>
  <c r="AF1635"/>
  <c r="AG1635"/>
  <c r="AH1635"/>
  <c r="AI1635"/>
  <c r="AJ1635"/>
  <c r="AK1635"/>
  <c r="C1636"/>
  <c r="H1636"/>
  <c r="I1636"/>
  <c r="J1636"/>
  <c r="K1636"/>
  <c r="M1636"/>
  <c r="P1636"/>
  <c r="R1636"/>
  <c r="S1636"/>
  <c r="T1636"/>
  <c r="U1636"/>
  <c r="X1636"/>
  <c r="Y1636"/>
  <c r="Z1636"/>
  <c r="AA1636"/>
  <c r="AB1636"/>
  <c r="AC1636"/>
  <c r="AD1636"/>
  <c r="AE1636"/>
  <c r="AF1636"/>
  <c r="AG1636"/>
  <c r="AH1636"/>
  <c r="AI1636"/>
  <c r="AJ1636"/>
  <c r="AK1636"/>
  <c r="C1637"/>
  <c r="H1637"/>
  <c r="I1637"/>
  <c r="J1637"/>
  <c r="K1637"/>
  <c r="M1637"/>
  <c r="P1637"/>
  <c r="R1637"/>
  <c r="S1637"/>
  <c r="T1637"/>
  <c r="U1637"/>
  <c r="X1637"/>
  <c r="Y1637"/>
  <c r="Z1637"/>
  <c r="AA1637"/>
  <c r="AB1637"/>
  <c r="AC1637"/>
  <c r="AD1637"/>
  <c r="AE1637"/>
  <c r="AF1637"/>
  <c r="AG1637"/>
  <c r="AH1637"/>
  <c r="AI1637"/>
  <c r="AJ1637"/>
  <c r="AK1637"/>
  <c r="C1638"/>
  <c r="H1638"/>
  <c r="I1638"/>
  <c r="J1638"/>
  <c r="K1638"/>
  <c r="M1638"/>
  <c r="P1638"/>
  <c r="R1638"/>
  <c r="S1638"/>
  <c r="T1638"/>
  <c r="U1638"/>
  <c r="X1638"/>
  <c r="Y1638"/>
  <c r="Z1638"/>
  <c r="AA1638"/>
  <c r="AB1638"/>
  <c r="AC1638"/>
  <c r="AD1638"/>
  <c r="AE1638"/>
  <c r="AF1638"/>
  <c r="AG1638"/>
  <c r="AH1638"/>
  <c r="AI1638"/>
  <c r="AJ1638"/>
  <c r="AK1638"/>
  <c r="C1639"/>
  <c r="H1639"/>
  <c r="I1639"/>
  <c r="J1639"/>
  <c r="K1639"/>
  <c r="M1639"/>
  <c r="P1639"/>
  <c r="R1639"/>
  <c r="S1639"/>
  <c r="T1639"/>
  <c r="U1639"/>
  <c r="X1639"/>
  <c r="Y1639"/>
  <c r="Z1639"/>
  <c r="AA1639"/>
  <c r="AB1639"/>
  <c r="AC1639"/>
  <c r="AD1639"/>
  <c r="AE1639"/>
  <c r="AF1639"/>
  <c r="AG1639"/>
  <c r="AH1639"/>
  <c r="AI1639"/>
  <c r="AJ1639"/>
  <c r="AK1639"/>
  <c r="C1640"/>
  <c r="H1640"/>
  <c r="I1640"/>
  <c r="J1640"/>
  <c r="K1640"/>
  <c r="M1640"/>
  <c r="P1640"/>
  <c r="R1640"/>
  <c r="S1640"/>
  <c r="T1640"/>
  <c r="U1640"/>
  <c r="X1640"/>
  <c r="Y1640"/>
  <c r="Z1640"/>
  <c r="AA1640"/>
  <c r="AB1640"/>
  <c r="AC1640"/>
  <c r="AD1640"/>
  <c r="AE1640"/>
  <c r="AF1640"/>
  <c r="AG1640"/>
  <c r="AH1640"/>
  <c r="AI1640"/>
  <c r="AJ1640"/>
  <c r="AK1640"/>
  <c r="C1641"/>
  <c r="H1641"/>
  <c r="I1641"/>
  <c r="J1641"/>
  <c r="K1641"/>
  <c r="M1641"/>
  <c r="P1641"/>
  <c r="R1641"/>
  <c r="S1641"/>
  <c r="T1641"/>
  <c r="U1641"/>
  <c r="X1641"/>
  <c r="Y1641"/>
  <c r="Z1641"/>
  <c r="AA1641"/>
  <c r="AB1641"/>
  <c r="AC1641"/>
  <c r="AD1641"/>
  <c r="AE1641"/>
  <c r="AF1641"/>
  <c r="AG1641"/>
  <c r="AH1641"/>
  <c r="AI1641"/>
  <c r="AJ1641"/>
  <c r="AK1641"/>
  <c r="C1622"/>
  <c r="H1622"/>
  <c r="I1622"/>
  <c r="J1622"/>
  <c r="K1622"/>
  <c r="M1622"/>
  <c r="P1622"/>
  <c r="R1622"/>
  <c r="S1622"/>
  <c r="T1622"/>
  <c r="U1622"/>
  <c r="X1622"/>
  <c r="Y1622"/>
  <c r="Z1622"/>
  <c r="AA1622"/>
  <c r="AB1622"/>
  <c r="AC1622"/>
  <c r="AD1622"/>
  <c r="AE1622"/>
  <c r="AF1622"/>
  <c r="AG1622"/>
  <c r="AH1622"/>
  <c r="AI1622"/>
  <c r="AJ1622"/>
  <c r="AK1622"/>
  <c r="C1623"/>
  <c r="H1623"/>
  <c r="I1623"/>
  <c r="J1623"/>
  <c r="K1623"/>
  <c r="M1623"/>
  <c r="P1623"/>
  <c r="R1623"/>
  <c r="S1623"/>
  <c r="T1623"/>
  <c r="U1623"/>
  <c r="X1623"/>
  <c r="Y1623"/>
  <c r="Z1623"/>
  <c r="AA1623"/>
  <c r="AB1623"/>
  <c r="AC1623"/>
  <c r="AD1623"/>
  <c r="AE1623"/>
  <c r="AF1623"/>
  <c r="AG1623"/>
  <c r="AH1623"/>
  <c r="AI1623"/>
  <c r="AJ1623"/>
  <c r="AK1623"/>
  <c r="C1624"/>
  <c r="H1624"/>
  <c r="I1624"/>
  <c r="J1624"/>
  <c r="K1624"/>
  <c r="M1624"/>
  <c r="P1624"/>
  <c r="R1624"/>
  <c r="S1624"/>
  <c r="T1624"/>
  <c r="U1624"/>
  <c r="X1624"/>
  <c r="Y1624"/>
  <c r="Z1624"/>
  <c r="AA1624"/>
  <c r="AB1624"/>
  <c r="AC1624"/>
  <c r="AD1624"/>
  <c r="AE1624"/>
  <c r="AF1624"/>
  <c r="AG1624"/>
  <c r="AH1624"/>
  <c r="AI1624"/>
  <c r="AJ1624"/>
  <c r="AK1624"/>
  <c r="C1625"/>
  <c r="H1625"/>
  <c r="I1625"/>
  <c r="J1625"/>
  <c r="K1625"/>
  <c r="M1625"/>
  <c r="P1625"/>
  <c r="R1625"/>
  <c r="S1625"/>
  <c r="T1625"/>
  <c r="U1625"/>
  <c r="X1625"/>
  <c r="Y1625"/>
  <c r="Z1625"/>
  <c r="AA1625"/>
  <c r="AB1625"/>
  <c r="AC1625"/>
  <c r="AD1625"/>
  <c r="AE1625"/>
  <c r="AF1625"/>
  <c r="AG1625"/>
  <c r="AH1625"/>
  <c r="AI1625"/>
  <c r="AJ1625"/>
  <c r="AK1625"/>
  <c r="C1626"/>
  <c r="H1626"/>
  <c r="I1626"/>
  <c r="J1626"/>
  <c r="K1626"/>
  <c r="M1626"/>
  <c r="P1626"/>
  <c r="R1626"/>
  <c r="S1626"/>
  <c r="T1626"/>
  <c r="U1626"/>
  <c r="X1626"/>
  <c r="Y1626"/>
  <c r="Z1626"/>
  <c r="AA1626"/>
  <c r="AB1626"/>
  <c r="AC1626"/>
  <c r="AD1626"/>
  <c r="AE1626"/>
  <c r="AF1626"/>
  <c r="AG1626"/>
  <c r="AH1626"/>
  <c r="AI1626"/>
  <c r="AJ1626"/>
  <c r="AK1626"/>
  <c r="C1627"/>
  <c r="H1627"/>
  <c r="I1627"/>
  <c r="J1627"/>
  <c r="K1627"/>
  <c r="M1627"/>
  <c r="P1627"/>
  <c r="R1627"/>
  <c r="S1627"/>
  <c r="T1627"/>
  <c r="U1627"/>
  <c r="X1627"/>
  <c r="Y1627"/>
  <c r="Z1627"/>
  <c r="AA1627"/>
  <c r="AB1627"/>
  <c r="AC1627"/>
  <c r="AD1627"/>
  <c r="AE1627"/>
  <c r="AF1627"/>
  <c r="AG1627"/>
  <c r="AH1627"/>
  <c r="AI1627"/>
  <c r="AJ1627"/>
  <c r="AK1627"/>
  <c r="C1628"/>
  <c r="H1628"/>
  <c r="I1628"/>
  <c r="J1628"/>
  <c r="K1628"/>
  <c r="M1628"/>
  <c r="P1628"/>
  <c r="R1628"/>
  <c r="S1628"/>
  <c r="T1628"/>
  <c r="U1628"/>
  <c r="X1628"/>
  <c r="Y1628"/>
  <c r="Z1628"/>
  <c r="AA1628"/>
  <c r="AB1628"/>
  <c r="AC1628"/>
  <c r="AD1628"/>
  <c r="AE1628"/>
  <c r="AF1628"/>
  <c r="AG1628"/>
  <c r="AH1628"/>
  <c r="AI1628"/>
  <c r="AJ1628"/>
  <c r="AK1628"/>
  <c r="C1629"/>
  <c r="H1629"/>
  <c r="I1629"/>
  <c r="J1629"/>
  <c r="K1629"/>
  <c r="M1629"/>
  <c r="P1629"/>
  <c r="R1629"/>
  <c r="S1629"/>
  <c r="T1629"/>
  <c r="U1629"/>
  <c r="X1629"/>
  <c r="Y1629"/>
  <c r="Z1629"/>
  <c r="AA1629"/>
  <c r="AB1629"/>
  <c r="AC1629"/>
  <c r="AD1629"/>
  <c r="AE1629"/>
  <c r="AF1629"/>
  <c r="AG1629"/>
  <c r="AH1629"/>
  <c r="AI1629"/>
  <c r="AJ1629"/>
  <c r="AK1629"/>
  <c r="C1630"/>
  <c r="H1630"/>
  <c r="I1630"/>
  <c r="J1630"/>
  <c r="K1630"/>
  <c r="M1630"/>
  <c r="P1630"/>
  <c r="R1630"/>
  <c r="S1630"/>
  <c r="T1630"/>
  <c r="U1630"/>
  <c r="X1630"/>
  <c r="Y1630"/>
  <c r="Z1630"/>
  <c r="AA1630"/>
  <c r="AB1630"/>
  <c r="AC1630"/>
  <c r="AD1630"/>
  <c r="AE1630"/>
  <c r="AF1630"/>
  <c r="AG1630"/>
  <c r="AH1630"/>
  <c r="AI1630"/>
  <c r="AJ1630"/>
  <c r="AK1630"/>
  <c r="C1631"/>
  <c r="H1631"/>
  <c r="I1631"/>
  <c r="J1631"/>
  <c r="K1631"/>
  <c r="M1631"/>
  <c r="P1631"/>
  <c r="R1631"/>
  <c r="S1631"/>
  <c r="T1631"/>
  <c r="U1631"/>
  <c r="X1631"/>
  <c r="Y1631"/>
  <c r="Z1631"/>
  <c r="AA1631"/>
  <c r="AB1631"/>
  <c r="AC1631"/>
  <c r="AD1631"/>
  <c r="AE1631"/>
  <c r="AF1631"/>
  <c r="AG1631"/>
  <c r="AH1631"/>
  <c r="AI1631"/>
  <c r="AJ1631"/>
  <c r="AK1631"/>
  <c r="C1612"/>
  <c r="H1612"/>
  <c r="I1612"/>
  <c r="J1612"/>
  <c r="K1612"/>
  <c r="M1612"/>
  <c r="P1612"/>
  <c r="R1612"/>
  <c r="S1612"/>
  <c r="T1612"/>
  <c r="U1612"/>
  <c r="X1612"/>
  <c r="Y1612"/>
  <c r="Z1612"/>
  <c r="AA1612"/>
  <c r="AB1612"/>
  <c r="AC1612"/>
  <c r="AD1612"/>
  <c r="AE1612"/>
  <c r="AF1612"/>
  <c r="AG1612"/>
  <c r="AH1612"/>
  <c r="AI1612"/>
  <c r="AJ1612"/>
  <c r="AK1612"/>
  <c r="C1613"/>
  <c r="H1613"/>
  <c r="I1613"/>
  <c r="J1613"/>
  <c r="K1613"/>
  <c r="M1613"/>
  <c r="P1613"/>
  <c r="R1613"/>
  <c r="S1613"/>
  <c r="T1613"/>
  <c r="U1613"/>
  <c r="X1613"/>
  <c r="Y1613"/>
  <c r="Z1613"/>
  <c r="AA1613"/>
  <c r="AB1613"/>
  <c r="AC1613"/>
  <c r="AD1613"/>
  <c r="AE1613"/>
  <c r="AF1613"/>
  <c r="AG1613"/>
  <c r="AH1613"/>
  <c r="AI1613"/>
  <c r="AJ1613"/>
  <c r="AK1613"/>
  <c r="C1614"/>
  <c r="H1614"/>
  <c r="I1614"/>
  <c r="J1614"/>
  <c r="K1614"/>
  <c r="M1614"/>
  <c r="P1614"/>
  <c r="R1614"/>
  <c r="S1614"/>
  <c r="T1614"/>
  <c r="U1614"/>
  <c r="X1614"/>
  <c r="Y1614"/>
  <c r="Z1614"/>
  <c r="AA1614"/>
  <c r="AB1614"/>
  <c r="AC1614"/>
  <c r="AD1614"/>
  <c r="AE1614"/>
  <c r="AF1614"/>
  <c r="AG1614"/>
  <c r="AH1614"/>
  <c r="AI1614"/>
  <c r="AJ1614"/>
  <c r="AK1614"/>
  <c r="C1615"/>
  <c r="H1615"/>
  <c r="I1615"/>
  <c r="J1615"/>
  <c r="K1615"/>
  <c r="M1615"/>
  <c r="P1615"/>
  <c r="R1615"/>
  <c r="S1615"/>
  <c r="T1615"/>
  <c r="U1615"/>
  <c r="X1615"/>
  <c r="Y1615"/>
  <c r="Z1615"/>
  <c r="AA1615"/>
  <c r="AB1615"/>
  <c r="AC1615"/>
  <c r="AD1615"/>
  <c r="AE1615"/>
  <c r="AF1615"/>
  <c r="AG1615"/>
  <c r="AH1615"/>
  <c r="AI1615"/>
  <c r="AJ1615"/>
  <c r="AK1615"/>
  <c r="C1616"/>
  <c r="H1616"/>
  <c r="I1616"/>
  <c r="J1616"/>
  <c r="K1616"/>
  <c r="M1616"/>
  <c r="P1616"/>
  <c r="R1616"/>
  <c r="S1616"/>
  <c r="T1616"/>
  <c r="U1616"/>
  <c r="X1616"/>
  <c r="Y1616"/>
  <c r="Z1616"/>
  <c r="AA1616"/>
  <c r="AB1616"/>
  <c r="AC1616"/>
  <c r="AD1616"/>
  <c r="AE1616"/>
  <c r="AF1616"/>
  <c r="AG1616"/>
  <c r="AH1616"/>
  <c r="AI1616"/>
  <c r="AJ1616"/>
  <c r="AK1616"/>
  <c r="C1617"/>
  <c r="H1617"/>
  <c r="I1617"/>
  <c r="J1617"/>
  <c r="K1617"/>
  <c r="M1617"/>
  <c r="P1617"/>
  <c r="R1617"/>
  <c r="S1617"/>
  <c r="T1617"/>
  <c r="U1617"/>
  <c r="X1617"/>
  <c r="Y1617"/>
  <c r="Z1617"/>
  <c r="AA1617"/>
  <c r="AB1617"/>
  <c r="AC1617"/>
  <c r="AD1617"/>
  <c r="AE1617"/>
  <c r="AF1617"/>
  <c r="AG1617"/>
  <c r="AH1617"/>
  <c r="AI1617"/>
  <c r="AJ1617"/>
  <c r="AK1617"/>
  <c r="C1618"/>
  <c r="H1618"/>
  <c r="I1618"/>
  <c r="J1618"/>
  <c r="K1618"/>
  <c r="M1618"/>
  <c r="P1618"/>
  <c r="R1618"/>
  <c r="S1618"/>
  <c r="T1618"/>
  <c r="U1618"/>
  <c r="X1618"/>
  <c r="Y1618"/>
  <c r="Z1618"/>
  <c r="AA1618"/>
  <c r="AB1618"/>
  <c r="AC1618"/>
  <c r="AD1618"/>
  <c r="AE1618"/>
  <c r="AF1618"/>
  <c r="AG1618"/>
  <c r="AH1618"/>
  <c r="AI1618"/>
  <c r="AJ1618"/>
  <c r="AK1618"/>
  <c r="C1619"/>
  <c r="H1619"/>
  <c r="I1619"/>
  <c r="J1619"/>
  <c r="K1619"/>
  <c r="M1619"/>
  <c r="P1619"/>
  <c r="R1619"/>
  <c r="S1619"/>
  <c r="T1619"/>
  <c r="U1619"/>
  <c r="X1619"/>
  <c r="Y1619"/>
  <c r="Z1619"/>
  <c r="AA1619"/>
  <c r="AB1619"/>
  <c r="AC1619"/>
  <c r="AD1619"/>
  <c r="AE1619"/>
  <c r="AF1619"/>
  <c r="AG1619"/>
  <c r="AH1619"/>
  <c r="AI1619"/>
  <c r="AJ1619"/>
  <c r="AK1619"/>
  <c r="C1620"/>
  <c r="H1620"/>
  <c r="I1620"/>
  <c r="J1620"/>
  <c r="K1620"/>
  <c r="M1620"/>
  <c r="P1620"/>
  <c r="R1620"/>
  <c r="S1620"/>
  <c r="T1620"/>
  <c r="U1620"/>
  <c r="X1620"/>
  <c r="Y1620"/>
  <c r="Z1620"/>
  <c r="AA1620"/>
  <c r="AB1620"/>
  <c r="AC1620"/>
  <c r="AD1620"/>
  <c r="AE1620"/>
  <c r="AF1620"/>
  <c r="AG1620"/>
  <c r="AH1620"/>
  <c r="AI1620"/>
  <c r="AJ1620"/>
  <c r="AK1620"/>
  <c r="C1621"/>
  <c r="H1621"/>
  <c r="I1621"/>
  <c r="J1621"/>
  <c r="K1621"/>
  <c r="M1621"/>
  <c r="P1621"/>
  <c r="R1621"/>
  <c r="S1621"/>
  <c r="T1621"/>
  <c r="U1621"/>
  <c r="X1621"/>
  <c r="Y1621"/>
  <c r="Z1621"/>
  <c r="AA1621"/>
  <c r="AB1621"/>
  <c r="AC1621"/>
  <c r="AD1621"/>
  <c r="AE1621"/>
  <c r="AF1621"/>
  <c r="AG1621"/>
  <c r="AH1621"/>
  <c r="AI1621"/>
  <c r="AJ1621"/>
  <c r="AK1621"/>
  <c r="C1602"/>
  <c r="H1602"/>
  <c r="I1602"/>
  <c r="J1602"/>
  <c r="K1602"/>
  <c r="M1602"/>
  <c r="P1602"/>
  <c r="R1602"/>
  <c r="S1602"/>
  <c r="T1602"/>
  <c r="U1602"/>
  <c r="X1602"/>
  <c r="Y1602"/>
  <c r="Z1602"/>
  <c r="AA1602"/>
  <c r="AB1602"/>
  <c r="AC1602"/>
  <c r="AD1602"/>
  <c r="AE1602"/>
  <c r="AF1602"/>
  <c r="AG1602"/>
  <c r="AH1602"/>
  <c r="AI1602"/>
  <c r="AJ1602"/>
  <c r="AK1602"/>
  <c r="C1603"/>
  <c r="H1603"/>
  <c r="I1603"/>
  <c r="J1603"/>
  <c r="K1603"/>
  <c r="M1603"/>
  <c r="P1603"/>
  <c r="R1603"/>
  <c r="S1603"/>
  <c r="T1603"/>
  <c r="U1603"/>
  <c r="X1603"/>
  <c r="Y1603"/>
  <c r="Z1603"/>
  <c r="AA1603"/>
  <c r="AB1603"/>
  <c r="AC1603"/>
  <c r="AD1603"/>
  <c r="AE1603"/>
  <c r="AF1603"/>
  <c r="AG1603"/>
  <c r="AH1603"/>
  <c r="AI1603"/>
  <c r="AJ1603"/>
  <c r="AK1603"/>
  <c r="C1604"/>
  <c r="H1604"/>
  <c r="I1604"/>
  <c r="J1604"/>
  <c r="K1604"/>
  <c r="M1604"/>
  <c r="P1604"/>
  <c r="R1604"/>
  <c r="S1604"/>
  <c r="T1604"/>
  <c r="U1604"/>
  <c r="X1604"/>
  <c r="Y1604"/>
  <c r="Z1604"/>
  <c r="AA1604"/>
  <c r="AB1604"/>
  <c r="AC1604"/>
  <c r="AD1604"/>
  <c r="AE1604"/>
  <c r="AF1604"/>
  <c r="AG1604"/>
  <c r="AH1604"/>
  <c r="AI1604"/>
  <c r="AJ1604"/>
  <c r="AK1604"/>
  <c r="C1605"/>
  <c r="H1605"/>
  <c r="I1605"/>
  <c r="J1605"/>
  <c r="K1605"/>
  <c r="M1605"/>
  <c r="P1605"/>
  <c r="R1605"/>
  <c r="S1605"/>
  <c r="T1605"/>
  <c r="U1605"/>
  <c r="X1605"/>
  <c r="Y1605"/>
  <c r="Z1605"/>
  <c r="AA1605"/>
  <c r="AB1605"/>
  <c r="AC1605"/>
  <c r="AD1605"/>
  <c r="AE1605"/>
  <c r="AF1605"/>
  <c r="AG1605"/>
  <c r="AH1605"/>
  <c r="AI1605"/>
  <c r="AJ1605"/>
  <c r="AK1605"/>
  <c r="C1606"/>
  <c r="H1606"/>
  <c r="I1606"/>
  <c r="J1606"/>
  <c r="K1606"/>
  <c r="M1606"/>
  <c r="P1606"/>
  <c r="R1606"/>
  <c r="S1606"/>
  <c r="T1606"/>
  <c r="U1606"/>
  <c r="X1606"/>
  <c r="Y1606"/>
  <c r="Z1606"/>
  <c r="AA1606"/>
  <c r="AB1606"/>
  <c r="AC1606"/>
  <c r="AD1606"/>
  <c r="AE1606"/>
  <c r="AF1606"/>
  <c r="AG1606"/>
  <c r="AH1606"/>
  <c r="AI1606"/>
  <c r="AJ1606"/>
  <c r="AK1606"/>
  <c r="C1607"/>
  <c r="H1607"/>
  <c r="I1607"/>
  <c r="J1607"/>
  <c r="K1607"/>
  <c r="M1607"/>
  <c r="P1607"/>
  <c r="R1607"/>
  <c r="S1607"/>
  <c r="T1607"/>
  <c r="U1607"/>
  <c r="X1607"/>
  <c r="Y1607"/>
  <c r="Z1607"/>
  <c r="AA1607"/>
  <c r="AB1607"/>
  <c r="AC1607"/>
  <c r="AD1607"/>
  <c r="AE1607"/>
  <c r="AF1607"/>
  <c r="AG1607"/>
  <c r="AH1607"/>
  <c r="AI1607"/>
  <c r="AJ1607"/>
  <c r="AK1607"/>
  <c r="C1608"/>
  <c r="H1608"/>
  <c r="I1608"/>
  <c r="J1608"/>
  <c r="K1608"/>
  <c r="M1608"/>
  <c r="P1608"/>
  <c r="R1608"/>
  <c r="S1608"/>
  <c r="T1608"/>
  <c r="U1608"/>
  <c r="X1608"/>
  <c r="Y1608"/>
  <c r="Z1608"/>
  <c r="AA1608"/>
  <c r="AB1608"/>
  <c r="AC1608"/>
  <c r="AD1608"/>
  <c r="AE1608"/>
  <c r="AF1608"/>
  <c r="AG1608"/>
  <c r="AH1608"/>
  <c r="AI1608"/>
  <c r="AJ1608"/>
  <c r="AK1608"/>
  <c r="C1609"/>
  <c r="H1609"/>
  <c r="I1609"/>
  <c r="J1609"/>
  <c r="K1609"/>
  <c r="M1609"/>
  <c r="P1609"/>
  <c r="R1609"/>
  <c r="S1609"/>
  <c r="T1609"/>
  <c r="U1609"/>
  <c r="X1609"/>
  <c r="Y1609"/>
  <c r="Z1609"/>
  <c r="AA1609"/>
  <c r="AB1609"/>
  <c r="AC1609"/>
  <c r="AD1609"/>
  <c r="AE1609"/>
  <c r="AF1609"/>
  <c r="AG1609"/>
  <c r="AH1609"/>
  <c r="AI1609"/>
  <c r="AJ1609"/>
  <c r="AK1609"/>
  <c r="C1610"/>
  <c r="H1610"/>
  <c r="I1610"/>
  <c r="J1610"/>
  <c r="K1610"/>
  <c r="M1610"/>
  <c r="P1610"/>
  <c r="R1610"/>
  <c r="S1610"/>
  <c r="T1610"/>
  <c r="U1610"/>
  <c r="X1610"/>
  <c r="Y1610"/>
  <c r="Z1610"/>
  <c r="AA1610"/>
  <c r="AB1610"/>
  <c r="AC1610"/>
  <c r="AD1610"/>
  <c r="AE1610"/>
  <c r="AF1610"/>
  <c r="AG1610"/>
  <c r="AH1610"/>
  <c r="AI1610"/>
  <c r="AJ1610"/>
  <c r="AK1610"/>
  <c r="C1611"/>
  <c r="H1611"/>
  <c r="I1611"/>
  <c r="J1611"/>
  <c r="K1611"/>
  <c r="M1611"/>
  <c r="P1611"/>
  <c r="R1611"/>
  <c r="S1611"/>
  <c r="T1611"/>
  <c r="U1611"/>
  <c r="X1611"/>
  <c r="Y1611"/>
  <c r="Z1611"/>
  <c r="AA1611"/>
  <c r="AB1611"/>
  <c r="AC1611"/>
  <c r="AD1611"/>
  <c r="AE1611"/>
  <c r="AF1611"/>
  <c r="AG1611"/>
  <c r="AH1611"/>
  <c r="AI1611"/>
  <c r="AJ1611"/>
  <c r="AK1611"/>
  <c r="C1592"/>
  <c r="H1592"/>
  <c r="I1592"/>
  <c r="J1592"/>
  <c r="K1592"/>
  <c r="M1592"/>
  <c r="P1592"/>
  <c r="R1592"/>
  <c r="S1592"/>
  <c r="T1592"/>
  <c r="U1592"/>
  <c r="X1592"/>
  <c r="Y1592"/>
  <c r="Z1592"/>
  <c r="AA1592"/>
  <c r="AB1592"/>
  <c r="AC1592"/>
  <c r="AD1592"/>
  <c r="AE1592"/>
  <c r="AF1592"/>
  <c r="AG1592"/>
  <c r="AH1592"/>
  <c r="AI1592"/>
  <c r="AJ1592"/>
  <c r="AK1592"/>
  <c r="C1593"/>
  <c r="H1593"/>
  <c r="I1593"/>
  <c r="J1593"/>
  <c r="K1593"/>
  <c r="M1593"/>
  <c r="P1593"/>
  <c r="R1593"/>
  <c r="S1593"/>
  <c r="T1593"/>
  <c r="U1593"/>
  <c r="X1593"/>
  <c r="Y1593"/>
  <c r="Z1593"/>
  <c r="AA1593"/>
  <c r="AB1593"/>
  <c r="AC1593"/>
  <c r="AD1593"/>
  <c r="AE1593"/>
  <c r="AF1593"/>
  <c r="AG1593"/>
  <c r="AH1593"/>
  <c r="AI1593"/>
  <c r="AJ1593"/>
  <c r="AK1593"/>
  <c r="C1594"/>
  <c r="H1594"/>
  <c r="I1594"/>
  <c r="J1594"/>
  <c r="K1594"/>
  <c r="M1594"/>
  <c r="P1594"/>
  <c r="R1594"/>
  <c r="S1594"/>
  <c r="T1594"/>
  <c r="U1594"/>
  <c r="X1594"/>
  <c r="Y1594"/>
  <c r="Z1594"/>
  <c r="AA1594"/>
  <c r="AB1594"/>
  <c r="AC1594"/>
  <c r="AD1594"/>
  <c r="AE1594"/>
  <c r="AF1594"/>
  <c r="AG1594"/>
  <c r="AH1594"/>
  <c r="AI1594"/>
  <c r="AJ1594"/>
  <c r="AK1594"/>
  <c r="C1595"/>
  <c r="H1595"/>
  <c r="I1595"/>
  <c r="J1595"/>
  <c r="K1595"/>
  <c r="M1595"/>
  <c r="P1595"/>
  <c r="R1595"/>
  <c r="S1595"/>
  <c r="T1595"/>
  <c r="U1595"/>
  <c r="X1595"/>
  <c r="Y1595"/>
  <c r="Z1595"/>
  <c r="AA1595"/>
  <c r="AB1595"/>
  <c r="AC1595"/>
  <c r="AD1595"/>
  <c r="AE1595"/>
  <c r="AF1595"/>
  <c r="AG1595"/>
  <c r="AH1595"/>
  <c r="AI1595"/>
  <c r="AJ1595"/>
  <c r="AK1595"/>
  <c r="C1596"/>
  <c r="H1596"/>
  <c r="I1596"/>
  <c r="J1596"/>
  <c r="K1596"/>
  <c r="M1596"/>
  <c r="P1596"/>
  <c r="R1596"/>
  <c r="S1596"/>
  <c r="T1596"/>
  <c r="U1596"/>
  <c r="X1596"/>
  <c r="Y1596"/>
  <c r="Z1596"/>
  <c r="AA1596"/>
  <c r="AB1596"/>
  <c r="AC1596"/>
  <c r="AD1596"/>
  <c r="AE1596"/>
  <c r="AF1596"/>
  <c r="AG1596"/>
  <c r="AH1596"/>
  <c r="AI1596"/>
  <c r="AJ1596"/>
  <c r="AK1596"/>
  <c r="C1597"/>
  <c r="H1597"/>
  <c r="I1597"/>
  <c r="J1597"/>
  <c r="K1597"/>
  <c r="M1597"/>
  <c r="P1597"/>
  <c r="R1597"/>
  <c r="S1597"/>
  <c r="T1597"/>
  <c r="U1597"/>
  <c r="X1597"/>
  <c r="Y1597"/>
  <c r="Z1597"/>
  <c r="AA1597"/>
  <c r="AB1597"/>
  <c r="AC1597"/>
  <c r="AD1597"/>
  <c r="AE1597"/>
  <c r="AF1597"/>
  <c r="AG1597"/>
  <c r="AH1597"/>
  <c r="AI1597"/>
  <c r="AJ1597"/>
  <c r="AK1597"/>
  <c r="C1598"/>
  <c r="H1598"/>
  <c r="I1598"/>
  <c r="J1598"/>
  <c r="K1598"/>
  <c r="M1598"/>
  <c r="P1598"/>
  <c r="R1598"/>
  <c r="S1598"/>
  <c r="T1598"/>
  <c r="U1598"/>
  <c r="X1598"/>
  <c r="Y1598"/>
  <c r="Z1598"/>
  <c r="AA1598"/>
  <c r="AB1598"/>
  <c r="AC1598"/>
  <c r="AD1598"/>
  <c r="AE1598"/>
  <c r="AF1598"/>
  <c r="AG1598"/>
  <c r="AH1598"/>
  <c r="AI1598"/>
  <c r="AJ1598"/>
  <c r="AK1598"/>
  <c r="C1599"/>
  <c r="H1599"/>
  <c r="I1599"/>
  <c r="J1599"/>
  <c r="K1599"/>
  <c r="M1599"/>
  <c r="P1599"/>
  <c r="R1599"/>
  <c r="S1599"/>
  <c r="T1599"/>
  <c r="U1599"/>
  <c r="X1599"/>
  <c r="Y1599"/>
  <c r="Z1599"/>
  <c r="AA1599"/>
  <c r="AB1599"/>
  <c r="AC1599"/>
  <c r="AD1599"/>
  <c r="AE1599"/>
  <c r="AF1599"/>
  <c r="AG1599"/>
  <c r="AH1599"/>
  <c r="AI1599"/>
  <c r="AJ1599"/>
  <c r="AK1599"/>
  <c r="C1600"/>
  <c r="H1600"/>
  <c r="I1600"/>
  <c r="J1600"/>
  <c r="K1600"/>
  <c r="M1600"/>
  <c r="P1600"/>
  <c r="R1600"/>
  <c r="S1600"/>
  <c r="T1600"/>
  <c r="U1600"/>
  <c r="X1600"/>
  <c r="Y1600"/>
  <c r="Z1600"/>
  <c r="AA1600"/>
  <c r="AB1600"/>
  <c r="AC1600"/>
  <c r="AD1600"/>
  <c r="AE1600"/>
  <c r="AF1600"/>
  <c r="AG1600"/>
  <c r="AH1600"/>
  <c r="AI1600"/>
  <c r="AJ1600"/>
  <c r="AK1600"/>
  <c r="C1601"/>
  <c r="H1601"/>
  <c r="I1601"/>
  <c r="J1601"/>
  <c r="K1601"/>
  <c r="M1601"/>
  <c r="P1601"/>
  <c r="R1601"/>
  <c r="S1601"/>
  <c r="T1601"/>
  <c r="U1601"/>
  <c r="X1601"/>
  <c r="Y1601"/>
  <c r="Z1601"/>
  <c r="AA1601"/>
  <c r="AB1601"/>
  <c r="AC1601"/>
  <c r="AD1601"/>
  <c r="AE1601"/>
  <c r="AF1601"/>
  <c r="AG1601"/>
  <c r="AH1601"/>
  <c r="AI1601"/>
  <c r="AJ1601"/>
  <c r="AK1601"/>
  <c r="C1582"/>
  <c r="H1582"/>
  <c r="I1582"/>
  <c r="J1582"/>
  <c r="K1582"/>
  <c r="M1582"/>
  <c r="P1582"/>
  <c r="R1582"/>
  <c r="S1582"/>
  <c r="T1582"/>
  <c r="U1582"/>
  <c r="X1582"/>
  <c r="Y1582"/>
  <c r="Z1582"/>
  <c r="AA1582"/>
  <c r="AB1582"/>
  <c r="AC1582"/>
  <c r="AD1582"/>
  <c r="AE1582"/>
  <c r="AF1582"/>
  <c r="AG1582"/>
  <c r="AH1582"/>
  <c r="AI1582"/>
  <c r="AJ1582"/>
  <c r="AK1582"/>
  <c r="C1583"/>
  <c r="H1583"/>
  <c r="I1583"/>
  <c r="J1583"/>
  <c r="K1583"/>
  <c r="M1583"/>
  <c r="P1583"/>
  <c r="R1583"/>
  <c r="S1583"/>
  <c r="T1583"/>
  <c r="U1583"/>
  <c r="X1583"/>
  <c r="Y1583"/>
  <c r="Z1583"/>
  <c r="AA1583"/>
  <c r="AB1583"/>
  <c r="AC1583"/>
  <c r="AD1583"/>
  <c r="AE1583"/>
  <c r="AF1583"/>
  <c r="AG1583"/>
  <c r="AH1583"/>
  <c r="AI1583"/>
  <c r="AJ1583"/>
  <c r="AK1583"/>
  <c r="C1584"/>
  <c r="H1584"/>
  <c r="I1584"/>
  <c r="J1584"/>
  <c r="K1584"/>
  <c r="M1584"/>
  <c r="P1584"/>
  <c r="R1584"/>
  <c r="S1584"/>
  <c r="T1584"/>
  <c r="U1584"/>
  <c r="X1584"/>
  <c r="Y1584"/>
  <c r="Z1584"/>
  <c r="AA1584"/>
  <c r="AB1584"/>
  <c r="AC1584"/>
  <c r="AD1584"/>
  <c r="AE1584"/>
  <c r="AF1584"/>
  <c r="AG1584"/>
  <c r="AH1584"/>
  <c r="AI1584"/>
  <c r="AJ1584"/>
  <c r="AK1584"/>
  <c r="C1585"/>
  <c r="H1585"/>
  <c r="I1585"/>
  <c r="J1585"/>
  <c r="K1585"/>
  <c r="M1585"/>
  <c r="P1585"/>
  <c r="R1585"/>
  <c r="S1585"/>
  <c r="T1585"/>
  <c r="U1585"/>
  <c r="X1585"/>
  <c r="Y1585"/>
  <c r="Z1585"/>
  <c r="AA1585"/>
  <c r="AB1585"/>
  <c r="AC1585"/>
  <c r="AD1585"/>
  <c r="AE1585"/>
  <c r="AF1585"/>
  <c r="AG1585"/>
  <c r="AH1585"/>
  <c r="AI1585"/>
  <c r="AJ1585"/>
  <c r="AK1585"/>
  <c r="C1586"/>
  <c r="H1586"/>
  <c r="I1586"/>
  <c r="J1586"/>
  <c r="K1586"/>
  <c r="M1586"/>
  <c r="P1586"/>
  <c r="R1586"/>
  <c r="S1586"/>
  <c r="T1586"/>
  <c r="U1586"/>
  <c r="X1586"/>
  <c r="Y1586"/>
  <c r="Z1586"/>
  <c r="AA1586"/>
  <c r="AB1586"/>
  <c r="AC1586"/>
  <c r="AD1586"/>
  <c r="AE1586"/>
  <c r="AF1586"/>
  <c r="AG1586"/>
  <c r="AH1586"/>
  <c r="AI1586"/>
  <c r="AJ1586"/>
  <c r="AK1586"/>
  <c r="C1587"/>
  <c r="H1587"/>
  <c r="I1587"/>
  <c r="J1587"/>
  <c r="K1587"/>
  <c r="M1587"/>
  <c r="P1587"/>
  <c r="R1587"/>
  <c r="S1587"/>
  <c r="T1587"/>
  <c r="U1587"/>
  <c r="X1587"/>
  <c r="Y1587"/>
  <c r="Z1587"/>
  <c r="AA1587"/>
  <c r="AB1587"/>
  <c r="AC1587"/>
  <c r="AD1587"/>
  <c r="AE1587"/>
  <c r="AF1587"/>
  <c r="AG1587"/>
  <c r="AH1587"/>
  <c r="AI1587"/>
  <c r="AJ1587"/>
  <c r="AK1587"/>
  <c r="C1588"/>
  <c r="H1588"/>
  <c r="I1588"/>
  <c r="J1588"/>
  <c r="K1588"/>
  <c r="M1588"/>
  <c r="P1588"/>
  <c r="R1588"/>
  <c r="S1588"/>
  <c r="T1588"/>
  <c r="U1588"/>
  <c r="X1588"/>
  <c r="Y1588"/>
  <c r="Z1588"/>
  <c r="AA1588"/>
  <c r="AB1588"/>
  <c r="AC1588"/>
  <c r="AD1588"/>
  <c r="AE1588"/>
  <c r="AF1588"/>
  <c r="AG1588"/>
  <c r="AH1588"/>
  <c r="AI1588"/>
  <c r="AJ1588"/>
  <c r="AK1588"/>
  <c r="C1589"/>
  <c r="H1589"/>
  <c r="I1589"/>
  <c r="J1589"/>
  <c r="K1589"/>
  <c r="M1589"/>
  <c r="P1589"/>
  <c r="R1589"/>
  <c r="S1589"/>
  <c r="T1589"/>
  <c r="U1589"/>
  <c r="X1589"/>
  <c r="Y1589"/>
  <c r="Z1589"/>
  <c r="AA1589"/>
  <c r="AB1589"/>
  <c r="AC1589"/>
  <c r="AD1589"/>
  <c r="AE1589"/>
  <c r="AF1589"/>
  <c r="AG1589"/>
  <c r="AH1589"/>
  <c r="AI1589"/>
  <c r="AJ1589"/>
  <c r="AK1589"/>
  <c r="C1590"/>
  <c r="H1590"/>
  <c r="I1590"/>
  <c r="J1590"/>
  <c r="K1590"/>
  <c r="M1590"/>
  <c r="P1590"/>
  <c r="R1590"/>
  <c r="S1590"/>
  <c r="T1590"/>
  <c r="U1590"/>
  <c r="X1590"/>
  <c r="Y1590"/>
  <c r="Z1590"/>
  <c r="AA1590"/>
  <c r="AB1590"/>
  <c r="AC1590"/>
  <c r="AD1590"/>
  <c r="AE1590"/>
  <c r="AF1590"/>
  <c r="AG1590"/>
  <c r="AH1590"/>
  <c r="AI1590"/>
  <c r="AJ1590"/>
  <c r="AK1590"/>
  <c r="C1591"/>
  <c r="H1591"/>
  <c r="I1591"/>
  <c r="J1591"/>
  <c r="K1591"/>
  <c r="M1591"/>
  <c r="P1591"/>
  <c r="R1591"/>
  <c r="S1591"/>
  <c r="T1591"/>
  <c r="U1591"/>
  <c r="X1591"/>
  <c r="Y1591"/>
  <c r="Z1591"/>
  <c r="AA1591"/>
  <c r="AB1591"/>
  <c r="AC1591"/>
  <c r="AD1591"/>
  <c r="AE1591"/>
  <c r="AF1591"/>
  <c r="AG1591"/>
  <c r="AH1591"/>
  <c r="AI1591"/>
  <c r="AJ1591"/>
  <c r="AK1591"/>
  <c r="C1572"/>
  <c r="H1572"/>
  <c r="I1572"/>
  <c r="J1572"/>
  <c r="K1572"/>
  <c r="M1572"/>
  <c r="P1572"/>
  <c r="R1572"/>
  <c r="S1572"/>
  <c r="T1572"/>
  <c r="U1572"/>
  <c r="X1572"/>
  <c r="Y1572"/>
  <c r="Z1572"/>
  <c r="AA1572"/>
  <c r="AB1572"/>
  <c r="AC1572"/>
  <c r="AD1572"/>
  <c r="AE1572"/>
  <c r="AF1572"/>
  <c r="AG1572"/>
  <c r="AH1572"/>
  <c r="AI1572"/>
  <c r="AJ1572"/>
  <c r="AK1572"/>
  <c r="C1573"/>
  <c r="H1573"/>
  <c r="I1573"/>
  <c r="J1573"/>
  <c r="K1573"/>
  <c r="M1573"/>
  <c r="P1573"/>
  <c r="R1573"/>
  <c r="S1573"/>
  <c r="T1573"/>
  <c r="U1573"/>
  <c r="X1573"/>
  <c r="Y1573"/>
  <c r="Z1573"/>
  <c r="AA1573"/>
  <c r="AB1573"/>
  <c r="AC1573"/>
  <c r="AD1573"/>
  <c r="AE1573"/>
  <c r="AF1573"/>
  <c r="AG1573"/>
  <c r="AH1573"/>
  <c r="AI1573"/>
  <c r="AJ1573"/>
  <c r="AK1573"/>
  <c r="C1574"/>
  <c r="H1574"/>
  <c r="I1574"/>
  <c r="J1574"/>
  <c r="K1574"/>
  <c r="M1574"/>
  <c r="P1574"/>
  <c r="R1574"/>
  <c r="S1574"/>
  <c r="T1574"/>
  <c r="U1574"/>
  <c r="X1574"/>
  <c r="Y1574"/>
  <c r="Z1574"/>
  <c r="AA1574"/>
  <c r="AB1574"/>
  <c r="AC1574"/>
  <c r="AD1574"/>
  <c r="AE1574"/>
  <c r="AF1574"/>
  <c r="AG1574"/>
  <c r="AH1574"/>
  <c r="AI1574"/>
  <c r="AJ1574"/>
  <c r="AK1574"/>
  <c r="C1575"/>
  <c r="H1575"/>
  <c r="I1575"/>
  <c r="J1575"/>
  <c r="K1575"/>
  <c r="M1575"/>
  <c r="P1575"/>
  <c r="R1575"/>
  <c r="S1575"/>
  <c r="T1575"/>
  <c r="U1575"/>
  <c r="X1575"/>
  <c r="Y1575"/>
  <c r="Z1575"/>
  <c r="AA1575"/>
  <c r="AB1575"/>
  <c r="AC1575"/>
  <c r="AD1575"/>
  <c r="AE1575"/>
  <c r="AF1575"/>
  <c r="AG1575"/>
  <c r="AH1575"/>
  <c r="AI1575"/>
  <c r="AJ1575"/>
  <c r="AK1575"/>
  <c r="C1576"/>
  <c r="H1576"/>
  <c r="I1576"/>
  <c r="J1576"/>
  <c r="K1576"/>
  <c r="M1576"/>
  <c r="P1576"/>
  <c r="R1576"/>
  <c r="S1576"/>
  <c r="T1576"/>
  <c r="U1576"/>
  <c r="X1576"/>
  <c r="Y1576"/>
  <c r="Z1576"/>
  <c r="AA1576"/>
  <c r="AB1576"/>
  <c r="AC1576"/>
  <c r="AD1576"/>
  <c r="AE1576"/>
  <c r="AF1576"/>
  <c r="AG1576"/>
  <c r="AH1576"/>
  <c r="AI1576"/>
  <c r="AJ1576"/>
  <c r="AK1576"/>
  <c r="C1577"/>
  <c r="H1577"/>
  <c r="I1577"/>
  <c r="J1577"/>
  <c r="K1577"/>
  <c r="M1577"/>
  <c r="P1577"/>
  <c r="R1577"/>
  <c r="S1577"/>
  <c r="T1577"/>
  <c r="U1577"/>
  <c r="X1577"/>
  <c r="Y1577"/>
  <c r="Z1577"/>
  <c r="AA1577"/>
  <c r="AB1577"/>
  <c r="AC1577"/>
  <c r="AD1577"/>
  <c r="AE1577"/>
  <c r="AF1577"/>
  <c r="AG1577"/>
  <c r="AH1577"/>
  <c r="AI1577"/>
  <c r="AJ1577"/>
  <c r="AK1577"/>
  <c r="C1578"/>
  <c r="H1578"/>
  <c r="I1578"/>
  <c r="J1578"/>
  <c r="K1578"/>
  <c r="M1578"/>
  <c r="P1578"/>
  <c r="R1578"/>
  <c r="S1578"/>
  <c r="T1578"/>
  <c r="U1578"/>
  <c r="X1578"/>
  <c r="Y1578"/>
  <c r="Z1578"/>
  <c r="AA1578"/>
  <c r="AB1578"/>
  <c r="AC1578"/>
  <c r="AD1578"/>
  <c r="AE1578"/>
  <c r="AF1578"/>
  <c r="AG1578"/>
  <c r="AH1578"/>
  <c r="AI1578"/>
  <c r="AJ1578"/>
  <c r="AK1578"/>
  <c r="C1579"/>
  <c r="H1579"/>
  <c r="I1579"/>
  <c r="J1579"/>
  <c r="K1579"/>
  <c r="M1579"/>
  <c r="P1579"/>
  <c r="R1579"/>
  <c r="S1579"/>
  <c r="T1579"/>
  <c r="U1579"/>
  <c r="X1579"/>
  <c r="Y1579"/>
  <c r="Z1579"/>
  <c r="AA1579"/>
  <c r="AB1579"/>
  <c r="AC1579"/>
  <c r="AD1579"/>
  <c r="AE1579"/>
  <c r="AF1579"/>
  <c r="AG1579"/>
  <c r="AH1579"/>
  <c r="AI1579"/>
  <c r="AJ1579"/>
  <c r="AK1579"/>
  <c r="C1580"/>
  <c r="H1580"/>
  <c r="I1580"/>
  <c r="J1580"/>
  <c r="K1580"/>
  <c r="M1580"/>
  <c r="P1580"/>
  <c r="R1580"/>
  <c r="S1580"/>
  <c r="T1580"/>
  <c r="U1580"/>
  <c r="X1580"/>
  <c r="Y1580"/>
  <c r="Z1580"/>
  <c r="AA1580"/>
  <c r="AB1580"/>
  <c r="AC1580"/>
  <c r="AD1580"/>
  <c r="AE1580"/>
  <c r="AF1580"/>
  <c r="AG1580"/>
  <c r="AH1580"/>
  <c r="AI1580"/>
  <c r="AJ1580"/>
  <c r="AK1580"/>
  <c r="C1581"/>
  <c r="H1581"/>
  <c r="I1581"/>
  <c r="J1581"/>
  <c r="K1581"/>
  <c r="M1581"/>
  <c r="P1581"/>
  <c r="R1581"/>
  <c r="S1581"/>
  <c r="T1581"/>
  <c r="U1581"/>
  <c r="X1581"/>
  <c r="Y1581"/>
  <c r="Z1581"/>
  <c r="AA1581"/>
  <c r="AB1581"/>
  <c r="AC1581"/>
  <c r="AD1581"/>
  <c r="AE1581"/>
  <c r="AF1581"/>
  <c r="AG1581"/>
  <c r="AH1581"/>
  <c r="AI1581"/>
  <c r="AJ1581"/>
  <c r="AK1581"/>
  <c r="C1562"/>
  <c r="H1562"/>
  <c r="I1562"/>
  <c r="J1562"/>
  <c r="K1562"/>
  <c r="M1562"/>
  <c r="P1562"/>
  <c r="R1562"/>
  <c r="S1562"/>
  <c r="T1562"/>
  <c r="U1562"/>
  <c r="X1562"/>
  <c r="Y1562"/>
  <c r="Z1562"/>
  <c r="AA1562"/>
  <c r="AB1562"/>
  <c r="AC1562"/>
  <c r="AD1562"/>
  <c r="AE1562"/>
  <c r="AF1562"/>
  <c r="AG1562"/>
  <c r="AH1562"/>
  <c r="AI1562"/>
  <c r="AJ1562"/>
  <c r="AK1562"/>
  <c r="C1563"/>
  <c r="H1563"/>
  <c r="I1563"/>
  <c r="J1563"/>
  <c r="K1563"/>
  <c r="M1563"/>
  <c r="P1563"/>
  <c r="R1563"/>
  <c r="S1563"/>
  <c r="T1563"/>
  <c r="U1563"/>
  <c r="X1563"/>
  <c r="Y1563"/>
  <c r="Z1563"/>
  <c r="AA1563"/>
  <c r="AB1563"/>
  <c r="AC1563"/>
  <c r="AD1563"/>
  <c r="AE1563"/>
  <c r="AF1563"/>
  <c r="AG1563"/>
  <c r="AH1563"/>
  <c r="AI1563"/>
  <c r="AJ1563"/>
  <c r="AK1563"/>
  <c r="C1564"/>
  <c r="H1564"/>
  <c r="I1564"/>
  <c r="J1564"/>
  <c r="K1564"/>
  <c r="M1564"/>
  <c r="P1564"/>
  <c r="R1564"/>
  <c r="S1564"/>
  <c r="T1564"/>
  <c r="U1564"/>
  <c r="X1564"/>
  <c r="Y1564"/>
  <c r="Z1564"/>
  <c r="AA1564"/>
  <c r="AB1564"/>
  <c r="AC1564"/>
  <c r="AD1564"/>
  <c r="AE1564"/>
  <c r="AF1564"/>
  <c r="AG1564"/>
  <c r="AH1564"/>
  <c r="AI1564"/>
  <c r="AJ1564"/>
  <c r="AK1564"/>
  <c r="C1565"/>
  <c r="H1565"/>
  <c r="I1565"/>
  <c r="J1565"/>
  <c r="K1565"/>
  <c r="M1565"/>
  <c r="P1565"/>
  <c r="R1565"/>
  <c r="S1565"/>
  <c r="T1565"/>
  <c r="U1565"/>
  <c r="X1565"/>
  <c r="Y1565"/>
  <c r="Z1565"/>
  <c r="AA1565"/>
  <c r="AB1565"/>
  <c r="AC1565"/>
  <c r="AD1565"/>
  <c r="AE1565"/>
  <c r="AF1565"/>
  <c r="AG1565"/>
  <c r="AH1565"/>
  <c r="AI1565"/>
  <c r="AJ1565"/>
  <c r="AK1565"/>
  <c r="C1566"/>
  <c r="H1566"/>
  <c r="I1566"/>
  <c r="J1566"/>
  <c r="K1566"/>
  <c r="M1566"/>
  <c r="P1566"/>
  <c r="R1566"/>
  <c r="S1566"/>
  <c r="T1566"/>
  <c r="U1566"/>
  <c r="X1566"/>
  <c r="Y1566"/>
  <c r="Z1566"/>
  <c r="AA1566"/>
  <c r="AB1566"/>
  <c r="AC1566"/>
  <c r="AD1566"/>
  <c r="AE1566"/>
  <c r="AF1566"/>
  <c r="AG1566"/>
  <c r="AH1566"/>
  <c r="AI1566"/>
  <c r="AJ1566"/>
  <c r="AK1566"/>
  <c r="C1567"/>
  <c r="H1567"/>
  <c r="I1567"/>
  <c r="J1567"/>
  <c r="K1567"/>
  <c r="M1567"/>
  <c r="P1567"/>
  <c r="R1567"/>
  <c r="S1567"/>
  <c r="T1567"/>
  <c r="U1567"/>
  <c r="X1567"/>
  <c r="Y1567"/>
  <c r="Z1567"/>
  <c r="AA1567"/>
  <c r="AB1567"/>
  <c r="AC1567"/>
  <c r="AD1567"/>
  <c r="AE1567"/>
  <c r="AF1567"/>
  <c r="AG1567"/>
  <c r="AH1567"/>
  <c r="AI1567"/>
  <c r="AJ1567"/>
  <c r="AK1567"/>
  <c r="C1568"/>
  <c r="H1568"/>
  <c r="I1568"/>
  <c r="J1568"/>
  <c r="K1568"/>
  <c r="M1568"/>
  <c r="P1568"/>
  <c r="R1568"/>
  <c r="S1568"/>
  <c r="T1568"/>
  <c r="U1568"/>
  <c r="X1568"/>
  <c r="Y1568"/>
  <c r="Z1568"/>
  <c r="AA1568"/>
  <c r="AB1568"/>
  <c r="AC1568"/>
  <c r="AD1568"/>
  <c r="AE1568"/>
  <c r="AF1568"/>
  <c r="AG1568"/>
  <c r="AH1568"/>
  <c r="AI1568"/>
  <c r="AJ1568"/>
  <c r="AK1568"/>
  <c r="C1569"/>
  <c r="H1569"/>
  <c r="I1569"/>
  <c r="J1569"/>
  <c r="K1569"/>
  <c r="M1569"/>
  <c r="P1569"/>
  <c r="R1569"/>
  <c r="S1569"/>
  <c r="T1569"/>
  <c r="U1569"/>
  <c r="X1569"/>
  <c r="Y1569"/>
  <c r="Z1569"/>
  <c r="AA1569"/>
  <c r="AB1569"/>
  <c r="AC1569"/>
  <c r="AD1569"/>
  <c r="AE1569"/>
  <c r="AF1569"/>
  <c r="AG1569"/>
  <c r="AH1569"/>
  <c r="AI1569"/>
  <c r="AJ1569"/>
  <c r="AK1569"/>
  <c r="C1570"/>
  <c r="H1570"/>
  <c r="I1570"/>
  <c r="J1570"/>
  <c r="K1570"/>
  <c r="M1570"/>
  <c r="P1570"/>
  <c r="R1570"/>
  <c r="S1570"/>
  <c r="T1570"/>
  <c r="U1570"/>
  <c r="X1570"/>
  <c r="Y1570"/>
  <c r="Z1570"/>
  <c r="AA1570"/>
  <c r="AB1570"/>
  <c r="AC1570"/>
  <c r="AD1570"/>
  <c r="AE1570"/>
  <c r="AF1570"/>
  <c r="AG1570"/>
  <c r="AH1570"/>
  <c r="AI1570"/>
  <c r="AJ1570"/>
  <c r="AK1570"/>
  <c r="C1571"/>
  <c r="H1571"/>
  <c r="I1571"/>
  <c r="J1571"/>
  <c r="K1571"/>
  <c r="M1571"/>
  <c r="P1571"/>
  <c r="R1571"/>
  <c r="S1571"/>
  <c r="T1571"/>
  <c r="U1571"/>
  <c r="X1571"/>
  <c r="Y1571"/>
  <c r="Z1571"/>
  <c r="AA1571"/>
  <c r="AB1571"/>
  <c r="AC1571"/>
  <c r="AD1571"/>
  <c r="AE1571"/>
  <c r="AF1571"/>
  <c r="AG1571"/>
  <c r="AH1571"/>
  <c r="AI1571"/>
  <c r="AJ1571"/>
  <c r="AK1571"/>
  <c r="C1552"/>
  <c r="H1552"/>
  <c r="I1552"/>
  <c r="J1552"/>
  <c r="K1552"/>
  <c r="M1552"/>
  <c r="P1552"/>
  <c r="R1552"/>
  <c r="S1552"/>
  <c r="T1552"/>
  <c r="U1552"/>
  <c r="X1552"/>
  <c r="Y1552"/>
  <c r="Z1552"/>
  <c r="AA1552"/>
  <c r="AB1552"/>
  <c r="AC1552"/>
  <c r="AD1552"/>
  <c r="AE1552"/>
  <c r="AF1552"/>
  <c r="AG1552"/>
  <c r="AH1552"/>
  <c r="AI1552"/>
  <c r="AJ1552"/>
  <c r="AK1552"/>
  <c r="C1553"/>
  <c r="H1553"/>
  <c r="I1553"/>
  <c r="J1553"/>
  <c r="K1553"/>
  <c r="M1553"/>
  <c r="P1553"/>
  <c r="R1553"/>
  <c r="S1553"/>
  <c r="T1553"/>
  <c r="U1553"/>
  <c r="X1553"/>
  <c r="Y1553"/>
  <c r="Z1553"/>
  <c r="AA1553"/>
  <c r="AB1553"/>
  <c r="AC1553"/>
  <c r="AD1553"/>
  <c r="AE1553"/>
  <c r="AF1553"/>
  <c r="AG1553"/>
  <c r="AH1553"/>
  <c r="AI1553"/>
  <c r="AJ1553"/>
  <c r="AK1553"/>
  <c r="C1554"/>
  <c r="H1554"/>
  <c r="I1554"/>
  <c r="J1554"/>
  <c r="K1554"/>
  <c r="M1554"/>
  <c r="P1554"/>
  <c r="R1554"/>
  <c r="S1554"/>
  <c r="T1554"/>
  <c r="U1554"/>
  <c r="X1554"/>
  <c r="Y1554"/>
  <c r="Z1554"/>
  <c r="AA1554"/>
  <c r="AB1554"/>
  <c r="AC1554"/>
  <c r="AD1554"/>
  <c r="AE1554"/>
  <c r="AF1554"/>
  <c r="AG1554"/>
  <c r="AH1554"/>
  <c r="AI1554"/>
  <c r="AJ1554"/>
  <c r="AK1554"/>
  <c r="C1555"/>
  <c r="H1555"/>
  <c r="I1555"/>
  <c r="J1555"/>
  <c r="K1555"/>
  <c r="M1555"/>
  <c r="P1555"/>
  <c r="R1555"/>
  <c r="S1555"/>
  <c r="T1555"/>
  <c r="U1555"/>
  <c r="X1555"/>
  <c r="Y1555"/>
  <c r="Z1555"/>
  <c r="AA1555"/>
  <c r="AB1555"/>
  <c r="AC1555"/>
  <c r="AD1555"/>
  <c r="AE1555"/>
  <c r="AF1555"/>
  <c r="AG1555"/>
  <c r="AH1555"/>
  <c r="AI1555"/>
  <c r="AJ1555"/>
  <c r="AK1555"/>
  <c r="C1556"/>
  <c r="H1556"/>
  <c r="I1556"/>
  <c r="J1556"/>
  <c r="K1556"/>
  <c r="M1556"/>
  <c r="P1556"/>
  <c r="R1556"/>
  <c r="S1556"/>
  <c r="T1556"/>
  <c r="U1556"/>
  <c r="X1556"/>
  <c r="Y1556"/>
  <c r="Z1556"/>
  <c r="AA1556"/>
  <c r="AB1556"/>
  <c r="AC1556"/>
  <c r="AD1556"/>
  <c r="AE1556"/>
  <c r="AF1556"/>
  <c r="AG1556"/>
  <c r="AH1556"/>
  <c r="AI1556"/>
  <c r="AJ1556"/>
  <c r="AK1556"/>
  <c r="C1557"/>
  <c r="H1557"/>
  <c r="I1557"/>
  <c r="J1557"/>
  <c r="K1557"/>
  <c r="M1557"/>
  <c r="P1557"/>
  <c r="R1557"/>
  <c r="S1557"/>
  <c r="T1557"/>
  <c r="U1557"/>
  <c r="X1557"/>
  <c r="Y1557"/>
  <c r="Z1557"/>
  <c r="AA1557"/>
  <c r="AB1557"/>
  <c r="AC1557"/>
  <c r="AD1557"/>
  <c r="AE1557"/>
  <c r="AF1557"/>
  <c r="AG1557"/>
  <c r="AH1557"/>
  <c r="AI1557"/>
  <c r="AJ1557"/>
  <c r="AK1557"/>
  <c r="C1558"/>
  <c r="H1558"/>
  <c r="I1558"/>
  <c r="J1558"/>
  <c r="K1558"/>
  <c r="M1558"/>
  <c r="P1558"/>
  <c r="R1558"/>
  <c r="S1558"/>
  <c r="T1558"/>
  <c r="U1558"/>
  <c r="X1558"/>
  <c r="Y1558"/>
  <c r="Z1558"/>
  <c r="AA1558"/>
  <c r="AB1558"/>
  <c r="AC1558"/>
  <c r="AD1558"/>
  <c r="AE1558"/>
  <c r="AF1558"/>
  <c r="AG1558"/>
  <c r="AH1558"/>
  <c r="AI1558"/>
  <c r="AJ1558"/>
  <c r="AK1558"/>
  <c r="C1559"/>
  <c r="H1559"/>
  <c r="I1559"/>
  <c r="J1559"/>
  <c r="K1559"/>
  <c r="M1559"/>
  <c r="P1559"/>
  <c r="R1559"/>
  <c r="S1559"/>
  <c r="T1559"/>
  <c r="U1559"/>
  <c r="X1559"/>
  <c r="Y1559"/>
  <c r="Z1559"/>
  <c r="AA1559"/>
  <c r="AB1559"/>
  <c r="AC1559"/>
  <c r="AD1559"/>
  <c r="AE1559"/>
  <c r="AF1559"/>
  <c r="AG1559"/>
  <c r="AH1559"/>
  <c r="AI1559"/>
  <c r="AJ1559"/>
  <c r="AK1559"/>
  <c r="C1560"/>
  <c r="H1560"/>
  <c r="I1560"/>
  <c r="J1560"/>
  <c r="K1560"/>
  <c r="M1560"/>
  <c r="P1560"/>
  <c r="R1560"/>
  <c r="S1560"/>
  <c r="T1560"/>
  <c r="U1560"/>
  <c r="X1560"/>
  <c r="Y1560"/>
  <c r="Z1560"/>
  <c r="AA1560"/>
  <c r="AB1560"/>
  <c r="AC1560"/>
  <c r="AD1560"/>
  <c r="AE1560"/>
  <c r="AF1560"/>
  <c r="AG1560"/>
  <c r="AH1560"/>
  <c r="AI1560"/>
  <c r="AJ1560"/>
  <c r="AK1560"/>
  <c r="C1561"/>
  <c r="H1561"/>
  <c r="I1561"/>
  <c r="J1561"/>
  <c r="K1561"/>
  <c r="M1561"/>
  <c r="P1561"/>
  <c r="R1561"/>
  <c r="S1561"/>
  <c r="T1561"/>
  <c r="U1561"/>
  <c r="X1561"/>
  <c r="Y1561"/>
  <c r="Z1561"/>
  <c r="AA1561"/>
  <c r="AB1561"/>
  <c r="AC1561"/>
  <c r="AD1561"/>
  <c r="AE1561"/>
  <c r="AF1561"/>
  <c r="AG1561"/>
  <c r="AH1561"/>
  <c r="AI1561"/>
  <c r="AJ1561"/>
  <c r="AK1561"/>
  <c r="C1542"/>
  <c r="H1542"/>
  <c r="I1542"/>
  <c r="J1542"/>
  <c r="K1542"/>
  <c r="M1542"/>
  <c r="P1542"/>
  <c r="R1542"/>
  <c r="S1542"/>
  <c r="T1542"/>
  <c r="U1542"/>
  <c r="X1542"/>
  <c r="Y1542"/>
  <c r="Z1542"/>
  <c r="AA1542"/>
  <c r="AB1542"/>
  <c r="AC1542"/>
  <c r="AD1542"/>
  <c r="AE1542"/>
  <c r="AF1542"/>
  <c r="AG1542"/>
  <c r="AH1542"/>
  <c r="AI1542"/>
  <c r="AJ1542"/>
  <c r="AK1542"/>
  <c r="C1543"/>
  <c r="H1543"/>
  <c r="I1543"/>
  <c r="J1543"/>
  <c r="K1543"/>
  <c r="M1543"/>
  <c r="P1543"/>
  <c r="R1543"/>
  <c r="S1543"/>
  <c r="T1543"/>
  <c r="U1543"/>
  <c r="X1543"/>
  <c r="Y1543"/>
  <c r="Z1543"/>
  <c r="AA1543"/>
  <c r="AB1543"/>
  <c r="AC1543"/>
  <c r="AD1543"/>
  <c r="AE1543"/>
  <c r="AF1543"/>
  <c r="AG1543"/>
  <c r="AH1543"/>
  <c r="AI1543"/>
  <c r="AJ1543"/>
  <c r="AK1543"/>
  <c r="C1544"/>
  <c r="H1544"/>
  <c r="I1544"/>
  <c r="J1544"/>
  <c r="K1544"/>
  <c r="M1544"/>
  <c r="P1544"/>
  <c r="R1544"/>
  <c r="S1544"/>
  <c r="T1544"/>
  <c r="U1544"/>
  <c r="X1544"/>
  <c r="Y1544"/>
  <c r="Z1544"/>
  <c r="AA1544"/>
  <c r="AB1544"/>
  <c r="AC1544"/>
  <c r="AD1544"/>
  <c r="AE1544"/>
  <c r="AF1544"/>
  <c r="AG1544"/>
  <c r="AH1544"/>
  <c r="AI1544"/>
  <c r="AJ1544"/>
  <c r="AK1544"/>
  <c r="C1545"/>
  <c r="H1545"/>
  <c r="I1545"/>
  <c r="J1545"/>
  <c r="K1545"/>
  <c r="M1545"/>
  <c r="P1545"/>
  <c r="R1545"/>
  <c r="S1545"/>
  <c r="T1545"/>
  <c r="U1545"/>
  <c r="X1545"/>
  <c r="Y1545"/>
  <c r="Z1545"/>
  <c r="AA1545"/>
  <c r="AB1545"/>
  <c r="AC1545"/>
  <c r="AD1545"/>
  <c r="AE1545"/>
  <c r="AF1545"/>
  <c r="AG1545"/>
  <c r="AH1545"/>
  <c r="AI1545"/>
  <c r="AJ1545"/>
  <c r="AK1545"/>
  <c r="C1546"/>
  <c r="H1546"/>
  <c r="I1546"/>
  <c r="J1546"/>
  <c r="K1546"/>
  <c r="M1546"/>
  <c r="P1546"/>
  <c r="R1546"/>
  <c r="S1546"/>
  <c r="T1546"/>
  <c r="U1546"/>
  <c r="X1546"/>
  <c r="Y1546"/>
  <c r="Z1546"/>
  <c r="AA1546"/>
  <c r="AB1546"/>
  <c r="AC1546"/>
  <c r="AD1546"/>
  <c r="AE1546"/>
  <c r="AF1546"/>
  <c r="AG1546"/>
  <c r="AH1546"/>
  <c r="AI1546"/>
  <c r="AJ1546"/>
  <c r="AK1546"/>
  <c r="C1547"/>
  <c r="H1547"/>
  <c r="I1547"/>
  <c r="J1547"/>
  <c r="K1547"/>
  <c r="M1547"/>
  <c r="P1547"/>
  <c r="R1547"/>
  <c r="S1547"/>
  <c r="T1547"/>
  <c r="U1547"/>
  <c r="X1547"/>
  <c r="Y1547"/>
  <c r="Z1547"/>
  <c r="AA1547"/>
  <c r="AB1547"/>
  <c r="AC1547"/>
  <c r="AD1547"/>
  <c r="AE1547"/>
  <c r="AF1547"/>
  <c r="AG1547"/>
  <c r="AH1547"/>
  <c r="AI1547"/>
  <c r="AJ1547"/>
  <c r="AK1547"/>
  <c r="C1548"/>
  <c r="H1548"/>
  <c r="I1548"/>
  <c r="J1548"/>
  <c r="K1548"/>
  <c r="M1548"/>
  <c r="P1548"/>
  <c r="R1548"/>
  <c r="S1548"/>
  <c r="T1548"/>
  <c r="U1548"/>
  <c r="X1548"/>
  <c r="Y1548"/>
  <c r="Z1548"/>
  <c r="AA1548"/>
  <c r="AB1548"/>
  <c r="AC1548"/>
  <c r="AD1548"/>
  <c r="AE1548"/>
  <c r="AF1548"/>
  <c r="AG1548"/>
  <c r="AH1548"/>
  <c r="AI1548"/>
  <c r="AJ1548"/>
  <c r="AK1548"/>
  <c r="C1549"/>
  <c r="H1549"/>
  <c r="I1549"/>
  <c r="J1549"/>
  <c r="K1549"/>
  <c r="M1549"/>
  <c r="P1549"/>
  <c r="R1549"/>
  <c r="S1549"/>
  <c r="T1549"/>
  <c r="U1549"/>
  <c r="X1549"/>
  <c r="Y1549"/>
  <c r="Z1549"/>
  <c r="AA1549"/>
  <c r="AB1549"/>
  <c r="AC1549"/>
  <c r="AD1549"/>
  <c r="AE1549"/>
  <c r="AF1549"/>
  <c r="AG1549"/>
  <c r="AH1549"/>
  <c r="AI1549"/>
  <c r="AJ1549"/>
  <c r="AK1549"/>
  <c r="C1550"/>
  <c r="H1550"/>
  <c r="I1550"/>
  <c r="J1550"/>
  <c r="K1550"/>
  <c r="M1550"/>
  <c r="P1550"/>
  <c r="R1550"/>
  <c r="S1550"/>
  <c r="T1550"/>
  <c r="U1550"/>
  <c r="X1550"/>
  <c r="Y1550"/>
  <c r="Z1550"/>
  <c r="AA1550"/>
  <c r="AB1550"/>
  <c r="AC1550"/>
  <c r="AD1550"/>
  <c r="AE1550"/>
  <c r="AF1550"/>
  <c r="AG1550"/>
  <c r="AH1550"/>
  <c r="AI1550"/>
  <c r="AJ1550"/>
  <c r="AK1550"/>
  <c r="C1551"/>
  <c r="H1551"/>
  <c r="I1551"/>
  <c r="J1551"/>
  <c r="K1551"/>
  <c r="M1551"/>
  <c r="P1551"/>
  <c r="R1551"/>
  <c r="S1551"/>
  <c r="T1551"/>
  <c r="U1551"/>
  <c r="X1551"/>
  <c r="Y1551"/>
  <c r="Z1551"/>
  <c r="AA1551"/>
  <c r="AB1551"/>
  <c r="AC1551"/>
  <c r="AD1551"/>
  <c r="AE1551"/>
  <c r="AF1551"/>
  <c r="AG1551"/>
  <c r="AH1551"/>
  <c r="AI1551"/>
  <c r="AJ1551"/>
  <c r="AK1551"/>
  <c r="C1532"/>
  <c r="H1532"/>
  <c r="I1532"/>
  <c r="J1532"/>
  <c r="K1532"/>
  <c r="M1532"/>
  <c r="P1532"/>
  <c r="R1532"/>
  <c r="S1532"/>
  <c r="T1532"/>
  <c r="U1532"/>
  <c r="X1532"/>
  <c r="Y1532"/>
  <c r="Z1532"/>
  <c r="AA1532"/>
  <c r="AB1532"/>
  <c r="AC1532"/>
  <c r="AD1532"/>
  <c r="AE1532"/>
  <c r="AF1532"/>
  <c r="AG1532"/>
  <c r="AH1532"/>
  <c r="AI1532"/>
  <c r="AJ1532"/>
  <c r="AK1532"/>
  <c r="C1533"/>
  <c r="H1533"/>
  <c r="I1533"/>
  <c r="J1533"/>
  <c r="K1533"/>
  <c r="M1533"/>
  <c r="P1533"/>
  <c r="R1533"/>
  <c r="S1533"/>
  <c r="T1533"/>
  <c r="U1533"/>
  <c r="X1533"/>
  <c r="Y1533"/>
  <c r="Z1533"/>
  <c r="AA1533"/>
  <c r="AB1533"/>
  <c r="AC1533"/>
  <c r="AD1533"/>
  <c r="AE1533"/>
  <c r="AF1533"/>
  <c r="AG1533"/>
  <c r="AH1533"/>
  <c r="AI1533"/>
  <c r="AJ1533"/>
  <c r="AK1533"/>
  <c r="C1534"/>
  <c r="H1534"/>
  <c r="I1534"/>
  <c r="J1534"/>
  <c r="K1534"/>
  <c r="M1534"/>
  <c r="P1534"/>
  <c r="R1534"/>
  <c r="S1534"/>
  <c r="T1534"/>
  <c r="U1534"/>
  <c r="X1534"/>
  <c r="Y1534"/>
  <c r="Z1534"/>
  <c r="AA1534"/>
  <c r="AB1534"/>
  <c r="AC1534"/>
  <c r="AD1534"/>
  <c r="AE1534"/>
  <c r="AF1534"/>
  <c r="AG1534"/>
  <c r="AH1534"/>
  <c r="AI1534"/>
  <c r="AJ1534"/>
  <c r="AK1534"/>
  <c r="C1535"/>
  <c r="H1535"/>
  <c r="I1535"/>
  <c r="J1535"/>
  <c r="K1535"/>
  <c r="M1535"/>
  <c r="P1535"/>
  <c r="R1535"/>
  <c r="S1535"/>
  <c r="T1535"/>
  <c r="U1535"/>
  <c r="X1535"/>
  <c r="Y1535"/>
  <c r="Z1535"/>
  <c r="AA1535"/>
  <c r="AB1535"/>
  <c r="AC1535"/>
  <c r="AD1535"/>
  <c r="AE1535"/>
  <c r="AF1535"/>
  <c r="AG1535"/>
  <c r="AH1535"/>
  <c r="AI1535"/>
  <c r="AJ1535"/>
  <c r="AK1535"/>
  <c r="C1536"/>
  <c r="H1536"/>
  <c r="I1536"/>
  <c r="J1536"/>
  <c r="K1536"/>
  <c r="M1536"/>
  <c r="P1536"/>
  <c r="R1536"/>
  <c r="S1536"/>
  <c r="T1536"/>
  <c r="U1536"/>
  <c r="X1536"/>
  <c r="Y1536"/>
  <c r="Z1536"/>
  <c r="AA1536"/>
  <c r="AB1536"/>
  <c r="AC1536"/>
  <c r="AD1536"/>
  <c r="AE1536"/>
  <c r="AF1536"/>
  <c r="AG1536"/>
  <c r="AH1536"/>
  <c r="AI1536"/>
  <c r="AJ1536"/>
  <c r="AK1536"/>
  <c r="C1537"/>
  <c r="H1537"/>
  <c r="I1537"/>
  <c r="J1537"/>
  <c r="K1537"/>
  <c r="M1537"/>
  <c r="P1537"/>
  <c r="R1537"/>
  <c r="S1537"/>
  <c r="T1537"/>
  <c r="U1537"/>
  <c r="X1537"/>
  <c r="Y1537"/>
  <c r="Z1537"/>
  <c r="AA1537"/>
  <c r="AB1537"/>
  <c r="AC1537"/>
  <c r="AD1537"/>
  <c r="AE1537"/>
  <c r="AF1537"/>
  <c r="AG1537"/>
  <c r="AH1537"/>
  <c r="AI1537"/>
  <c r="AJ1537"/>
  <c r="AK1537"/>
  <c r="C1538"/>
  <c r="H1538"/>
  <c r="I1538"/>
  <c r="J1538"/>
  <c r="K1538"/>
  <c r="M1538"/>
  <c r="P1538"/>
  <c r="R1538"/>
  <c r="S1538"/>
  <c r="T1538"/>
  <c r="U1538"/>
  <c r="X1538"/>
  <c r="Y1538"/>
  <c r="Z1538"/>
  <c r="AA1538"/>
  <c r="AB1538"/>
  <c r="AC1538"/>
  <c r="AD1538"/>
  <c r="AE1538"/>
  <c r="AF1538"/>
  <c r="AG1538"/>
  <c r="AH1538"/>
  <c r="AI1538"/>
  <c r="AJ1538"/>
  <c r="AK1538"/>
  <c r="C1539"/>
  <c r="H1539"/>
  <c r="I1539"/>
  <c r="J1539"/>
  <c r="K1539"/>
  <c r="M1539"/>
  <c r="P1539"/>
  <c r="R1539"/>
  <c r="S1539"/>
  <c r="T1539"/>
  <c r="U1539"/>
  <c r="X1539"/>
  <c r="Y1539"/>
  <c r="Z1539"/>
  <c r="AA1539"/>
  <c r="AB1539"/>
  <c r="AC1539"/>
  <c r="AD1539"/>
  <c r="AE1539"/>
  <c r="AF1539"/>
  <c r="AG1539"/>
  <c r="AH1539"/>
  <c r="AI1539"/>
  <c r="AJ1539"/>
  <c r="AK1539"/>
  <c r="C1540"/>
  <c r="H1540"/>
  <c r="I1540"/>
  <c r="J1540"/>
  <c r="K1540"/>
  <c r="M1540"/>
  <c r="P1540"/>
  <c r="R1540"/>
  <c r="S1540"/>
  <c r="T1540"/>
  <c r="U1540"/>
  <c r="X1540"/>
  <c r="Y1540"/>
  <c r="Z1540"/>
  <c r="AA1540"/>
  <c r="AB1540"/>
  <c r="AC1540"/>
  <c r="AD1540"/>
  <c r="AE1540"/>
  <c r="AF1540"/>
  <c r="AG1540"/>
  <c r="AH1540"/>
  <c r="AI1540"/>
  <c r="AJ1540"/>
  <c r="AK1540"/>
  <c r="C1541"/>
  <c r="H1541"/>
  <c r="I1541"/>
  <c r="J1541"/>
  <c r="K1541"/>
  <c r="M1541"/>
  <c r="P1541"/>
  <c r="R1541"/>
  <c r="S1541"/>
  <c r="T1541"/>
  <c r="U1541"/>
  <c r="X1541"/>
  <c r="Y1541"/>
  <c r="Z1541"/>
  <c r="AA1541"/>
  <c r="AB1541"/>
  <c r="AC1541"/>
  <c r="AD1541"/>
  <c r="AE1541"/>
  <c r="AF1541"/>
  <c r="AG1541"/>
  <c r="AH1541"/>
  <c r="AI1541"/>
  <c r="AJ1541"/>
  <c r="AK1541"/>
  <c r="C1522"/>
  <c r="H1522"/>
  <c r="I1522"/>
  <c r="J1522"/>
  <c r="K1522"/>
  <c r="M1522"/>
  <c r="P1522"/>
  <c r="R1522"/>
  <c r="S1522"/>
  <c r="T1522"/>
  <c r="U1522"/>
  <c r="X1522"/>
  <c r="Y1522"/>
  <c r="Z1522"/>
  <c r="AA1522"/>
  <c r="AB1522"/>
  <c r="AC1522"/>
  <c r="AD1522"/>
  <c r="AE1522"/>
  <c r="AF1522"/>
  <c r="AG1522"/>
  <c r="AH1522"/>
  <c r="AI1522"/>
  <c r="AJ1522"/>
  <c r="AK1522"/>
  <c r="C1523"/>
  <c r="H1523"/>
  <c r="I1523"/>
  <c r="J1523"/>
  <c r="K1523"/>
  <c r="M1523"/>
  <c r="P1523"/>
  <c r="R1523"/>
  <c r="S1523"/>
  <c r="T1523"/>
  <c r="U1523"/>
  <c r="X1523"/>
  <c r="Y1523"/>
  <c r="Z1523"/>
  <c r="AA1523"/>
  <c r="AB1523"/>
  <c r="AC1523"/>
  <c r="AD1523"/>
  <c r="AE1523"/>
  <c r="AF1523"/>
  <c r="AG1523"/>
  <c r="AH1523"/>
  <c r="AI1523"/>
  <c r="AJ1523"/>
  <c r="AK1523"/>
  <c r="C1524"/>
  <c r="H1524"/>
  <c r="I1524"/>
  <c r="J1524"/>
  <c r="K1524"/>
  <c r="M1524"/>
  <c r="P1524"/>
  <c r="R1524"/>
  <c r="S1524"/>
  <c r="T1524"/>
  <c r="U1524"/>
  <c r="X1524"/>
  <c r="Y1524"/>
  <c r="Z1524"/>
  <c r="AA1524"/>
  <c r="AB1524"/>
  <c r="AC1524"/>
  <c r="AD1524"/>
  <c r="AE1524"/>
  <c r="AF1524"/>
  <c r="AG1524"/>
  <c r="AH1524"/>
  <c r="AI1524"/>
  <c r="AJ1524"/>
  <c r="AK1524"/>
  <c r="C1525"/>
  <c r="H1525"/>
  <c r="I1525"/>
  <c r="J1525"/>
  <c r="K1525"/>
  <c r="M1525"/>
  <c r="P1525"/>
  <c r="R1525"/>
  <c r="S1525"/>
  <c r="T1525"/>
  <c r="U1525"/>
  <c r="X1525"/>
  <c r="Y1525"/>
  <c r="Z1525"/>
  <c r="AA1525"/>
  <c r="AB1525"/>
  <c r="AC1525"/>
  <c r="AD1525"/>
  <c r="AE1525"/>
  <c r="AF1525"/>
  <c r="AG1525"/>
  <c r="AH1525"/>
  <c r="AI1525"/>
  <c r="AJ1525"/>
  <c r="AK1525"/>
  <c r="C1526"/>
  <c r="H1526"/>
  <c r="I1526"/>
  <c r="J1526"/>
  <c r="K1526"/>
  <c r="M1526"/>
  <c r="P1526"/>
  <c r="R1526"/>
  <c r="S1526"/>
  <c r="T1526"/>
  <c r="U1526"/>
  <c r="X1526"/>
  <c r="Y1526"/>
  <c r="Z1526"/>
  <c r="AA1526"/>
  <c r="AB1526"/>
  <c r="AC1526"/>
  <c r="AD1526"/>
  <c r="AE1526"/>
  <c r="AF1526"/>
  <c r="AG1526"/>
  <c r="AH1526"/>
  <c r="AI1526"/>
  <c r="AJ1526"/>
  <c r="AK1526"/>
  <c r="C1527"/>
  <c r="H1527"/>
  <c r="I1527"/>
  <c r="J1527"/>
  <c r="K1527"/>
  <c r="M1527"/>
  <c r="P1527"/>
  <c r="R1527"/>
  <c r="S1527"/>
  <c r="T1527"/>
  <c r="U1527"/>
  <c r="X1527"/>
  <c r="Y1527"/>
  <c r="Z1527"/>
  <c r="AA1527"/>
  <c r="AB1527"/>
  <c r="AC1527"/>
  <c r="AD1527"/>
  <c r="AE1527"/>
  <c r="AF1527"/>
  <c r="AG1527"/>
  <c r="AH1527"/>
  <c r="AI1527"/>
  <c r="AJ1527"/>
  <c r="AK1527"/>
  <c r="C1528"/>
  <c r="H1528"/>
  <c r="I1528"/>
  <c r="J1528"/>
  <c r="K1528"/>
  <c r="M1528"/>
  <c r="P1528"/>
  <c r="R1528"/>
  <c r="S1528"/>
  <c r="T1528"/>
  <c r="U1528"/>
  <c r="X1528"/>
  <c r="Y1528"/>
  <c r="Z1528"/>
  <c r="AA1528"/>
  <c r="AB1528"/>
  <c r="AC1528"/>
  <c r="AD1528"/>
  <c r="AE1528"/>
  <c r="AF1528"/>
  <c r="AG1528"/>
  <c r="AH1528"/>
  <c r="AI1528"/>
  <c r="AJ1528"/>
  <c r="AK1528"/>
  <c r="C1529"/>
  <c r="H1529"/>
  <c r="I1529"/>
  <c r="J1529"/>
  <c r="K1529"/>
  <c r="M1529"/>
  <c r="P1529"/>
  <c r="R1529"/>
  <c r="S1529"/>
  <c r="T1529"/>
  <c r="U1529"/>
  <c r="X1529"/>
  <c r="Y1529"/>
  <c r="Z1529"/>
  <c r="AA1529"/>
  <c r="AB1529"/>
  <c r="AC1529"/>
  <c r="AD1529"/>
  <c r="AE1529"/>
  <c r="AF1529"/>
  <c r="AG1529"/>
  <c r="AH1529"/>
  <c r="AI1529"/>
  <c r="AJ1529"/>
  <c r="AK1529"/>
  <c r="C1530"/>
  <c r="H1530"/>
  <c r="I1530"/>
  <c r="J1530"/>
  <c r="K1530"/>
  <c r="M1530"/>
  <c r="P1530"/>
  <c r="R1530"/>
  <c r="S1530"/>
  <c r="T1530"/>
  <c r="U1530"/>
  <c r="X1530"/>
  <c r="Y1530"/>
  <c r="Z1530"/>
  <c r="AA1530"/>
  <c r="AB1530"/>
  <c r="AC1530"/>
  <c r="AD1530"/>
  <c r="AE1530"/>
  <c r="AF1530"/>
  <c r="AG1530"/>
  <c r="AH1530"/>
  <c r="AI1530"/>
  <c r="AJ1530"/>
  <c r="AK1530"/>
  <c r="C1531"/>
  <c r="H1531"/>
  <c r="I1531"/>
  <c r="J1531"/>
  <c r="K1531"/>
  <c r="M1531"/>
  <c r="P1531"/>
  <c r="R1531"/>
  <c r="S1531"/>
  <c r="T1531"/>
  <c r="U1531"/>
  <c r="X1531"/>
  <c r="Y1531"/>
  <c r="Z1531"/>
  <c r="AA1531"/>
  <c r="AB1531"/>
  <c r="AC1531"/>
  <c r="AD1531"/>
  <c r="AE1531"/>
  <c r="AF1531"/>
  <c r="AG1531"/>
  <c r="AH1531"/>
  <c r="AI1531"/>
  <c r="AJ1531"/>
  <c r="AK1531"/>
  <c r="C1512"/>
  <c r="H1512"/>
  <c r="I1512"/>
  <c r="J1512"/>
  <c r="K1512"/>
  <c r="M1512"/>
  <c r="P1512"/>
  <c r="R1512"/>
  <c r="S1512"/>
  <c r="T1512"/>
  <c r="U1512"/>
  <c r="X1512"/>
  <c r="Y1512"/>
  <c r="Z1512"/>
  <c r="AA1512"/>
  <c r="AB1512"/>
  <c r="AC1512"/>
  <c r="AD1512"/>
  <c r="AE1512"/>
  <c r="AF1512"/>
  <c r="AG1512"/>
  <c r="AH1512"/>
  <c r="AI1512"/>
  <c r="AJ1512"/>
  <c r="AK1512"/>
  <c r="C1513"/>
  <c r="H1513"/>
  <c r="I1513"/>
  <c r="J1513"/>
  <c r="K1513"/>
  <c r="M1513"/>
  <c r="P1513"/>
  <c r="R1513"/>
  <c r="S1513"/>
  <c r="T1513"/>
  <c r="U1513"/>
  <c r="X1513"/>
  <c r="Y1513"/>
  <c r="Z1513"/>
  <c r="AA1513"/>
  <c r="AB1513"/>
  <c r="AC1513"/>
  <c r="AD1513"/>
  <c r="AE1513"/>
  <c r="AF1513"/>
  <c r="AG1513"/>
  <c r="AH1513"/>
  <c r="AI1513"/>
  <c r="AJ1513"/>
  <c r="AK1513"/>
  <c r="C1514"/>
  <c r="H1514"/>
  <c r="I1514"/>
  <c r="J1514"/>
  <c r="K1514"/>
  <c r="M1514"/>
  <c r="P1514"/>
  <c r="R1514"/>
  <c r="S1514"/>
  <c r="T1514"/>
  <c r="U1514"/>
  <c r="X1514"/>
  <c r="Y1514"/>
  <c r="Z1514"/>
  <c r="AA1514"/>
  <c r="AB1514"/>
  <c r="AC1514"/>
  <c r="AD1514"/>
  <c r="AE1514"/>
  <c r="AF1514"/>
  <c r="AG1514"/>
  <c r="AH1514"/>
  <c r="AI1514"/>
  <c r="AJ1514"/>
  <c r="AK1514"/>
  <c r="C1515"/>
  <c r="H1515"/>
  <c r="I1515"/>
  <c r="J1515"/>
  <c r="K1515"/>
  <c r="M1515"/>
  <c r="P1515"/>
  <c r="R1515"/>
  <c r="S1515"/>
  <c r="T1515"/>
  <c r="U1515"/>
  <c r="X1515"/>
  <c r="Y1515"/>
  <c r="Z1515"/>
  <c r="AA1515"/>
  <c r="AB1515"/>
  <c r="AC1515"/>
  <c r="AD1515"/>
  <c r="AE1515"/>
  <c r="AF1515"/>
  <c r="AG1515"/>
  <c r="AH1515"/>
  <c r="AI1515"/>
  <c r="AJ1515"/>
  <c r="AK1515"/>
  <c r="C1516"/>
  <c r="H1516"/>
  <c r="I1516"/>
  <c r="J1516"/>
  <c r="K1516"/>
  <c r="M1516"/>
  <c r="P1516"/>
  <c r="R1516"/>
  <c r="S1516"/>
  <c r="T1516"/>
  <c r="U1516"/>
  <c r="X1516"/>
  <c r="Y1516"/>
  <c r="Z1516"/>
  <c r="AA1516"/>
  <c r="AB1516"/>
  <c r="AC1516"/>
  <c r="AD1516"/>
  <c r="AE1516"/>
  <c r="AF1516"/>
  <c r="AG1516"/>
  <c r="AH1516"/>
  <c r="AI1516"/>
  <c r="AJ1516"/>
  <c r="AK1516"/>
  <c r="C1517"/>
  <c r="H1517"/>
  <c r="I1517"/>
  <c r="J1517"/>
  <c r="K1517"/>
  <c r="M1517"/>
  <c r="P1517"/>
  <c r="R1517"/>
  <c r="S1517"/>
  <c r="T1517"/>
  <c r="U1517"/>
  <c r="X1517"/>
  <c r="Y1517"/>
  <c r="Z1517"/>
  <c r="AA1517"/>
  <c r="AB1517"/>
  <c r="AC1517"/>
  <c r="AD1517"/>
  <c r="AE1517"/>
  <c r="AF1517"/>
  <c r="AG1517"/>
  <c r="AH1517"/>
  <c r="AI1517"/>
  <c r="AJ1517"/>
  <c r="AK1517"/>
  <c r="C1518"/>
  <c r="H1518"/>
  <c r="I1518"/>
  <c r="J1518"/>
  <c r="K1518"/>
  <c r="M1518"/>
  <c r="P1518"/>
  <c r="R1518"/>
  <c r="S1518"/>
  <c r="T1518"/>
  <c r="U1518"/>
  <c r="X1518"/>
  <c r="Y1518"/>
  <c r="Z1518"/>
  <c r="AA1518"/>
  <c r="AB1518"/>
  <c r="AC1518"/>
  <c r="AD1518"/>
  <c r="AE1518"/>
  <c r="AF1518"/>
  <c r="AG1518"/>
  <c r="AH1518"/>
  <c r="AI1518"/>
  <c r="AJ1518"/>
  <c r="AK1518"/>
  <c r="C1519"/>
  <c r="H1519"/>
  <c r="I1519"/>
  <c r="J1519"/>
  <c r="K1519"/>
  <c r="M1519"/>
  <c r="P1519"/>
  <c r="R1519"/>
  <c r="S1519"/>
  <c r="T1519"/>
  <c r="U1519"/>
  <c r="X1519"/>
  <c r="Y1519"/>
  <c r="Z1519"/>
  <c r="AA1519"/>
  <c r="AB1519"/>
  <c r="AC1519"/>
  <c r="AD1519"/>
  <c r="AE1519"/>
  <c r="AF1519"/>
  <c r="AG1519"/>
  <c r="AH1519"/>
  <c r="AI1519"/>
  <c r="AJ1519"/>
  <c r="AK1519"/>
  <c r="C1520"/>
  <c r="H1520"/>
  <c r="I1520"/>
  <c r="J1520"/>
  <c r="K1520"/>
  <c r="M1520"/>
  <c r="P1520"/>
  <c r="R1520"/>
  <c r="S1520"/>
  <c r="T1520"/>
  <c r="U1520"/>
  <c r="X1520"/>
  <c r="Y1520"/>
  <c r="Z1520"/>
  <c r="AA1520"/>
  <c r="AB1520"/>
  <c r="AC1520"/>
  <c r="AD1520"/>
  <c r="AE1520"/>
  <c r="AF1520"/>
  <c r="AG1520"/>
  <c r="AH1520"/>
  <c r="AI1520"/>
  <c r="AJ1520"/>
  <c r="AK1520"/>
  <c r="C1521"/>
  <c r="H1521"/>
  <c r="I1521"/>
  <c r="J1521"/>
  <c r="K1521"/>
  <c r="M1521"/>
  <c r="P1521"/>
  <c r="R1521"/>
  <c r="S1521"/>
  <c r="T1521"/>
  <c r="U1521"/>
  <c r="X1521"/>
  <c r="Y1521"/>
  <c r="Z1521"/>
  <c r="AA1521"/>
  <c r="AB1521"/>
  <c r="AC1521"/>
  <c r="AD1521"/>
  <c r="AE1521"/>
  <c r="AF1521"/>
  <c r="AG1521"/>
  <c r="AH1521"/>
  <c r="AI1521"/>
  <c r="AJ1521"/>
  <c r="AK1521"/>
  <c r="C1502"/>
  <c r="H1502"/>
  <c r="I1502"/>
  <c r="J1502"/>
  <c r="K1502"/>
  <c r="M1502"/>
  <c r="P1502"/>
  <c r="R1502"/>
  <c r="S1502"/>
  <c r="T1502"/>
  <c r="U1502"/>
  <c r="X1502"/>
  <c r="Y1502"/>
  <c r="Z1502"/>
  <c r="AA1502"/>
  <c r="AB1502"/>
  <c r="AC1502"/>
  <c r="AD1502"/>
  <c r="AE1502"/>
  <c r="AF1502"/>
  <c r="AG1502"/>
  <c r="AH1502"/>
  <c r="AI1502"/>
  <c r="AJ1502"/>
  <c r="AK1502"/>
  <c r="C1503"/>
  <c r="H1503"/>
  <c r="I1503"/>
  <c r="J1503"/>
  <c r="K1503"/>
  <c r="M1503"/>
  <c r="P1503"/>
  <c r="R1503"/>
  <c r="S1503"/>
  <c r="T1503"/>
  <c r="U1503"/>
  <c r="X1503"/>
  <c r="Y1503"/>
  <c r="Z1503"/>
  <c r="AA1503"/>
  <c r="AB1503"/>
  <c r="AC1503"/>
  <c r="AD1503"/>
  <c r="AE1503"/>
  <c r="AF1503"/>
  <c r="AG1503"/>
  <c r="AH1503"/>
  <c r="AI1503"/>
  <c r="AJ1503"/>
  <c r="AK1503"/>
  <c r="C1504"/>
  <c r="H1504"/>
  <c r="I1504"/>
  <c r="J1504"/>
  <c r="K1504"/>
  <c r="M1504"/>
  <c r="P1504"/>
  <c r="R1504"/>
  <c r="S1504"/>
  <c r="T1504"/>
  <c r="U1504"/>
  <c r="X1504"/>
  <c r="Y1504"/>
  <c r="Z1504"/>
  <c r="AA1504"/>
  <c r="AB1504"/>
  <c r="AC1504"/>
  <c r="AD1504"/>
  <c r="AE1504"/>
  <c r="AF1504"/>
  <c r="AG1504"/>
  <c r="AH1504"/>
  <c r="AI1504"/>
  <c r="AJ1504"/>
  <c r="AK1504"/>
  <c r="C1505"/>
  <c r="H1505"/>
  <c r="I1505"/>
  <c r="J1505"/>
  <c r="K1505"/>
  <c r="M1505"/>
  <c r="P1505"/>
  <c r="R1505"/>
  <c r="S1505"/>
  <c r="T1505"/>
  <c r="U1505"/>
  <c r="X1505"/>
  <c r="Y1505"/>
  <c r="Z1505"/>
  <c r="AA1505"/>
  <c r="AB1505"/>
  <c r="AC1505"/>
  <c r="AD1505"/>
  <c r="AE1505"/>
  <c r="AF1505"/>
  <c r="AG1505"/>
  <c r="AH1505"/>
  <c r="AI1505"/>
  <c r="AJ1505"/>
  <c r="AK1505"/>
  <c r="C1506"/>
  <c r="H1506"/>
  <c r="I1506"/>
  <c r="J1506"/>
  <c r="K1506"/>
  <c r="M1506"/>
  <c r="P1506"/>
  <c r="R1506"/>
  <c r="S1506"/>
  <c r="T1506"/>
  <c r="U1506"/>
  <c r="X1506"/>
  <c r="Y1506"/>
  <c r="Z1506"/>
  <c r="AA1506"/>
  <c r="AB1506"/>
  <c r="AC1506"/>
  <c r="AD1506"/>
  <c r="AE1506"/>
  <c r="AF1506"/>
  <c r="AG1506"/>
  <c r="AH1506"/>
  <c r="AI1506"/>
  <c r="AJ1506"/>
  <c r="AK1506"/>
  <c r="C1507"/>
  <c r="H1507"/>
  <c r="I1507"/>
  <c r="J1507"/>
  <c r="K1507"/>
  <c r="M1507"/>
  <c r="P1507"/>
  <c r="R1507"/>
  <c r="S1507"/>
  <c r="T1507"/>
  <c r="U1507"/>
  <c r="X1507"/>
  <c r="Y1507"/>
  <c r="Z1507"/>
  <c r="AA1507"/>
  <c r="AB1507"/>
  <c r="AC1507"/>
  <c r="AD1507"/>
  <c r="AE1507"/>
  <c r="AF1507"/>
  <c r="AG1507"/>
  <c r="AH1507"/>
  <c r="AI1507"/>
  <c r="AJ1507"/>
  <c r="AK1507"/>
  <c r="C1508"/>
  <c r="H1508"/>
  <c r="I1508"/>
  <c r="J1508"/>
  <c r="K1508"/>
  <c r="M1508"/>
  <c r="P1508"/>
  <c r="R1508"/>
  <c r="S1508"/>
  <c r="T1508"/>
  <c r="U1508"/>
  <c r="X1508"/>
  <c r="Y1508"/>
  <c r="Z1508"/>
  <c r="AA1508"/>
  <c r="AB1508"/>
  <c r="AC1508"/>
  <c r="AD1508"/>
  <c r="AE1508"/>
  <c r="AF1508"/>
  <c r="AG1508"/>
  <c r="AH1508"/>
  <c r="AI1508"/>
  <c r="AJ1508"/>
  <c r="AK1508"/>
  <c r="C1509"/>
  <c r="H1509"/>
  <c r="I1509"/>
  <c r="J1509"/>
  <c r="K1509"/>
  <c r="M1509"/>
  <c r="P1509"/>
  <c r="R1509"/>
  <c r="S1509"/>
  <c r="T1509"/>
  <c r="U1509"/>
  <c r="X1509"/>
  <c r="Y1509"/>
  <c r="Z1509"/>
  <c r="AA1509"/>
  <c r="AB1509"/>
  <c r="AC1509"/>
  <c r="AD1509"/>
  <c r="AE1509"/>
  <c r="AF1509"/>
  <c r="AG1509"/>
  <c r="AH1509"/>
  <c r="AI1509"/>
  <c r="AJ1509"/>
  <c r="AK1509"/>
  <c r="C1510"/>
  <c r="H1510"/>
  <c r="I1510"/>
  <c r="J1510"/>
  <c r="K1510"/>
  <c r="M1510"/>
  <c r="P1510"/>
  <c r="R1510"/>
  <c r="S1510"/>
  <c r="T1510"/>
  <c r="U1510"/>
  <c r="X1510"/>
  <c r="Y1510"/>
  <c r="Z1510"/>
  <c r="AA1510"/>
  <c r="AB1510"/>
  <c r="AC1510"/>
  <c r="AD1510"/>
  <c r="AE1510"/>
  <c r="AF1510"/>
  <c r="AG1510"/>
  <c r="AH1510"/>
  <c r="AI1510"/>
  <c r="AJ1510"/>
  <c r="AK1510"/>
  <c r="C1511"/>
  <c r="H1511"/>
  <c r="I1511"/>
  <c r="J1511"/>
  <c r="K1511"/>
  <c r="M1511"/>
  <c r="P1511"/>
  <c r="R1511"/>
  <c r="S1511"/>
  <c r="T1511"/>
  <c r="U1511"/>
  <c r="X1511"/>
  <c r="Y1511"/>
  <c r="Z1511"/>
  <c r="AA1511"/>
  <c r="AB1511"/>
  <c r="AC1511"/>
  <c r="AD1511"/>
  <c r="AE1511"/>
  <c r="AF1511"/>
  <c r="AG1511"/>
  <c r="AH1511"/>
  <c r="AI1511"/>
  <c r="AJ1511"/>
  <c r="AK1511"/>
  <c r="C1492"/>
  <c r="H1492"/>
  <c r="I1492"/>
  <c r="J1492"/>
  <c r="K1492"/>
  <c r="M1492"/>
  <c r="P1492"/>
  <c r="R1492"/>
  <c r="S1492"/>
  <c r="T1492"/>
  <c r="U1492"/>
  <c r="X1492"/>
  <c r="Y1492"/>
  <c r="Z1492"/>
  <c r="AA1492"/>
  <c r="AB1492"/>
  <c r="AC1492"/>
  <c r="AD1492"/>
  <c r="AE1492"/>
  <c r="AF1492"/>
  <c r="AG1492"/>
  <c r="AH1492"/>
  <c r="AI1492"/>
  <c r="AJ1492"/>
  <c r="AK1492"/>
  <c r="C1493"/>
  <c r="H1493"/>
  <c r="I1493"/>
  <c r="J1493"/>
  <c r="K1493"/>
  <c r="M1493"/>
  <c r="P1493"/>
  <c r="R1493"/>
  <c r="S1493"/>
  <c r="T1493"/>
  <c r="U1493"/>
  <c r="X1493"/>
  <c r="Y1493"/>
  <c r="Z1493"/>
  <c r="AA1493"/>
  <c r="AB1493"/>
  <c r="AC1493"/>
  <c r="AD1493"/>
  <c r="AE1493"/>
  <c r="AF1493"/>
  <c r="AG1493"/>
  <c r="AH1493"/>
  <c r="AI1493"/>
  <c r="AJ1493"/>
  <c r="AK1493"/>
  <c r="C1494"/>
  <c r="H1494"/>
  <c r="I1494"/>
  <c r="J1494"/>
  <c r="K1494"/>
  <c r="M1494"/>
  <c r="P1494"/>
  <c r="R1494"/>
  <c r="S1494"/>
  <c r="T1494"/>
  <c r="U1494"/>
  <c r="X1494"/>
  <c r="Y1494"/>
  <c r="Z1494"/>
  <c r="AA1494"/>
  <c r="AB1494"/>
  <c r="AC1494"/>
  <c r="AD1494"/>
  <c r="AE1494"/>
  <c r="AF1494"/>
  <c r="AG1494"/>
  <c r="AH1494"/>
  <c r="AI1494"/>
  <c r="AJ1494"/>
  <c r="AK1494"/>
  <c r="C1495"/>
  <c r="H1495"/>
  <c r="I1495"/>
  <c r="J1495"/>
  <c r="K1495"/>
  <c r="M1495"/>
  <c r="P1495"/>
  <c r="R1495"/>
  <c r="S1495"/>
  <c r="T1495"/>
  <c r="U1495"/>
  <c r="X1495"/>
  <c r="Y1495"/>
  <c r="Z1495"/>
  <c r="AA1495"/>
  <c r="AB1495"/>
  <c r="AC1495"/>
  <c r="AD1495"/>
  <c r="AE1495"/>
  <c r="AF1495"/>
  <c r="AG1495"/>
  <c r="AH1495"/>
  <c r="AI1495"/>
  <c r="AJ1495"/>
  <c r="AK1495"/>
  <c r="C1496"/>
  <c r="H1496"/>
  <c r="I1496"/>
  <c r="J1496"/>
  <c r="K1496"/>
  <c r="M1496"/>
  <c r="P1496"/>
  <c r="R1496"/>
  <c r="S1496"/>
  <c r="T1496"/>
  <c r="U1496"/>
  <c r="X1496"/>
  <c r="Y1496"/>
  <c r="Z1496"/>
  <c r="AA1496"/>
  <c r="AB1496"/>
  <c r="AC1496"/>
  <c r="AD1496"/>
  <c r="AE1496"/>
  <c r="AF1496"/>
  <c r="AG1496"/>
  <c r="AH1496"/>
  <c r="AI1496"/>
  <c r="AJ1496"/>
  <c r="AK1496"/>
  <c r="C1497"/>
  <c r="H1497"/>
  <c r="I1497"/>
  <c r="J1497"/>
  <c r="K1497"/>
  <c r="M1497"/>
  <c r="P1497"/>
  <c r="R1497"/>
  <c r="S1497"/>
  <c r="T1497"/>
  <c r="U1497"/>
  <c r="X1497"/>
  <c r="Y1497"/>
  <c r="Z1497"/>
  <c r="AA1497"/>
  <c r="AB1497"/>
  <c r="AC1497"/>
  <c r="AD1497"/>
  <c r="AE1497"/>
  <c r="AF1497"/>
  <c r="AG1497"/>
  <c r="AH1497"/>
  <c r="AI1497"/>
  <c r="AJ1497"/>
  <c r="AK1497"/>
  <c r="C1498"/>
  <c r="H1498"/>
  <c r="I1498"/>
  <c r="J1498"/>
  <c r="K1498"/>
  <c r="M1498"/>
  <c r="P1498"/>
  <c r="R1498"/>
  <c r="S1498"/>
  <c r="T1498"/>
  <c r="U1498"/>
  <c r="X1498"/>
  <c r="Y1498"/>
  <c r="Z1498"/>
  <c r="AA1498"/>
  <c r="AB1498"/>
  <c r="AC1498"/>
  <c r="AD1498"/>
  <c r="AE1498"/>
  <c r="AF1498"/>
  <c r="AG1498"/>
  <c r="AH1498"/>
  <c r="AI1498"/>
  <c r="AJ1498"/>
  <c r="AK1498"/>
  <c r="C1499"/>
  <c r="H1499"/>
  <c r="I1499"/>
  <c r="J1499"/>
  <c r="K1499"/>
  <c r="M1499"/>
  <c r="P1499"/>
  <c r="R1499"/>
  <c r="S1499"/>
  <c r="T1499"/>
  <c r="U1499"/>
  <c r="X1499"/>
  <c r="Y1499"/>
  <c r="Z1499"/>
  <c r="AA1499"/>
  <c r="AB1499"/>
  <c r="AC1499"/>
  <c r="AD1499"/>
  <c r="AE1499"/>
  <c r="AF1499"/>
  <c r="AG1499"/>
  <c r="AH1499"/>
  <c r="AI1499"/>
  <c r="AJ1499"/>
  <c r="AK1499"/>
  <c r="C1500"/>
  <c r="H1500"/>
  <c r="I1500"/>
  <c r="J1500"/>
  <c r="K1500"/>
  <c r="M1500"/>
  <c r="P1500"/>
  <c r="R1500"/>
  <c r="S1500"/>
  <c r="T1500"/>
  <c r="U1500"/>
  <c r="X1500"/>
  <c r="Y1500"/>
  <c r="Z1500"/>
  <c r="AA1500"/>
  <c r="AB1500"/>
  <c r="AC1500"/>
  <c r="AD1500"/>
  <c r="AE1500"/>
  <c r="AF1500"/>
  <c r="AG1500"/>
  <c r="AH1500"/>
  <c r="AI1500"/>
  <c r="AJ1500"/>
  <c r="AK1500"/>
  <c r="C1501"/>
  <c r="H1501"/>
  <c r="I1501"/>
  <c r="J1501"/>
  <c r="K1501"/>
  <c r="M1501"/>
  <c r="P1501"/>
  <c r="R1501"/>
  <c r="S1501"/>
  <c r="T1501"/>
  <c r="U1501"/>
  <c r="X1501"/>
  <c r="Y1501"/>
  <c r="Z1501"/>
  <c r="AA1501"/>
  <c r="AB1501"/>
  <c r="AC1501"/>
  <c r="AD1501"/>
  <c r="AE1501"/>
  <c r="AF1501"/>
  <c r="AG1501"/>
  <c r="AH1501"/>
  <c r="AI1501"/>
  <c r="AJ1501"/>
  <c r="AK1501"/>
  <c r="C1482"/>
  <c r="H1482"/>
  <c r="I1482"/>
  <c r="J1482"/>
  <c r="K1482"/>
  <c r="M1482"/>
  <c r="P1482"/>
  <c r="R1482"/>
  <c r="S1482"/>
  <c r="T1482"/>
  <c r="U1482"/>
  <c r="X1482"/>
  <c r="Y1482"/>
  <c r="Z1482"/>
  <c r="AA1482"/>
  <c r="AB1482"/>
  <c r="AC1482"/>
  <c r="AD1482"/>
  <c r="AE1482"/>
  <c r="AF1482"/>
  <c r="AG1482"/>
  <c r="AH1482"/>
  <c r="AI1482"/>
  <c r="AJ1482"/>
  <c r="AK1482"/>
  <c r="C1483"/>
  <c r="H1483"/>
  <c r="I1483"/>
  <c r="J1483"/>
  <c r="K1483"/>
  <c r="M1483"/>
  <c r="P1483"/>
  <c r="R1483"/>
  <c r="S1483"/>
  <c r="T1483"/>
  <c r="U1483"/>
  <c r="X1483"/>
  <c r="Y1483"/>
  <c r="Z1483"/>
  <c r="AA1483"/>
  <c r="AB1483"/>
  <c r="AC1483"/>
  <c r="AD1483"/>
  <c r="AE1483"/>
  <c r="AF1483"/>
  <c r="AG1483"/>
  <c r="AH1483"/>
  <c r="AI1483"/>
  <c r="AJ1483"/>
  <c r="AK1483"/>
  <c r="C1484"/>
  <c r="H1484"/>
  <c r="I1484"/>
  <c r="J1484"/>
  <c r="K1484"/>
  <c r="M1484"/>
  <c r="P1484"/>
  <c r="R1484"/>
  <c r="S1484"/>
  <c r="T1484"/>
  <c r="U1484"/>
  <c r="X1484"/>
  <c r="Y1484"/>
  <c r="Z1484"/>
  <c r="AA1484"/>
  <c r="AB1484"/>
  <c r="AC1484"/>
  <c r="AD1484"/>
  <c r="AE1484"/>
  <c r="AF1484"/>
  <c r="AG1484"/>
  <c r="AH1484"/>
  <c r="AI1484"/>
  <c r="AJ1484"/>
  <c r="AK1484"/>
  <c r="C1485"/>
  <c r="H1485"/>
  <c r="I1485"/>
  <c r="J1485"/>
  <c r="K1485"/>
  <c r="M1485"/>
  <c r="P1485"/>
  <c r="R1485"/>
  <c r="S1485"/>
  <c r="T1485"/>
  <c r="U1485"/>
  <c r="X1485"/>
  <c r="Y1485"/>
  <c r="Z1485"/>
  <c r="AA1485"/>
  <c r="AB1485"/>
  <c r="AC1485"/>
  <c r="AD1485"/>
  <c r="AE1485"/>
  <c r="AF1485"/>
  <c r="AG1485"/>
  <c r="AH1485"/>
  <c r="AI1485"/>
  <c r="AJ1485"/>
  <c r="AK1485"/>
  <c r="C1486"/>
  <c r="H1486"/>
  <c r="I1486"/>
  <c r="J1486"/>
  <c r="K1486"/>
  <c r="M1486"/>
  <c r="P1486"/>
  <c r="R1486"/>
  <c r="S1486"/>
  <c r="T1486"/>
  <c r="U1486"/>
  <c r="X1486"/>
  <c r="Y1486"/>
  <c r="Z1486"/>
  <c r="AA1486"/>
  <c r="AB1486"/>
  <c r="AC1486"/>
  <c r="AD1486"/>
  <c r="AE1486"/>
  <c r="AF1486"/>
  <c r="AG1486"/>
  <c r="AH1486"/>
  <c r="AI1486"/>
  <c r="AJ1486"/>
  <c r="AK1486"/>
  <c r="C1487"/>
  <c r="H1487"/>
  <c r="I1487"/>
  <c r="J1487"/>
  <c r="K1487"/>
  <c r="M1487"/>
  <c r="P1487"/>
  <c r="R1487"/>
  <c r="S1487"/>
  <c r="T1487"/>
  <c r="U1487"/>
  <c r="X1487"/>
  <c r="Y1487"/>
  <c r="Z1487"/>
  <c r="AA1487"/>
  <c r="AB1487"/>
  <c r="AC1487"/>
  <c r="AD1487"/>
  <c r="AE1487"/>
  <c r="AF1487"/>
  <c r="AG1487"/>
  <c r="AH1487"/>
  <c r="AI1487"/>
  <c r="AJ1487"/>
  <c r="AK1487"/>
  <c r="C1488"/>
  <c r="H1488"/>
  <c r="I1488"/>
  <c r="J1488"/>
  <c r="K1488"/>
  <c r="M1488"/>
  <c r="P1488"/>
  <c r="R1488"/>
  <c r="S1488"/>
  <c r="T1488"/>
  <c r="U1488"/>
  <c r="X1488"/>
  <c r="Y1488"/>
  <c r="Z1488"/>
  <c r="AA1488"/>
  <c r="AB1488"/>
  <c r="AC1488"/>
  <c r="AD1488"/>
  <c r="AE1488"/>
  <c r="AF1488"/>
  <c r="AG1488"/>
  <c r="AH1488"/>
  <c r="AI1488"/>
  <c r="AJ1488"/>
  <c r="AK1488"/>
  <c r="C1489"/>
  <c r="H1489"/>
  <c r="I1489"/>
  <c r="J1489"/>
  <c r="K1489"/>
  <c r="M1489"/>
  <c r="P1489"/>
  <c r="R1489"/>
  <c r="S1489"/>
  <c r="T1489"/>
  <c r="U1489"/>
  <c r="X1489"/>
  <c r="Y1489"/>
  <c r="Z1489"/>
  <c r="AA1489"/>
  <c r="AB1489"/>
  <c r="AC1489"/>
  <c r="AD1489"/>
  <c r="AE1489"/>
  <c r="AF1489"/>
  <c r="AG1489"/>
  <c r="AH1489"/>
  <c r="AI1489"/>
  <c r="AJ1489"/>
  <c r="AK1489"/>
  <c r="C1490"/>
  <c r="H1490"/>
  <c r="I1490"/>
  <c r="J1490"/>
  <c r="K1490"/>
  <c r="M1490"/>
  <c r="P1490"/>
  <c r="R1490"/>
  <c r="S1490"/>
  <c r="T1490"/>
  <c r="U1490"/>
  <c r="X1490"/>
  <c r="Y1490"/>
  <c r="Z1490"/>
  <c r="AA1490"/>
  <c r="AB1490"/>
  <c r="AC1490"/>
  <c r="AD1490"/>
  <c r="AE1490"/>
  <c r="AF1490"/>
  <c r="AG1490"/>
  <c r="AH1490"/>
  <c r="AI1490"/>
  <c r="AJ1490"/>
  <c r="AK1490"/>
  <c r="C1491"/>
  <c r="H1491"/>
  <c r="I1491"/>
  <c r="J1491"/>
  <c r="K1491"/>
  <c r="M1491"/>
  <c r="P1491"/>
  <c r="R1491"/>
  <c r="S1491"/>
  <c r="T1491"/>
  <c r="U1491"/>
  <c r="X1491"/>
  <c r="Y1491"/>
  <c r="Z1491"/>
  <c r="AA1491"/>
  <c r="AB1491"/>
  <c r="AC1491"/>
  <c r="AD1491"/>
  <c r="AE1491"/>
  <c r="AF1491"/>
  <c r="AG1491"/>
  <c r="AH1491"/>
  <c r="AI1491"/>
  <c r="AJ1491"/>
  <c r="AK1491"/>
  <c r="C1472"/>
  <c r="H1472"/>
  <c r="I1472"/>
  <c r="J1472"/>
  <c r="K1472"/>
  <c r="M1472"/>
  <c r="P1472"/>
  <c r="R1472"/>
  <c r="S1472"/>
  <c r="T1472"/>
  <c r="U1472"/>
  <c r="X1472"/>
  <c r="Y1472"/>
  <c r="Z1472"/>
  <c r="AA1472"/>
  <c r="AB1472"/>
  <c r="AC1472"/>
  <c r="AD1472"/>
  <c r="AE1472"/>
  <c r="AF1472"/>
  <c r="AG1472"/>
  <c r="AH1472"/>
  <c r="AI1472"/>
  <c r="AJ1472"/>
  <c r="AK1472"/>
  <c r="C1473"/>
  <c r="H1473"/>
  <c r="I1473"/>
  <c r="J1473"/>
  <c r="K1473"/>
  <c r="M1473"/>
  <c r="P1473"/>
  <c r="R1473"/>
  <c r="S1473"/>
  <c r="T1473"/>
  <c r="U1473"/>
  <c r="X1473"/>
  <c r="Y1473"/>
  <c r="Z1473"/>
  <c r="AA1473"/>
  <c r="AB1473"/>
  <c r="AC1473"/>
  <c r="AD1473"/>
  <c r="AE1473"/>
  <c r="AF1473"/>
  <c r="AG1473"/>
  <c r="AH1473"/>
  <c r="AI1473"/>
  <c r="AJ1473"/>
  <c r="AK1473"/>
  <c r="C1474"/>
  <c r="H1474"/>
  <c r="I1474"/>
  <c r="J1474"/>
  <c r="K1474"/>
  <c r="M1474"/>
  <c r="P1474"/>
  <c r="R1474"/>
  <c r="S1474"/>
  <c r="T1474"/>
  <c r="U1474"/>
  <c r="X1474"/>
  <c r="Y1474"/>
  <c r="Z1474"/>
  <c r="AA1474"/>
  <c r="AB1474"/>
  <c r="AC1474"/>
  <c r="AD1474"/>
  <c r="AE1474"/>
  <c r="AF1474"/>
  <c r="AG1474"/>
  <c r="AH1474"/>
  <c r="AI1474"/>
  <c r="AJ1474"/>
  <c r="AK1474"/>
  <c r="C1475"/>
  <c r="H1475"/>
  <c r="I1475"/>
  <c r="J1475"/>
  <c r="K1475"/>
  <c r="M1475"/>
  <c r="P1475"/>
  <c r="R1475"/>
  <c r="S1475"/>
  <c r="T1475"/>
  <c r="U1475"/>
  <c r="X1475"/>
  <c r="Y1475"/>
  <c r="Z1475"/>
  <c r="AA1475"/>
  <c r="AB1475"/>
  <c r="AC1475"/>
  <c r="AD1475"/>
  <c r="AE1475"/>
  <c r="AF1475"/>
  <c r="AG1475"/>
  <c r="AH1475"/>
  <c r="AI1475"/>
  <c r="AJ1475"/>
  <c r="AK1475"/>
  <c r="C1476"/>
  <c r="H1476"/>
  <c r="I1476"/>
  <c r="J1476"/>
  <c r="K1476"/>
  <c r="M1476"/>
  <c r="P1476"/>
  <c r="R1476"/>
  <c r="S1476"/>
  <c r="T1476"/>
  <c r="U1476"/>
  <c r="X1476"/>
  <c r="Y1476"/>
  <c r="Z1476"/>
  <c r="AA1476"/>
  <c r="AB1476"/>
  <c r="AC1476"/>
  <c r="AD1476"/>
  <c r="AE1476"/>
  <c r="AF1476"/>
  <c r="AG1476"/>
  <c r="AH1476"/>
  <c r="AI1476"/>
  <c r="AJ1476"/>
  <c r="AK1476"/>
  <c r="C1477"/>
  <c r="H1477"/>
  <c r="I1477"/>
  <c r="J1477"/>
  <c r="K1477"/>
  <c r="M1477"/>
  <c r="P1477"/>
  <c r="R1477"/>
  <c r="S1477"/>
  <c r="T1477"/>
  <c r="U1477"/>
  <c r="X1477"/>
  <c r="Y1477"/>
  <c r="Z1477"/>
  <c r="AA1477"/>
  <c r="AB1477"/>
  <c r="AC1477"/>
  <c r="AD1477"/>
  <c r="AE1477"/>
  <c r="AF1477"/>
  <c r="AG1477"/>
  <c r="AH1477"/>
  <c r="AI1477"/>
  <c r="AJ1477"/>
  <c r="AK1477"/>
  <c r="C1478"/>
  <c r="H1478"/>
  <c r="I1478"/>
  <c r="J1478"/>
  <c r="K1478"/>
  <c r="M1478"/>
  <c r="P1478"/>
  <c r="R1478"/>
  <c r="S1478"/>
  <c r="T1478"/>
  <c r="U1478"/>
  <c r="X1478"/>
  <c r="Y1478"/>
  <c r="Z1478"/>
  <c r="AA1478"/>
  <c r="AB1478"/>
  <c r="AC1478"/>
  <c r="AD1478"/>
  <c r="AE1478"/>
  <c r="AF1478"/>
  <c r="AG1478"/>
  <c r="AH1478"/>
  <c r="AI1478"/>
  <c r="AJ1478"/>
  <c r="AK1478"/>
  <c r="C1479"/>
  <c r="H1479"/>
  <c r="I1479"/>
  <c r="J1479"/>
  <c r="K1479"/>
  <c r="M1479"/>
  <c r="P1479"/>
  <c r="R1479"/>
  <c r="S1479"/>
  <c r="T1479"/>
  <c r="U1479"/>
  <c r="X1479"/>
  <c r="Y1479"/>
  <c r="Z1479"/>
  <c r="AA1479"/>
  <c r="AB1479"/>
  <c r="AC1479"/>
  <c r="AD1479"/>
  <c r="AE1479"/>
  <c r="AF1479"/>
  <c r="AG1479"/>
  <c r="AH1479"/>
  <c r="AI1479"/>
  <c r="AJ1479"/>
  <c r="AK1479"/>
  <c r="C1480"/>
  <c r="H1480"/>
  <c r="I1480"/>
  <c r="J1480"/>
  <c r="K1480"/>
  <c r="M1480"/>
  <c r="P1480"/>
  <c r="R1480"/>
  <c r="S1480"/>
  <c r="T1480"/>
  <c r="U1480"/>
  <c r="X1480"/>
  <c r="Y1480"/>
  <c r="Z1480"/>
  <c r="AA1480"/>
  <c r="AB1480"/>
  <c r="AC1480"/>
  <c r="AD1480"/>
  <c r="AE1480"/>
  <c r="AF1480"/>
  <c r="AG1480"/>
  <c r="AH1480"/>
  <c r="AI1480"/>
  <c r="AJ1480"/>
  <c r="AK1480"/>
  <c r="C1481"/>
  <c r="H1481"/>
  <c r="I1481"/>
  <c r="J1481"/>
  <c r="K1481"/>
  <c r="M1481"/>
  <c r="P1481"/>
  <c r="R1481"/>
  <c r="S1481"/>
  <c r="T1481"/>
  <c r="U1481"/>
  <c r="X1481"/>
  <c r="Y1481"/>
  <c r="Z1481"/>
  <c r="AA1481"/>
  <c r="AB1481"/>
  <c r="AC1481"/>
  <c r="AD1481"/>
  <c r="AE1481"/>
  <c r="AF1481"/>
  <c r="AG1481"/>
  <c r="AH1481"/>
  <c r="AI1481"/>
  <c r="AJ1481"/>
  <c r="AK1481"/>
  <c r="C1462"/>
  <c r="H1462"/>
  <c r="I1462"/>
  <c r="J1462"/>
  <c r="K1462"/>
  <c r="M1462"/>
  <c r="P1462"/>
  <c r="R1462"/>
  <c r="S1462"/>
  <c r="T1462"/>
  <c r="U1462"/>
  <c r="X1462"/>
  <c r="Y1462"/>
  <c r="Z1462"/>
  <c r="AA1462"/>
  <c r="AB1462"/>
  <c r="AC1462"/>
  <c r="AD1462"/>
  <c r="AE1462"/>
  <c r="AF1462"/>
  <c r="AG1462"/>
  <c r="AH1462"/>
  <c r="AI1462"/>
  <c r="AJ1462"/>
  <c r="AK1462"/>
  <c r="C1463"/>
  <c r="H1463"/>
  <c r="I1463"/>
  <c r="J1463"/>
  <c r="K1463"/>
  <c r="M1463"/>
  <c r="P1463"/>
  <c r="R1463"/>
  <c r="S1463"/>
  <c r="T1463"/>
  <c r="U1463"/>
  <c r="X1463"/>
  <c r="Y1463"/>
  <c r="Z1463"/>
  <c r="AA1463"/>
  <c r="AB1463"/>
  <c r="AC1463"/>
  <c r="AD1463"/>
  <c r="AE1463"/>
  <c r="AF1463"/>
  <c r="AG1463"/>
  <c r="AH1463"/>
  <c r="AI1463"/>
  <c r="AJ1463"/>
  <c r="AK1463"/>
  <c r="C1464"/>
  <c r="H1464"/>
  <c r="I1464"/>
  <c r="J1464"/>
  <c r="K1464"/>
  <c r="M1464"/>
  <c r="P1464"/>
  <c r="R1464"/>
  <c r="S1464"/>
  <c r="T1464"/>
  <c r="U1464"/>
  <c r="X1464"/>
  <c r="Y1464"/>
  <c r="Z1464"/>
  <c r="AA1464"/>
  <c r="AB1464"/>
  <c r="AC1464"/>
  <c r="AD1464"/>
  <c r="AE1464"/>
  <c r="AF1464"/>
  <c r="AG1464"/>
  <c r="AH1464"/>
  <c r="AI1464"/>
  <c r="AJ1464"/>
  <c r="AK1464"/>
  <c r="C1465"/>
  <c r="H1465"/>
  <c r="I1465"/>
  <c r="J1465"/>
  <c r="K1465"/>
  <c r="M1465"/>
  <c r="P1465"/>
  <c r="R1465"/>
  <c r="S1465"/>
  <c r="T1465"/>
  <c r="U1465"/>
  <c r="X1465"/>
  <c r="Y1465"/>
  <c r="Z1465"/>
  <c r="AA1465"/>
  <c r="AB1465"/>
  <c r="AC1465"/>
  <c r="AD1465"/>
  <c r="AE1465"/>
  <c r="AF1465"/>
  <c r="AG1465"/>
  <c r="AH1465"/>
  <c r="AI1465"/>
  <c r="AJ1465"/>
  <c r="AK1465"/>
  <c r="C1466"/>
  <c r="H1466"/>
  <c r="I1466"/>
  <c r="J1466"/>
  <c r="K1466"/>
  <c r="M1466"/>
  <c r="P1466"/>
  <c r="R1466"/>
  <c r="S1466"/>
  <c r="T1466"/>
  <c r="U1466"/>
  <c r="X1466"/>
  <c r="Y1466"/>
  <c r="Z1466"/>
  <c r="AA1466"/>
  <c r="AB1466"/>
  <c r="AC1466"/>
  <c r="AD1466"/>
  <c r="AE1466"/>
  <c r="AF1466"/>
  <c r="AG1466"/>
  <c r="AH1466"/>
  <c r="AI1466"/>
  <c r="AJ1466"/>
  <c r="AK1466"/>
  <c r="C1467"/>
  <c r="H1467"/>
  <c r="I1467"/>
  <c r="J1467"/>
  <c r="K1467"/>
  <c r="M1467"/>
  <c r="P1467"/>
  <c r="R1467"/>
  <c r="S1467"/>
  <c r="T1467"/>
  <c r="U1467"/>
  <c r="X1467"/>
  <c r="Y1467"/>
  <c r="Z1467"/>
  <c r="AA1467"/>
  <c r="AB1467"/>
  <c r="AC1467"/>
  <c r="AD1467"/>
  <c r="AE1467"/>
  <c r="AF1467"/>
  <c r="AG1467"/>
  <c r="AH1467"/>
  <c r="AI1467"/>
  <c r="AJ1467"/>
  <c r="AK1467"/>
  <c r="C1468"/>
  <c r="H1468"/>
  <c r="I1468"/>
  <c r="J1468"/>
  <c r="K1468"/>
  <c r="M1468"/>
  <c r="P1468"/>
  <c r="R1468"/>
  <c r="S1468"/>
  <c r="T1468"/>
  <c r="U1468"/>
  <c r="X1468"/>
  <c r="Y1468"/>
  <c r="Z1468"/>
  <c r="AA1468"/>
  <c r="AB1468"/>
  <c r="AC1468"/>
  <c r="AD1468"/>
  <c r="AE1468"/>
  <c r="AF1468"/>
  <c r="AG1468"/>
  <c r="AH1468"/>
  <c r="AI1468"/>
  <c r="AJ1468"/>
  <c r="AK1468"/>
  <c r="C1469"/>
  <c r="H1469"/>
  <c r="I1469"/>
  <c r="J1469"/>
  <c r="K1469"/>
  <c r="M1469"/>
  <c r="P1469"/>
  <c r="R1469"/>
  <c r="S1469"/>
  <c r="T1469"/>
  <c r="U1469"/>
  <c r="X1469"/>
  <c r="Y1469"/>
  <c r="Z1469"/>
  <c r="AA1469"/>
  <c r="AB1469"/>
  <c r="AC1469"/>
  <c r="AD1469"/>
  <c r="AE1469"/>
  <c r="AF1469"/>
  <c r="AG1469"/>
  <c r="AH1469"/>
  <c r="AI1469"/>
  <c r="AJ1469"/>
  <c r="AK1469"/>
  <c r="C1470"/>
  <c r="H1470"/>
  <c r="I1470"/>
  <c r="J1470"/>
  <c r="K1470"/>
  <c r="M1470"/>
  <c r="P1470"/>
  <c r="R1470"/>
  <c r="S1470"/>
  <c r="T1470"/>
  <c r="U1470"/>
  <c r="X1470"/>
  <c r="Y1470"/>
  <c r="Z1470"/>
  <c r="AA1470"/>
  <c r="AB1470"/>
  <c r="AC1470"/>
  <c r="AD1470"/>
  <c r="AE1470"/>
  <c r="AF1470"/>
  <c r="AG1470"/>
  <c r="AH1470"/>
  <c r="AI1470"/>
  <c r="AJ1470"/>
  <c r="AK1470"/>
  <c r="C1471"/>
  <c r="H1471"/>
  <c r="I1471"/>
  <c r="J1471"/>
  <c r="K1471"/>
  <c r="M1471"/>
  <c r="P1471"/>
  <c r="R1471"/>
  <c r="S1471"/>
  <c r="T1471"/>
  <c r="U1471"/>
  <c r="X1471"/>
  <c r="Y1471"/>
  <c r="Z1471"/>
  <c r="AA1471"/>
  <c r="AB1471"/>
  <c r="AC1471"/>
  <c r="AD1471"/>
  <c r="AE1471"/>
  <c r="AF1471"/>
  <c r="AG1471"/>
  <c r="AH1471"/>
  <c r="AI1471"/>
  <c r="AJ1471"/>
  <c r="AK1471"/>
  <c r="C1452"/>
  <c r="H1452"/>
  <c r="I1452"/>
  <c r="J1452"/>
  <c r="K1452"/>
  <c r="M1452"/>
  <c r="P1452"/>
  <c r="R1452"/>
  <c r="S1452"/>
  <c r="T1452"/>
  <c r="U1452"/>
  <c r="X1452"/>
  <c r="Y1452"/>
  <c r="Z1452"/>
  <c r="AA1452"/>
  <c r="AB1452"/>
  <c r="AC1452"/>
  <c r="AD1452"/>
  <c r="AE1452"/>
  <c r="AF1452"/>
  <c r="AG1452"/>
  <c r="AH1452"/>
  <c r="AI1452"/>
  <c r="AJ1452"/>
  <c r="AK1452"/>
  <c r="C1453"/>
  <c r="H1453"/>
  <c r="I1453"/>
  <c r="J1453"/>
  <c r="K1453"/>
  <c r="M1453"/>
  <c r="P1453"/>
  <c r="R1453"/>
  <c r="S1453"/>
  <c r="T1453"/>
  <c r="U1453"/>
  <c r="X1453"/>
  <c r="Y1453"/>
  <c r="Z1453"/>
  <c r="AA1453"/>
  <c r="AB1453"/>
  <c r="AC1453"/>
  <c r="AD1453"/>
  <c r="AE1453"/>
  <c r="AF1453"/>
  <c r="AG1453"/>
  <c r="AH1453"/>
  <c r="AI1453"/>
  <c r="AJ1453"/>
  <c r="AK1453"/>
  <c r="C1454"/>
  <c r="H1454"/>
  <c r="I1454"/>
  <c r="J1454"/>
  <c r="K1454"/>
  <c r="M1454"/>
  <c r="P1454"/>
  <c r="R1454"/>
  <c r="S1454"/>
  <c r="T1454"/>
  <c r="U1454"/>
  <c r="X1454"/>
  <c r="Y1454"/>
  <c r="Z1454"/>
  <c r="AA1454"/>
  <c r="AB1454"/>
  <c r="AC1454"/>
  <c r="AD1454"/>
  <c r="AE1454"/>
  <c r="AF1454"/>
  <c r="AG1454"/>
  <c r="AH1454"/>
  <c r="AI1454"/>
  <c r="AJ1454"/>
  <c r="AK1454"/>
  <c r="C1455"/>
  <c r="H1455"/>
  <c r="I1455"/>
  <c r="J1455"/>
  <c r="K1455"/>
  <c r="M1455"/>
  <c r="P1455"/>
  <c r="R1455"/>
  <c r="S1455"/>
  <c r="T1455"/>
  <c r="U1455"/>
  <c r="X1455"/>
  <c r="Y1455"/>
  <c r="Z1455"/>
  <c r="AA1455"/>
  <c r="AB1455"/>
  <c r="AC1455"/>
  <c r="AD1455"/>
  <c r="AE1455"/>
  <c r="AF1455"/>
  <c r="AG1455"/>
  <c r="AH1455"/>
  <c r="AI1455"/>
  <c r="AJ1455"/>
  <c r="AK1455"/>
  <c r="C1456"/>
  <c r="H1456"/>
  <c r="I1456"/>
  <c r="J1456"/>
  <c r="K1456"/>
  <c r="M1456"/>
  <c r="P1456"/>
  <c r="R1456"/>
  <c r="S1456"/>
  <c r="T1456"/>
  <c r="U1456"/>
  <c r="X1456"/>
  <c r="Y1456"/>
  <c r="Z1456"/>
  <c r="AA1456"/>
  <c r="AB1456"/>
  <c r="AC1456"/>
  <c r="AD1456"/>
  <c r="AE1456"/>
  <c r="AF1456"/>
  <c r="AG1456"/>
  <c r="AH1456"/>
  <c r="AI1456"/>
  <c r="AJ1456"/>
  <c r="AK1456"/>
  <c r="C1457"/>
  <c r="H1457"/>
  <c r="I1457"/>
  <c r="J1457"/>
  <c r="K1457"/>
  <c r="M1457"/>
  <c r="P1457"/>
  <c r="R1457"/>
  <c r="S1457"/>
  <c r="T1457"/>
  <c r="U1457"/>
  <c r="X1457"/>
  <c r="Y1457"/>
  <c r="Z1457"/>
  <c r="AA1457"/>
  <c r="AB1457"/>
  <c r="AC1457"/>
  <c r="AD1457"/>
  <c r="AE1457"/>
  <c r="AF1457"/>
  <c r="AG1457"/>
  <c r="AH1457"/>
  <c r="AI1457"/>
  <c r="AJ1457"/>
  <c r="AK1457"/>
  <c r="C1458"/>
  <c r="H1458"/>
  <c r="I1458"/>
  <c r="J1458"/>
  <c r="K1458"/>
  <c r="M1458"/>
  <c r="P1458"/>
  <c r="R1458"/>
  <c r="S1458"/>
  <c r="T1458"/>
  <c r="U1458"/>
  <c r="X1458"/>
  <c r="Y1458"/>
  <c r="Z1458"/>
  <c r="AA1458"/>
  <c r="AB1458"/>
  <c r="AC1458"/>
  <c r="AD1458"/>
  <c r="AE1458"/>
  <c r="AF1458"/>
  <c r="AG1458"/>
  <c r="AH1458"/>
  <c r="AI1458"/>
  <c r="AJ1458"/>
  <c r="AK1458"/>
  <c r="C1459"/>
  <c r="H1459"/>
  <c r="I1459"/>
  <c r="J1459"/>
  <c r="K1459"/>
  <c r="M1459"/>
  <c r="P1459"/>
  <c r="R1459"/>
  <c r="S1459"/>
  <c r="T1459"/>
  <c r="U1459"/>
  <c r="X1459"/>
  <c r="Y1459"/>
  <c r="Z1459"/>
  <c r="AA1459"/>
  <c r="AB1459"/>
  <c r="AC1459"/>
  <c r="AD1459"/>
  <c r="AE1459"/>
  <c r="AF1459"/>
  <c r="AG1459"/>
  <c r="AH1459"/>
  <c r="AI1459"/>
  <c r="AJ1459"/>
  <c r="AK1459"/>
  <c r="C1460"/>
  <c r="H1460"/>
  <c r="I1460"/>
  <c r="J1460"/>
  <c r="K1460"/>
  <c r="M1460"/>
  <c r="P1460"/>
  <c r="R1460"/>
  <c r="S1460"/>
  <c r="T1460"/>
  <c r="U1460"/>
  <c r="X1460"/>
  <c r="Y1460"/>
  <c r="Z1460"/>
  <c r="AA1460"/>
  <c r="AB1460"/>
  <c r="AC1460"/>
  <c r="AD1460"/>
  <c r="AE1460"/>
  <c r="AF1460"/>
  <c r="AG1460"/>
  <c r="AH1460"/>
  <c r="AI1460"/>
  <c r="AJ1460"/>
  <c r="AK1460"/>
  <c r="C1461"/>
  <c r="H1461"/>
  <c r="I1461"/>
  <c r="J1461"/>
  <c r="K1461"/>
  <c r="M1461"/>
  <c r="P1461"/>
  <c r="R1461"/>
  <c r="S1461"/>
  <c r="T1461"/>
  <c r="U1461"/>
  <c r="X1461"/>
  <c r="Y1461"/>
  <c r="Z1461"/>
  <c r="AA1461"/>
  <c r="AB1461"/>
  <c r="AC1461"/>
  <c r="AD1461"/>
  <c r="AE1461"/>
  <c r="AF1461"/>
  <c r="AG1461"/>
  <c r="AH1461"/>
  <c r="AI1461"/>
  <c r="AJ1461"/>
  <c r="AK1461"/>
  <c r="C1442"/>
  <c r="H1442"/>
  <c r="I1442"/>
  <c r="J1442"/>
  <c r="K1442"/>
  <c r="M1442"/>
  <c r="P1442"/>
  <c r="R1442"/>
  <c r="S1442"/>
  <c r="T1442"/>
  <c r="U1442"/>
  <c r="X1442"/>
  <c r="Y1442"/>
  <c r="Z1442"/>
  <c r="AA1442"/>
  <c r="AB1442"/>
  <c r="AC1442"/>
  <c r="AD1442"/>
  <c r="AE1442"/>
  <c r="AF1442"/>
  <c r="AG1442"/>
  <c r="AH1442"/>
  <c r="AI1442"/>
  <c r="AJ1442"/>
  <c r="AK1442"/>
  <c r="C1443"/>
  <c r="H1443"/>
  <c r="I1443"/>
  <c r="J1443"/>
  <c r="K1443"/>
  <c r="M1443"/>
  <c r="P1443"/>
  <c r="R1443"/>
  <c r="S1443"/>
  <c r="T1443"/>
  <c r="U1443"/>
  <c r="X1443"/>
  <c r="Y1443"/>
  <c r="Z1443"/>
  <c r="AA1443"/>
  <c r="AB1443"/>
  <c r="AC1443"/>
  <c r="AD1443"/>
  <c r="AE1443"/>
  <c r="AF1443"/>
  <c r="AG1443"/>
  <c r="AH1443"/>
  <c r="AI1443"/>
  <c r="AJ1443"/>
  <c r="AK1443"/>
  <c r="C1444"/>
  <c r="H1444"/>
  <c r="I1444"/>
  <c r="J1444"/>
  <c r="K1444"/>
  <c r="M1444"/>
  <c r="P1444"/>
  <c r="R1444"/>
  <c r="S1444"/>
  <c r="T1444"/>
  <c r="U1444"/>
  <c r="X1444"/>
  <c r="Y1444"/>
  <c r="Z1444"/>
  <c r="AA1444"/>
  <c r="AB1444"/>
  <c r="AC1444"/>
  <c r="AD1444"/>
  <c r="AE1444"/>
  <c r="AF1444"/>
  <c r="AG1444"/>
  <c r="AH1444"/>
  <c r="AI1444"/>
  <c r="AJ1444"/>
  <c r="AK1444"/>
  <c r="C1445"/>
  <c r="H1445"/>
  <c r="I1445"/>
  <c r="J1445"/>
  <c r="K1445"/>
  <c r="M1445"/>
  <c r="P1445"/>
  <c r="R1445"/>
  <c r="S1445"/>
  <c r="T1445"/>
  <c r="U1445"/>
  <c r="X1445"/>
  <c r="Y1445"/>
  <c r="Z1445"/>
  <c r="AA1445"/>
  <c r="AB1445"/>
  <c r="AC1445"/>
  <c r="AD1445"/>
  <c r="AE1445"/>
  <c r="AF1445"/>
  <c r="AG1445"/>
  <c r="AH1445"/>
  <c r="AI1445"/>
  <c r="AJ1445"/>
  <c r="AK1445"/>
  <c r="C1446"/>
  <c r="H1446"/>
  <c r="I1446"/>
  <c r="J1446"/>
  <c r="K1446"/>
  <c r="M1446"/>
  <c r="P1446"/>
  <c r="R1446"/>
  <c r="S1446"/>
  <c r="T1446"/>
  <c r="U1446"/>
  <c r="X1446"/>
  <c r="Y1446"/>
  <c r="Z1446"/>
  <c r="AA1446"/>
  <c r="AB1446"/>
  <c r="AC1446"/>
  <c r="AD1446"/>
  <c r="AE1446"/>
  <c r="AF1446"/>
  <c r="AG1446"/>
  <c r="AH1446"/>
  <c r="AI1446"/>
  <c r="AJ1446"/>
  <c r="AK1446"/>
  <c r="C1447"/>
  <c r="H1447"/>
  <c r="I1447"/>
  <c r="J1447"/>
  <c r="K1447"/>
  <c r="M1447"/>
  <c r="P1447"/>
  <c r="R1447"/>
  <c r="S1447"/>
  <c r="T1447"/>
  <c r="U1447"/>
  <c r="X1447"/>
  <c r="Y1447"/>
  <c r="Z1447"/>
  <c r="AA1447"/>
  <c r="AB1447"/>
  <c r="AC1447"/>
  <c r="AD1447"/>
  <c r="AE1447"/>
  <c r="AF1447"/>
  <c r="AG1447"/>
  <c r="AH1447"/>
  <c r="AI1447"/>
  <c r="AJ1447"/>
  <c r="AK1447"/>
  <c r="C1448"/>
  <c r="H1448"/>
  <c r="I1448"/>
  <c r="J1448"/>
  <c r="K1448"/>
  <c r="M1448"/>
  <c r="P1448"/>
  <c r="R1448"/>
  <c r="S1448"/>
  <c r="T1448"/>
  <c r="U1448"/>
  <c r="X1448"/>
  <c r="Y1448"/>
  <c r="Z1448"/>
  <c r="AA1448"/>
  <c r="AB1448"/>
  <c r="AC1448"/>
  <c r="AD1448"/>
  <c r="AE1448"/>
  <c r="AF1448"/>
  <c r="AG1448"/>
  <c r="AH1448"/>
  <c r="AI1448"/>
  <c r="AJ1448"/>
  <c r="AK1448"/>
  <c r="C1449"/>
  <c r="H1449"/>
  <c r="I1449"/>
  <c r="J1449"/>
  <c r="K1449"/>
  <c r="M1449"/>
  <c r="P1449"/>
  <c r="R1449"/>
  <c r="S1449"/>
  <c r="T1449"/>
  <c r="U1449"/>
  <c r="X1449"/>
  <c r="Y1449"/>
  <c r="Z1449"/>
  <c r="AA1449"/>
  <c r="AB1449"/>
  <c r="AC1449"/>
  <c r="AD1449"/>
  <c r="AE1449"/>
  <c r="AF1449"/>
  <c r="AG1449"/>
  <c r="AH1449"/>
  <c r="AI1449"/>
  <c r="AJ1449"/>
  <c r="AK1449"/>
  <c r="C1450"/>
  <c r="H1450"/>
  <c r="I1450"/>
  <c r="J1450"/>
  <c r="K1450"/>
  <c r="M1450"/>
  <c r="P1450"/>
  <c r="R1450"/>
  <c r="S1450"/>
  <c r="T1450"/>
  <c r="U1450"/>
  <c r="X1450"/>
  <c r="Y1450"/>
  <c r="Z1450"/>
  <c r="AA1450"/>
  <c r="AB1450"/>
  <c r="AC1450"/>
  <c r="AD1450"/>
  <c r="AE1450"/>
  <c r="AF1450"/>
  <c r="AG1450"/>
  <c r="AH1450"/>
  <c r="AI1450"/>
  <c r="AJ1450"/>
  <c r="AK1450"/>
  <c r="C1451"/>
  <c r="H1451"/>
  <c r="I1451"/>
  <c r="J1451"/>
  <c r="K1451"/>
  <c r="M1451"/>
  <c r="P1451"/>
  <c r="R1451"/>
  <c r="S1451"/>
  <c r="T1451"/>
  <c r="U1451"/>
  <c r="X1451"/>
  <c r="Y1451"/>
  <c r="Z1451"/>
  <c r="AA1451"/>
  <c r="AB1451"/>
  <c r="AC1451"/>
  <c r="AD1451"/>
  <c r="AE1451"/>
  <c r="AF1451"/>
  <c r="AG1451"/>
  <c r="AH1451"/>
  <c r="AI1451"/>
  <c r="AJ1451"/>
  <c r="AK1451"/>
  <c r="C1432"/>
  <c r="H1432"/>
  <c r="I1432"/>
  <c r="J1432"/>
  <c r="K1432"/>
  <c r="M1432"/>
  <c r="P1432"/>
  <c r="R1432"/>
  <c r="S1432"/>
  <c r="T1432"/>
  <c r="U1432"/>
  <c r="X1432"/>
  <c r="Y1432"/>
  <c r="Z1432"/>
  <c r="AA1432"/>
  <c r="AB1432"/>
  <c r="AC1432"/>
  <c r="AD1432"/>
  <c r="AE1432"/>
  <c r="AF1432"/>
  <c r="AG1432"/>
  <c r="AH1432"/>
  <c r="AI1432"/>
  <c r="AJ1432"/>
  <c r="AK1432"/>
  <c r="C1433"/>
  <c r="H1433"/>
  <c r="I1433"/>
  <c r="J1433"/>
  <c r="K1433"/>
  <c r="M1433"/>
  <c r="P1433"/>
  <c r="R1433"/>
  <c r="S1433"/>
  <c r="T1433"/>
  <c r="U1433"/>
  <c r="X1433"/>
  <c r="Y1433"/>
  <c r="Z1433"/>
  <c r="AA1433"/>
  <c r="AB1433"/>
  <c r="AC1433"/>
  <c r="AD1433"/>
  <c r="AE1433"/>
  <c r="AF1433"/>
  <c r="AG1433"/>
  <c r="AH1433"/>
  <c r="AI1433"/>
  <c r="AJ1433"/>
  <c r="AK1433"/>
  <c r="C1434"/>
  <c r="H1434"/>
  <c r="I1434"/>
  <c r="J1434"/>
  <c r="K1434"/>
  <c r="M1434"/>
  <c r="P1434"/>
  <c r="R1434"/>
  <c r="S1434"/>
  <c r="T1434"/>
  <c r="U1434"/>
  <c r="X1434"/>
  <c r="Y1434"/>
  <c r="Z1434"/>
  <c r="AA1434"/>
  <c r="AB1434"/>
  <c r="AC1434"/>
  <c r="AD1434"/>
  <c r="AE1434"/>
  <c r="AF1434"/>
  <c r="AG1434"/>
  <c r="AH1434"/>
  <c r="AI1434"/>
  <c r="AJ1434"/>
  <c r="AK1434"/>
  <c r="C1435"/>
  <c r="H1435"/>
  <c r="I1435"/>
  <c r="J1435"/>
  <c r="K1435"/>
  <c r="M1435"/>
  <c r="P1435"/>
  <c r="R1435"/>
  <c r="S1435"/>
  <c r="T1435"/>
  <c r="U1435"/>
  <c r="X1435"/>
  <c r="Y1435"/>
  <c r="Z1435"/>
  <c r="AA1435"/>
  <c r="AB1435"/>
  <c r="AC1435"/>
  <c r="AD1435"/>
  <c r="AE1435"/>
  <c r="AF1435"/>
  <c r="AG1435"/>
  <c r="AH1435"/>
  <c r="AI1435"/>
  <c r="AJ1435"/>
  <c r="AK1435"/>
  <c r="C1436"/>
  <c r="H1436"/>
  <c r="I1436"/>
  <c r="J1436"/>
  <c r="K1436"/>
  <c r="M1436"/>
  <c r="P1436"/>
  <c r="R1436"/>
  <c r="S1436"/>
  <c r="T1436"/>
  <c r="U1436"/>
  <c r="X1436"/>
  <c r="Y1436"/>
  <c r="Z1436"/>
  <c r="AA1436"/>
  <c r="AB1436"/>
  <c r="AC1436"/>
  <c r="AD1436"/>
  <c r="AE1436"/>
  <c r="AF1436"/>
  <c r="AG1436"/>
  <c r="AH1436"/>
  <c r="AI1436"/>
  <c r="AJ1436"/>
  <c r="AK1436"/>
  <c r="C1437"/>
  <c r="H1437"/>
  <c r="I1437"/>
  <c r="J1437"/>
  <c r="K1437"/>
  <c r="M1437"/>
  <c r="P1437"/>
  <c r="R1437"/>
  <c r="S1437"/>
  <c r="T1437"/>
  <c r="U1437"/>
  <c r="X1437"/>
  <c r="Y1437"/>
  <c r="Z1437"/>
  <c r="AA1437"/>
  <c r="AB1437"/>
  <c r="AC1437"/>
  <c r="AD1437"/>
  <c r="AE1437"/>
  <c r="AF1437"/>
  <c r="AG1437"/>
  <c r="AH1437"/>
  <c r="AI1437"/>
  <c r="AJ1437"/>
  <c r="AK1437"/>
  <c r="C1438"/>
  <c r="H1438"/>
  <c r="I1438"/>
  <c r="J1438"/>
  <c r="K1438"/>
  <c r="M1438"/>
  <c r="P1438"/>
  <c r="R1438"/>
  <c r="S1438"/>
  <c r="T1438"/>
  <c r="U1438"/>
  <c r="X1438"/>
  <c r="Y1438"/>
  <c r="Z1438"/>
  <c r="AA1438"/>
  <c r="AB1438"/>
  <c r="AC1438"/>
  <c r="AD1438"/>
  <c r="AE1438"/>
  <c r="AF1438"/>
  <c r="AG1438"/>
  <c r="AH1438"/>
  <c r="AI1438"/>
  <c r="AJ1438"/>
  <c r="AK1438"/>
  <c r="C1439"/>
  <c r="H1439"/>
  <c r="I1439"/>
  <c r="J1439"/>
  <c r="K1439"/>
  <c r="M1439"/>
  <c r="P1439"/>
  <c r="R1439"/>
  <c r="S1439"/>
  <c r="T1439"/>
  <c r="U1439"/>
  <c r="X1439"/>
  <c r="Y1439"/>
  <c r="Z1439"/>
  <c r="AA1439"/>
  <c r="AB1439"/>
  <c r="AC1439"/>
  <c r="AD1439"/>
  <c r="AE1439"/>
  <c r="AF1439"/>
  <c r="AG1439"/>
  <c r="AH1439"/>
  <c r="AI1439"/>
  <c r="AJ1439"/>
  <c r="AK1439"/>
  <c r="C1440"/>
  <c r="H1440"/>
  <c r="I1440"/>
  <c r="J1440"/>
  <c r="K1440"/>
  <c r="M1440"/>
  <c r="P1440"/>
  <c r="R1440"/>
  <c r="S1440"/>
  <c r="T1440"/>
  <c r="U1440"/>
  <c r="X1440"/>
  <c r="Y1440"/>
  <c r="Z1440"/>
  <c r="AA1440"/>
  <c r="AB1440"/>
  <c r="AC1440"/>
  <c r="AD1440"/>
  <c r="AE1440"/>
  <c r="AF1440"/>
  <c r="AG1440"/>
  <c r="AH1440"/>
  <c r="AI1440"/>
  <c r="AJ1440"/>
  <c r="AK1440"/>
  <c r="C1441"/>
  <c r="H1441"/>
  <c r="I1441"/>
  <c r="J1441"/>
  <c r="K1441"/>
  <c r="M1441"/>
  <c r="P1441"/>
  <c r="R1441"/>
  <c r="S1441"/>
  <c r="T1441"/>
  <c r="U1441"/>
  <c r="X1441"/>
  <c r="Y1441"/>
  <c r="Z1441"/>
  <c r="AA1441"/>
  <c r="AB1441"/>
  <c r="AC1441"/>
  <c r="AD1441"/>
  <c r="AE1441"/>
  <c r="AF1441"/>
  <c r="AG1441"/>
  <c r="AH1441"/>
  <c r="AI1441"/>
  <c r="AJ1441"/>
  <c r="AK1441"/>
  <c r="C1422"/>
  <c r="H1422"/>
  <c r="I1422"/>
  <c r="J1422"/>
  <c r="K1422"/>
  <c r="M1422"/>
  <c r="P1422"/>
  <c r="R1422"/>
  <c r="S1422"/>
  <c r="T1422"/>
  <c r="U1422"/>
  <c r="X1422"/>
  <c r="Y1422"/>
  <c r="Z1422"/>
  <c r="AA1422"/>
  <c r="AB1422"/>
  <c r="AC1422"/>
  <c r="AD1422"/>
  <c r="AE1422"/>
  <c r="AF1422"/>
  <c r="AG1422"/>
  <c r="AH1422"/>
  <c r="AI1422"/>
  <c r="AJ1422"/>
  <c r="AK1422"/>
  <c r="C1423"/>
  <c r="H1423"/>
  <c r="I1423"/>
  <c r="J1423"/>
  <c r="K1423"/>
  <c r="M1423"/>
  <c r="P1423"/>
  <c r="R1423"/>
  <c r="S1423"/>
  <c r="T1423"/>
  <c r="U1423"/>
  <c r="X1423"/>
  <c r="Y1423"/>
  <c r="Z1423"/>
  <c r="AA1423"/>
  <c r="AB1423"/>
  <c r="AC1423"/>
  <c r="AD1423"/>
  <c r="AE1423"/>
  <c r="AF1423"/>
  <c r="AG1423"/>
  <c r="AH1423"/>
  <c r="AI1423"/>
  <c r="AJ1423"/>
  <c r="AK1423"/>
  <c r="C1424"/>
  <c r="H1424"/>
  <c r="I1424"/>
  <c r="J1424"/>
  <c r="K1424"/>
  <c r="M1424"/>
  <c r="P1424"/>
  <c r="R1424"/>
  <c r="S1424"/>
  <c r="T1424"/>
  <c r="U1424"/>
  <c r="X1424"/>
  <c r="Y1424"/>
  <c r="Z1424"/>
  <c r="AA1424"/>
  <c r="AB1424"/>
  <c r="AC1424"/>
  <c r="AD1424"/>
  <c r="AE1424"/>
  <c r="AF1424"/>
  <c r="AG1424"/>
  <c r="AH1424"/>
  <c r="AI1424"/>
  <c r="AJ1424"/>
  <c r="AK1424"/>
  <c r="C1425"/>
  <c r="H1425"/>
  <c r="I1425"/>
  <c r="J1425"/>
  <c r="K1425"/>
  <c r="M1425"/>
  <c r="P1425"/>
  <c r="R1425"/>
  <c r="S1425"/>
  <c r="T1425"/>
  <c r="U1425"/>
  <c r="X1425"/>
  <c r="Y1425"/>
  <c r="Z1425"/>
  <c r="AA1425"/>
  <c r="AB1425"/>
  <c r="AC1425"/>
  <c r="AD1425"/>
  <c r="AE1425"/>
  <c r="AF1425"/>
  <c r="AG1425"/>
  <c r="AH1425"/>
  <c r="AI1425"/>
  <c r="AJ1425"/>
  <c r="AK1425"/>
  <c r="C1426"/>
  <c r="H1426"/>
  <c r="I1426"/>
  <c r="J1426"/>
  <c r="K1426"/>
  <c r="M1426"/>
  <c r="P1426"/>
  <c r="R1426"/>
  <c r="S1426"/>
  <c r="T1426"/>
  <c r="U1426"/>
  <c r="X1426"/>
  <c r="Y1426"/>
  <c r="Z1426"/>
  <c r="AA1426"/>
  <c r="AB1426"/>
  <c r="AC1426"/>
  <c r="AD1426"/>
  <c r="AE1426"/>
  <c r="AF1426"/>
  <c r="AG1426"/>
  <c r="AH1426"/>
  <c r="AI1426"/>
  <c r="AJ1426"/>
  <c r="AK1426"/>
  <c r="C1427"/>
  <c r="H1427"/>
  <c r="I1427"/>
  <c r="J1427"/>
  <c r="K1427"/>
  <c r="M1427"/>
  <c r="P1427"/>
  <c r="R1427"/>
  <c r="S1427"/>
  <c r="T1427"/>
  <c r="U1427"/>
  <c r="X1427"/>
  <c r="Y1427"/>
  <c r="Z1427"/>
  <c r="AA1427"/>
  <c r="AB1427"/>
  <c r="AC1427"/>
  <c r="AD1427"/>
  <c r="AE1427"/>
  <c r="AF1427"/>
  <c r="AG1427"/>
  <c r="AH1427"/>
  <c r="AI1427"/>
  <c r="AJ1427"/>
  <c r="AK1427"/>
  <c r="C1428"/>
  <c r="H1428"/>
  <c r="I1428"/>
  <c r="J1428"/>
  <c r="K1428"/>
  <c r="M1428"/>
  <c r="P1428"/>
  <c r="R1428"/>
  <c r="S1428"/>
  <c r="T1428"/>
  <c r="U1428"/>
  <c r="X1428"/>
  <c r="Y1428"/>
  <c r="Z1428"/>
  <c r="AA1428"/>
  <c r="AB1428"/>
  <c r="AC1428"/>
  <c r="AD1428"/>
  <c r="AE1428"/>
  <c r="AF1428"/>
  <c r="AG1428"/>
  <c r="AH1428"/>
  <c r="AI1428"/>
  <c r="AJ1428"/>
  <c r="AK1428"/>
  <c r="C1429"/>
  <c r="H1429"/>
  <c r="I1429"/>
  <c r="J1429"/>
  <c r="K1429"/>
  <c r="M1429"/>
  <c r="P1429"/>
  <c r="R1429"/>
  <c r="S1429"/>
  <c r="T1429"/>
  <c r="U1429"/>
  <c r="X1429"/>
  <c r="Y1429"/>
  <c r="Z1429"/>
  <c r="AA1429"/>
  <c r="AB1429"/>
  <c r="AC1429"/>
  <c r="AD1429"/>
  <c r="AE1429"/>
  <c r="AF1429"/>
  <c r="AG1429"/>
  <c r="AH1429"/>
  <c r="AI1429"/>
  <c r="AJ1429"/>
  <c r="AK1429"/>
  <c r="C1430"/>
  <c r="H1430"/>
  <c r="I1430"/>
  <c r="J1430"/>
  <c r="K1430"/>
  <c r="M1430"/>
  <c r="P1430"/>
  <c r="R1430"/>
  <c r="S1430"/>
  <c r="T1430"/>
  <c r="U1430"/>
  <c r="X1430"/>
  <c r="Y1430"/>
  <c r="Z1430"/>
  <c r="AA1430"/>
  <c r="AB1430"/>
  <c r="AC1430"/>
  <c r="AD1430"/>
  <c r="AE1430"/>
  <c r="AF1430"/>
  <c r="AG1430"/>
  <c r="AH1430"/>
  <c r="AI1430"/>
  <c r="AJ1430"/>
  <c r="AK1430"/>
  <c r="C1431"/>
  <c r="H1431"/>
  <c r="I1431"/>
  <c r="J1431"/>
  <c r="K1431"/>
  <c r="M1431"/>
  <c r="P1431"/>
  <c r="R1431"/>
  <c r="S1431"/>
  <c r="T1431"/>
  <c r="U1431"/>
  <c r="X1431"/>
  <c r="Y1431"/>
  <c r="Z1431"/>
  <c r="AA1431"/>
  <c r="AB1431"/>
  <c r="AC1431"/>
  <c r="AD1431"/>
  <c r="AE1431"/>
  <c r="AF1431"/>
  <c r="AG1431"/>
  <c r="AH1431"/>
  <c r="AI1431"/>
  <c r="AJ1431"/>
  <c r="AK1431"/>
  <c r="C1412"/>
  <c r="H1412"/>
  <c r="I1412"/>
  <c r="J1412"/>
  <c r="K1412"/>
  <c r="M1412"/>
  <c r="P1412"/>
  <c r="R1412"/>
  <c r="S1412"/>
  <c r="T1412"/>
  <c r="U1412"/>
  <c r="X1412"/>
  <c r="Y1412"/>
  <c r="Z1412"/>
  <c r="AA1412"/>
  <c r="AB1412"/>
  <c r="AC1412"/>
  <c r="AD1412"/>
  <c r="AE1412"/>
  <c r="AF1412"/>
  <c r="AG1412"/>
  <c r="AH1412"/>
  <c r="AI1412"/>
  <c r="AJ1412"/>
  <c r="AK1412"/>
  <c r="C1413"/>
  <c r="H1413"/>
  <c r="I1413"/>
  <c r="J1413"/>
  <c r="K1413"/>
  <c r="M1413"/>
  <c r="P1413"/>
  <c r="R1413"/>
  <c r="S1413"/>
  <c r="T1413"/>
  <c r="U1413"/>
  <c r="X1413"/>
  <c r="Y1413"/>
  <c r="Z1413"/>
  <c r="AA1413"/>
  <c r="AB1413"/>
  <c r="AC1413"/>
  <c r="AD1413"/>
  <c r="AE1413"/>
  <c r="AF1413"/>
  <c r="AG1413"/>
  <c r="AH1413"/>
  <c r="AI1413"/>
  <c r="AJ1413"/>
  <c r="AK1413"/>
  <c r="C1414"/>
  <c r="H1414"/>
  <c r="I1414"/>
  <c r="J1414"/>
  <c r="K1414"/>
  <c r="M1414"/>
  <c r="P1414"/>
  <c r="R1414"/>
  <c r="S1414"/>
  <c r="T1414"/>
  <c r="U1414"/>
  <c r="X1414"/>
  <c r="Y1414"/>
  <c r="Z1414"/>
  <c r="AA1414"/>
  <c r="AB1414"/>
  <c r="AC1414"/>
  <c r="AD1414"/>
  <c r="AE1414"/>
  <c r="AF1414"/>
  <c r="AG1414"/>
  <c r="AH1414"/>
  <c r="AI1414"/>
  <c r="AJ1414"/>
  <c r="AK1414"/>
  <c r="C1415"/>
  <c r="H1415"/>
  <c r="I1415"/>
  <c r="J1415"/>
  <c r="K1415"/>
  <c r="M1415"/>
  <c r="P1415"/>
  <c r="R1415"/>
  <c r="S1415"/>
  <c r="T1415"/>
  <c r="U1415"/>
  <c r="X1415"/>
  <c r="Y1415"/>
  <c r="Z1415"/>
  <c r="AA1415"/>
  <c r="AB1415"/>
  <c r="AC1415"/>
  <c r="AD1415"/>
  <c r="AE1415"/>
  <c r="AF1415"/>
  <c r="AG1415"/>
  <c r="AH1415"/>
  <c r="AI1415"/>
  <c r="AJ1415"/>
  <c r="AK1415"/>
  <c r="C1416"/>
  <c r="H1416"/>
  <c r="I1416"/>
  <c r="J1416"/>
  <c r="K1416"/>
  <c r="M1416"/>
  <c r="P1416"/>
  <c r="R1416"/>
  <c r="S1416"/>
  <c r="T1416"/>
  <c r="U1416"/>
  <c r="X1416"/>
  <c r="Y1416"/>
  <c r="Z1416"/>
  <c r="AA1416"/>
  <c r="AB1416"/>
  <c r="AC1416"/>
  <c r="AD1416"/>
  <c r="AE1416"/>
  <c r="AF1416"/>
  <c r="AG1416"/>
  <c r="AH1416"/>
  <c r="AI1416"/>
  <c r="AJ1416"/>
  <c r="AK1416"/>
  <c r="C1417"/>
  <c r="H1417"/>
  <c r="I1417"/>
  <c r="J1417"/>
  <c r="K1417"/>
  <c r="M1417"/>
  <c r="P1417"/>
  <c r="R1417"/>
  <c r="S1417"/>
  <c r="T1417"/>
  <c r="U1417"/>
  <c r="X1417"/>
  <c r="Y1417"/>
  <c r="Z1417"/>
  <c r="AA1417"/>
  <c r="AB1417"/>
  <c r="AC1417"/>
  <c r="AD1417"/>
  <c r="AE1417"/>
  <c r="AF1417"/>
  <c r="AG1417"/>
  <c r="AH1417"/>
  <c r="AI1417"/>
  <c r="AJ1417"/>
  <c r="AK1417"/>
  <c r="C1418"/>
  <c r="H1418"/>
  <c r="I1418"/>
  <c r="J1418"/>
  <c r="K1418"/>
  <c r="M1418"/>
  <c r="P1418"/>
  <c r="R1418"/>
  <c r="S1418"/>
  <c r="T1418"/>
  <c r="U1418"/>
  <c r="X1418"/>
  <c r="Y1418"/>
  <c r="Z1418"/>
  <c r="AA1418"/>
  <c r="AB1418"/>
  <c r="AC1418"/>
  <c r="AD1418"/>
  <c r="AE1418"/>
  <c r="AF1418"/>
  <c r="AG1418"/>
  <c r="AH1418"/>
  <c r="AI1418"/>
  <c r="AJ1418"/>
  <c r="AK1418"/>
  <c r="C1419"/>
  <c r="H1419"/>
  <c r="I1419"/>
  <c r="J1419"/>
  <c r="K1419"/>
  <c r="M1419"/>
  <c r="P1419"/>
  <c r="R1419"/>
  <c r="S1419"/>
  <c r="T1419"/>
  <c r="U1419"/>
  <c r="X1419"/>
  <c r="Y1419"/>
  <c r="Z1419"/>
  <c r="AA1419"/>
  <c r="AB1419"/>
  <c r="AC1419"/>
  <c r="AD1419"/>
  <c r="AE1419"/>
  <c r="AF1419"/>
  <c r="AG1419"/>
  <c r="AH1419"/>
  <c r="AI1419"/>
  <c r="AJ1419"/>
  <c r="AK1419"/>
  <c r="C1420"/>
  <c r="H1420"/>
  <c r="I1420"/>
  <c r="J1420"/>
  <c r="K1420"/>
  <c r="M1420"/>
  <c r="P1420"/>
  <c r="R1420"/>
  <c r="S1420"/>
  <c r="T1420"/>
  <c r="U1420"/>
  <c r="X1420"/>
  <c r="Y1420"/>
  <c r="Z1420"/>
  <c r="AA1420"/>
  <c r="AB1420"/>
  <c r="AC1420"/>
  <c r="AD1420"/>
  <c r="AE1420"/>
  <c r="AF1420"/>
  <c r="AG1420"/>
  <c r="AH1420"/>
  <c r="AI1420"/>
  <c r="AJ1420"/>
  <c r="AK1420"/>
  <c r="C1421"/>
  <c r="H1421"/>
  <c r="I1421"/>
  <c r="J1421"/>
  <c r="K1421"/>
  <c r="M1421"/>
  <c r="P1421"/>
  <c r="R1421"/>
  <c r="S1421"/>
  <c r="T1421"/>
  <c r="U1421"/>
  <c r="X1421"/>
  <c r="Y1421"/>
  <c r="Z1421"/>
  <c r="AA1421"/>
  <c r="AB1421"/>
  <c r="AC1421"/>
  <c r="AD1421"/>
  <c r="AE1421"/>
  <c r="AF1421"/>
  <c r="AG1421"/>
  <c r="AH1421"/>
  <c r="AI1421"/>
  <c r="AJ1421"/>
  <c r="AK1421"/>
  <c r="C1402"/>
  <c r="H1402"/>
  <c r="I1402"/>
  <c r="J1402"/>
  <c r="K1402"/>
  <c r="M1402"/>
  <c r="P1402"/>
  <c r="R1402"/>
  <c r="S1402"/>
  <c r="T1402"/>
  <c r="U1402"/>
  <c r="X1402"/>
  <c r="Y1402"/>
  <c r="Z1402"/>
  <c r="AA1402"/>
  <c r="AB1402"/>
  <c r="AC1402"/>
  <c r="AD1402"/>
  <c r="AE1402"/>
  <c r="AF1402"/>
  <c r="AG1402"/>
  <c r="AH1402"/>
  <c r="AI1402"/>
  <c r="AJ1402"/>
  <c r="AK1402"/>
  <c r="C1403"/>
  <c r="H1403"/>
  <c r="I1403"/>
  <c r="J1403"/>
  <c r="K1403"/>
  <c r="M1403"/>
  <c r="P1403"/>
  <c r="R1403"/>
  <c r="S1403"/>
  <c r="T1403"/>
  <c r="U1403"/>
  <c r="X1403"/>
  <c r="Y1403"/>
  <c r="Z1403"/>
  <c r="AA1403"/>
  <c r="AB1403"/>
  <c r="AC1403"/>
  <c r="AD1403"/>
  <c r="AE1403"/>
  <c r="AF1403"/>
  <c r="AG1403"/>
  <c r="AH1403"/>
  <c r="AI1403"/>
  <c r="AJ1403"/>
  <c r="AK1403"/>
  <c r="C1404"/>
  <c r="H1404"/>
  <c r="I1404"/>
  <c r="J1404"/>
  <c r="K1404"/>
  <c r="M1404"/>
  <c r="P1404"/>
  <c r="R1404"/>
  <c r="S1404"/>
  <c r="T1404"/>
  <c r="U1404"/>
  <c r="X1404"/>
  <c r="Y1404"/>
  <c r="Z1404"/>
  <c r="AA1404"/>
  <c r="AB1404"/>
  <c r="AC1404"/>
  <c r="AD1404"/>
  <c r="AE1404"/>
  <c r="AF1404"/>
  <c r="AG1404"/>
  <c r="AH1404"/>
  <c r="AI1404"/>
  <c r="AJ1404"/>
  <c r="AK1404"/>
  <c r="C1405"/>
  <c r="H1405"/>
  <c r="I1405"/>
  <c r="J1405"/>
  <c r="K1405"/>
  <c r="M1405"/>
  <c r="P1405"/>
  <c r="R1405"/>
  <c r="S1405"/>
  <c r="T1405"/>
  <c r="U1405"/>
  <c r="X1405"/>
  <c r="Y1405"/>
  <c r="Z1405"/>
  <c r="AA1405"/>
  <c r="AB1405"/>
  <c r="AC1405"/>
  <c r="AD1405"/>
  <c r="AE1405"/>
  <c r="AF1405"/>
  <c r="AG1405"/>
  <c r="AH1405"/>
  <c r="AI1405"/>
  <c r="AJ1405"/>
  <c r="AK1405"/>
  <c r="C1406"/>
  <c r="H1406"/>
  <c r="I1406"/>
  <c r="J1406"/>
  <c r="K1406"/>
  <c r="M1406"/>
  <c r="P1406"/>
  <c r="R1406"/>
  <c r="S1406"/>
  <c r="T1406"/>
  <c r="U1406"/>
  <c r="X1406"/>
  <c r="Y1406"/>
  <c r="Z1406"/>
  <c r="AA1406"/>
  <c r="AB1406"/>
  <c r="AC1406"/>
  <c r="AD1406"/>
  <c r="AE1406"/>
  <c r="AF1406"/>
  <c r="AG1406"/>
  <c r="AH1406"/>
  <c r="AI1406"/>
  <c r="AJ1406"/>
  <c r="AK1406"/>
  <c r="C1407"/>
  <c r="H1407"/>
  <c r="I1407"/>
  <c r="J1407"/>
  <c r="K1407"/>
  <c r="M1407"/>
  <c r="P1407"/>
  <c r="R1407"/>
  <c r="S1407"/>
  <c r="T1407"/>
  <c r="U1407"/>
  <c r="X1407"/>
  <c r="Y1407"/>
  <c r="Z1407"/>
  <c r="AA1407"/>
  <c r="AB1407"/>
  <c r="AC1407"/>
  <c r="AD1407"/>
  <c r="AE1407"/>
  <c r="AF1407"/>
  <c r="AG1407"/>
  <c r="AH1407"/>
  <c r="AI1407"/>
  <c r="AJ1407"/>
  <c r="AK1407"/>
  <c r="C1408"/>
  <c r="H1408"/>
  <c r="I1408"/>
  <c r="J1408"/>
  <c r="K1408"/>
  <c r="M1408"/>
  <c r="P1408"/>
  <c r="R1408"/>
  <c r="S1408"/>
  <c r="T1408"/>
  <c r="U1408"/>
  <c r="X1408"/>
  <c r="Y1408"/>
  <c r="Z1408"/>
  <c r="AA1408"/>
  <c r="AB1408"/>
  <c r="AC1408"/>
  <c r="AD1408"/>
  <c r="AE1408"/>
  <c r="AF1408"/>
  <c r="AG1408"/>
  <c r="AH1408"/>
  <c r="AI1408"/>
  <c r="AJ1408"/>
  <c r="AK1408"/>
  <c r="C1409"/>
  <c r="H1409"/>
  <c r="I1409"/>
  <c r="J1409"/>
  <c r="K1409"/>
  <c r="M1409"/>
  <c r="P1409"/>
  <c r="R1409"/>
  <c r="S1409"/>
  <c r="T1409"/>
  <c r="U1409"/>
  <c r="X1409"/>
  <c r="Y1409"/>
  <c r="Z1409"/>
  <c r="AA1409"/>
  <c r="AB1409"/>
  <c r="AC1409"/>
  <c r="AD1409"/>
  <c r="AE1409"/>
  <c r="AF1409"/>
  <c r="AG1409"/>
  <c r="AH1409"/>
  <c r="AI1409"/>
  <c r="AJ1409"/>
  <c r="AK1409"/>
  <c r="C1410"/>
  <c r="H1410"/>
  <c r="I1410"/>
  <c r="J1410"/>
  <c r="K1410"/>
  <c r="M1410"/>
  <c r="P1410"/>
  <c r="R1410"/>
  <c r="S1410"/>
  <c r="T1410"/>
  <c r="U1410"/>
  <c r="X1410"/>
  <c r="Y1410"/>
  <c r="Z1410"/>
  <c r="AA1410"/>
  <c r="AB1410"/>
  <c r="AC1410"/>
  <c r="AD1410"/>
  <c r="AE1410"/>
  <c r="AF1410"/>
  <c r="AG1410"/>
  <c r="AH1410"/>
  <c r="AI1410"/>
  <c r="AJ1410"/>
  <c r="AK1410"/>
  <c r="C1411"/>
  <c r="H1411"/>
  <c r="I1411"/>
  <c r="J1411"/>
  <c r="K1411"/>
  <c r="M1411"/>
  <c r="P1411"/>
  <c r="R1411"/>
  <c r="S1411"/>
  <c r="T1411"/>
  <c r="U1411"/>
  <c r="X1411"/>
  <c r="Y1411"/>
  <c r="Z1411"/>
  <c r="AA1411"/>
  <c r="AB1411"/>
  <c r="AC1411"/>
  <c r="AD1411"/>
  <c r="AE1411"/>
  <c r="AF1411"/>
  <c r="AG1411"/>
  <c r="AH1411"/>
  <c r="AI1411"/>
  <c r="AJ1411"/>
  <c r="AK1411"/>
  <c r="C1392"/>
  <c r="H1392"/>
  <c r="I1392"/>
  <c r="J1392"/>
  <c r="K1392"/>
  <c r="M1392"/>
  <c r="P1392"/>
  <c r="R1392"/>
  <c r="S1392"/>
  <c r="T1392"/>
  <c r="U1392"/>
  <c r="X1392"/>
  <c r="Y1392"/>
  <c r="Z1392"/>
  <c r="AA1392"/>
  <c r="AB1392"/>
  <c r="AC1392"/>
  <c r="AD1392"/>
  <c r="AE1392"/>
  <c r="AF1392"/>
  <c r="AG1392"/>
  <c r="AH1392"/>
  <c r="AI1392"/>
  <c r="AJ1392"/>
  <c r="AK1392"/>
  <c r="C1393"/>
  <c r="H1393"/>
  <c r="I1393"/>
  <c r="J1393"/>
  <c r="K1393"/>
  <c r="M1393"/>
  <c r="P1393"/>
  <c r="R1393"/>
  <c r="S1393"/>
  <c r="T1393"/>
  <c r="U1393"/>
  <c r="X1393"/>
  <c r="Y1393"/>
  <c r="Z1393"/>
  <c r="AA1393"/>
  <c r="AB1393"/>
  <c r="AC1393"/>
  <c r="AD1393"/>
  <c r="AE1393"/>
  <c r="AF1393"/>
  <c r="AG1393"/>
  <c r="AH1393"/>
  <c r="AI1393"/>
  <c r="AJ1393"/>
  <c r="AK1393"/>
  <c r="C1394"/>
  <c r="H1394"/>
  <c r="I1394"/>
  <c r="J1394"/>
  <c r="K1394"/>
  <c r="M1394"/>
  <c r="P1394"/>
  <c r="R1394"/>
  <c r="S1394"/>
  <c r="T1394"/>
  <c r="U1394"/>
  <c r="X1394"/>
  <c r="Y1394"/>
  <c r="Z1394"/>
  <c r="AA1394"/>
  <c r="AB1394"/>
  <c r="AC1394"/>
  <c r="AD1394"/>
  <c r="AE1394"/>
  <c r="AF1394"/>
  <c r="AG1394"/>
  <c r="AH1394"/>
  <c r="AI1394"/>
  <c r="AJ1394"/>
  <c r="AK1394"/>
  <c r="C1395"/>
  <c r="H1395"/>
  <c r="I1395"/>
  <c r="J1395"/>
  <c r="K1395"/>
  <c r="M1395"/>
  <c r="P1395"/>
  <c r="R1395"/>
  <c r="S1395"/>
  <c r="T1395"/>
  <c r="U1395"/>
  <c r="X1395"/>
  <c r="Y1395"/>
  <c r="Z1395"/>
  <c r="AA1395"/>
  <c r="AB1395"/>
  <c r="AC1395"/>
  <c r="AD1395"/>
  <c r="AE1395"/>
  <c r="AF1395"/>
  <c r="AG1395"/>
  <c r="AH1395"/>
  <c r="AI1395"/>
  <c r="AJ1395"/>
  <c r="AK1395"/>
  <c r="C1396"/>
  <c r="H1396"/>
  <c r="I1396"/>
  <c r="J1396"/>
  <c r="K1396"/>
  <c r="M1396"/>
  <c r="P1396"/>
  <c r="R1396"/>
  <c r="S1396"/>
  <c r="T1396"/>
  <c r="U1396"/>
  <c r="X1396"/>
  <c r="Y1396"/>
  <c r="Z1396"/>
  <c r="AA1396"/>
  <c r="AB1396"/>
  <c r="AC1396"/>
  <c r="AD1396"/>
  <c r="AE1396"/>
  <c r="AF1396"/>
  <c r="AG1396"/>
  <c r="AH1396"/>
  <c r="AI1396"/>
  <c r="AJ1396"/>
  <c r="AK1396"/>
  <c r="C1397"/>
  <c r="H1397"/>
  <c r="I1397"/>
  <c r="J1397"/>
  <c r="K1397"/>
  <c r="M1397"/>
  <c r="P1397"/>
  <c r="R1397"/>
  <c r="S1397"/>
  <c r="T1397"/>
  <c r="U1397"/>
  <c r="X1397"/>
  <c r="Y1397"/>
  <c r="Z1397"/>
  <c r="AA1397"/>
  <c r="AB1397"/>
  <c r="AC1397"/>
  <c r="AD1397"/>
  <c r="AE1397"/>
  <c r="AF1397"/>
  <c r="AG1397"/>
  <c r="AH1397"/>
  <c r="AI1397"/>
  <c r="AJ1397"/>
  <c r="AK1397"/>
  <c r="C1398"/>
  <c r="H1398"/>
  <c r="I1398"/>
  <c r="J1398"/>
  <c r="K1398"/>
  <c r="M1398"/>
  <c r="P1398"/>
  <c r="R1398"/>
  <c r="S1398"/>
  <c r="T1398"/>
  <c r="U1398"/>
  <c r="X1398"/>
  <c r="Y1398"/>
  <c r="Z1398"/>
  <c r="AA1398"/>
  <c r="AB1398"/>
  <c r="AC1398"/>
  <c r="AD1398"/>
  <c r="AE1398"/>
  <c r="AF1398"/>
  <c r="AG1398"/>
  <c r="AH1398"/>
  <c r="AI1398"/>
  <c r="AJ1398"/>
  <c r="AK1398"/>
  <c r="C1399"/>
  <c r="H1399"/>
  <c r="I1399"/>
  <c r="J1399"/>
  <c r="K1399"/>
  <c r="M1399"/>
  <c r="P1399"/>
  <c r="R1399"/>
  <c r="S1399"/>
  <c r="T1399"/>
  <c r="U1399"/>
  <c r="X1399"/>
  <c r="Y1399"/>
  <c r="Z1399"/>
  <c r="AA1399"/>
  <c r="AB1399"/>
  <c r="AC1399"/>
  <c r="AD1399"/>
  <c r="AE1399"/>
  <c r="AF1399"/>
  <c r="AG1399"/>
  <c r="AH1399"/>
  <c r="AI1399"/>
  <c r="AJ1399"/>
  <c r="AK1399"/>
  <c r="C1400"/>
  <c r="H1400"/>
  <c r="I1400"/>
  <c r="J1400"/>
  <c r="K1400"/>
  <c r="M1400"/>
  <c r="P1400"/>
  <c r="R1400"/>
  <c r="S1400"/>
  <c r="T1400"/>
  <c r="U1400"/>
  <c r="X1400"/>
  <c r="Y1400"/>
  <c r="Z1400"/>
  <c r="AA1400"/>
  <c r="AB1400"/>
  <c r="AC1400"/>
  <c r="AD1400"/>
  <c r="AE1400"/>
  <c r="AF1400"/>
  <c r="AG1400"/>
  <c r="AH1400"/>
  <c r="AI1400"/>
  <c r="AJ1400"/>
  <c r="AK1400"/>
  <c r="C1401"/>
  <c r="H1401"/>
  <c r="I1401"/>
  <c r="J1401"/>
  <c r="K1401"/>
  <c r="M1401"/>
  <c r="P1401"/>
  <c r="R1401"/>
  <c r="S1401"/>
  <c r="T1401"/>
  <c r="U1401"/>
  <c r="X1401"/>
  <c r="Y1401"/>
  <c r="Z1401"/>
  <c r="AA1401"/>
  <c r="AB1401"/>
  <c r="AC1401"/>
  <c r="AD1401"/>
  <c r="AE1401"/>
  <c r="AF1401"/>
  <c r="AG1401"/>
  <c r="AH1401"/>
  <c r="AI1401"/>
  <c r="AJ1401"/>
  <c r="AK1401"/>
  <c r="C1382"/>
  <c r="H1382"/>
  <c r="I1382"/>
  <c r="J1382"/>
  <c r="K1382"/>
  <c r="M1382"/>
  <c r="P1382"/>
  <c r="R1382"/>
  <c r="S1382"/>
  <c r="T1382"/>
  <c r="U1382"/>
  <c r="X1382"/>
  <c r="Y1382"/>
  <c r="Z1382"/>
  <c r="AA1382"/>
  <c r="AB1382"/>
  <c r="AC1382"/>
  <c r="AD1382"/>
  <c r="AE1382"/>
  <c r="AF1382"/>
  <c r="AG1382"/>
  <c r="AH1382"/>
  <c r="AI1382"/>
  <c r="AJ1382"/>
  <c r="AK1382"/>
  <c r="C1383"/>
  <c r="H1383"/>
  <c r="I1383"/>
  <c r="J1383"/>
  <c r="K1383"/>
  <c r="M1383"/>
  <c r="P1383"/>
  <c r="R1383"/>
  <c r="S1383"/>
  <c r="T1383"/>
  <c r="U1383"/>
  <c r="X1383"/>
  <c r="Y1383"/>
  <c r="Z1383"/>
  <c r="AA1383"/>
  <c r="AB1383"/>
  <c r="AC1383"/>
  <c r="AD1383"/>
  <c r="AE1383"/>
  <c r="AF1383"/>
  <c r="AG1383"/>
  <c r="AH1383"/>
  <c r="AI1383"/>
  <c r="AJ1383"/>
  <c r="AK1383"/>
  <c r="C1384"/>
  <c r="H1384"/>
  <c r="I1384"/>
  <c r="J1384"/>
  <c r="K1384"/>
  <c r="M1384"/>
  <c r="P1384"/>
  <c r="R1384"/>
  <c r="S1384"/>
  <c r="T1384"/>
  <c r="U1384"/>
  <c r="X1384"/>
  <c r="Y1384"/>
  <c r="Z1384"/>
  <c r="AA1384"/>
  <c r="AB1384"/>
  <c r="AC1384"/>
  <c r="AD1384"/>
  <c r="AE1384"/>
  <c r="AF1384"/>
  <c r="AG1384"/>
  <c r="AH1384"/>
  <c r="AI1384"/>
  <c r="AJ1384"/>
  <c r="AK1384"/>
  <c r="C1385"/>
  <c r="H1385"/>
  <c r="I1385"/>
  <c r="J1385"/>
  <c r="K1385"/>
  <c r="M1385"/>
  <c r="P1385"/>
  <c r="R1385"/>
  <c r="S1385"/>
  <c r="T1385"/>
  <c r="U1385"/>
  <c r="X1385"/>
  <c r="Y1385"/>
  <c r="Z1385"/>
  <c r="AA1385"/>
  <c r="AB1385"/>
  <c r="AC1385"/>
  <c r="AD1385"/>
  <c r="AE1385"/>
  <c r="AF1385"/>
  <c r="AG1385"/>
  <c r="AH1385"/>
  <c r="AI1385"/>
  <c r="AJ1385"/>
  <c r="AK1385"/>
  <c r="C1386"/>
  <c r="H1386"/>
  <c r="I1386"/>
  <c r="J1386"/>
  <c r="K1386"/>
  <c r="M1386"/>
  <c r="P1386"/>
  <c r="R1386"/>
  <c r="S1386"/>
  <c r="T1386"/>
  <c r="U1386"/>
  <c r="X1386"/>
  <c r="Y1386"/>
  <c r="Z1386"/>
  <c r="AA1386"/>
  <c r="AB1386"/>
  <c r="AC1386"/>
  <c r="AD1386"/>
  <c r="AE1386"/>
  <c r="AF1386"/>
  <c r="AG1386"/>
  <c r="AH1386"/>
  <c r="AI1386"/>
  <c r="AJ1386"/>
  <c r="AK1386"/>
  <c r="C1387"/>
  <c r="H1387"/>
  <c r="I1387"/>
  <c r="J1387"/>
  <c r="K1387"/>
  <c r="M1387"/>
  <c r="P1387"/>
  <c r="R1387"/>
  <c r="S1387"/>
  <c r="T1387"/>
  <c r="U1387"/>
  <c r="X1387"/>
  <c r="Y1387"/>
  <c r="Z1387"/>
  <c r="AA1387"/>
  <c r="AB1387"/>
  <c r="AC1387"/>
  <c r="AD1387"/>
  <c r="AE1387"/>
  <c r="AF1387"/>
  <c r="AG1387"/>
  <c r="AH1387"/>
  <c r="AI1387"/>
  <c r="AJ1387"/>
  <c r="AK1387"/>
  <c r="C1388"/>
  <c r="H1388"/>
  <c r="I1388"/>
  <c r="J1388"/>
  <c r="K1388"/>
  <c r="M1388"/>
  <c r="P1388"/>
  <c r="R1388"/>
  <c r="S1388"/>
  <c r="T1388"/>
  <c r="U1388"/>
  <c r="X1388"/>
  <c r="Y1388"/>
  <c r="Z1388"/>
  <c r="AA1388"/>
  <c r="AB1388"/>
  <c r="AC1388"/>
  <c r="AD1388"/>
  <c r="AE1388"/>
  <c r="AF1388"/>
  <c r="AG1388"/>
  <c r="AH1388"/>
  <c r="AI1388"/>
  <c r="AJ1388"/>
  <c r="AK1388"/>
  <c r="C1389"/>
  <c r="H1389"/>
  <c r="I1389"/>
  <c r="J1389"/>
  <c r="K1389"/>
  <c r="M1389"/>
  <c r="P1389"/>
  <c r="R1389"/>
  <c r="S1389"/>
  <c r="T1389"/>
  <c r="U1389"/>
  <c r="X1389"/>
  <c r="Y1389"/>
  <c r="Z1389"/>
  <c r="AA1389"/>
  <c r="AB1389"/>
  <c r="AC1389"/>
  <c r="AD1389"/>
  <c r="AE1389"/>
  <c r="AF1389"/>
  <c r="AG1389"/>
  <c r="AH1389"/>
  <c r="AI1389"/>
  <c r="AJ1389"/>
  <c r="AK1389"/>
  <c r="C1390"/>
  <c r="H1390"/>
  <c r="I1390"/>
  <c r="J1390"/>
  <c r="K1390"/>
  <c r="M1390"/>
  <c r="P1390"/>
  <c r="R1390"/>
  <c r="S1390"/>
  <c r="T1390"/>
  <c r="U1390"/>
  <c r="X1390"/>
  <c r="Y1390"/>
  <c r="Z1390"/>
  <c r="AA1390"/>
  <c r="AB1390"/>
  <c r="AC1390"/>
  <c r="AD1390"/>
  <c r="AE1390"/>
  <c r="AF1390"/>
  <c r="AG1390"/>
  <c r="AH1390"/>
  <c r="AI1390"/>
  <c r="AJ1390"/>
  <c r="AK1390"/>
  <c r="C1391"/>
  <c r="H1391"/>
  <c r="I1391"/>
  <c r="J1391"/>
  <c r="K1391"/>
  <c r="M1391"/>
  <c r="P1391"/>
  <c r="R1391"/>
  <c r="S1391"/>
  <c r="T1391"/>
  <c r="U1391"/>
  <c r="X1391"/>
  <c r="Y1391"/>
  <c r="Z1391"/>
  <c r="AA1391"/>
  <c r="AB1391"/>
  <c r="AC1391"/>
  <c r="AD1391"/>
  <c r="AE1391"/>
  <c r="AF1391"/>
  <c r="AG1391"/>
  <c r="AH1391"/>
  <c r="AI1391"/>
  <c r="AJ1391"/>
  <c r="AK1391"/>
  <c r="C1372"/>
  <c r="H1372"/>
  <c r="I1372"/>
  <c r="J1372"/>
  <c r="K1372"/>
  <c r="M1372"/>
  <c r="P1372"/>
  <c r="R1372"/>
  <c r="S1372"/>
  <c r="T1372"/>
  <c r="U1372"/>
  <c r="X1372"/>
  <c r="Y1372"/>
  <c r="Z1372"/>
  <c r="AA1372"/>
  <c r="AB1372"/>
  <c r="AC1372"/>
  <c r="AD1372"/>
  <c r="AE1372"/>
  <c r="AF1372"/>
  <c r="AG1372"/>
  <c r="AH1372"/>
  <c r="AI1372"/>
  <c r="AJ1372"/>
  <c r="AK1372"/>
  <c r="C1373"/>
  <c r="H1373"/>
  <c r="I1373"/>
  <c r="J1373"/>
  <c r="K1373"/>
  <c r="M1373"/>
  <c r="P1373"/>
  <c r="R1373"/>
  <c r="S1373"/>
  <c r="T1373"/>
  <c r="U1373"/>
  <c r="X1373"/>
  <c r="Y1373"/>
  <c r="Z1373"/>
  <c r="AA1373"/>
  <c r="AB1373"/>
  <c r="AC1373"/>
  <c r="AD1373"/>
  <c r="AE1373"/>
  <c r="AF1373"/>
  <c r="AG1373"/>
  <c r="AH1373"/>
  <c r="AI1373"/>
  <c r="AJ1373"/>
  <c r="AK1373"/>
  <c r="C1374"/>
  <c r="H1374"/>
  <c r="I1374"/>
  <c r="J1374"/>
  <c r="K1374"/>
  <c r="M1374"/>
  <c r="P1374"/>
  <c r="R1374"/>
  <c r="S1374"/>
  <c r="T1374"/>
  <c r="U1374"/>
  <c r="X1374"/>
  <c r="Y1374"/>
  <c r="Z1374"/>
  <c r="AA1374"/>
  <c r="AB1374"/>
  <c r="AC1374"/>
  <c r="AD1374"/>
  <c r="AE1374"/>
  <c r="AF1374"/>
  <c r="AG1374"/>
  <c r="AH1374"/>
  <c r="AI1374"/>
  <c r="AJ1374"/>
  <c r="AK1374"/>
  <c r="C1375"/>
  <c r="H1375"/>
  <c r="I1375"/>
  <c r="J1375"/>
  <c r="K1375"/>
  <c r="M1375"/>
  <c r="P1375"/>
  <c r="R1375"/>
  <c r="S1375"/>
  <c r="T1375"/>
  <c r="U1375"/>
  <c r="X1375"/>
  <c r="Y1375"/>
  <c r="Z1375"/>
  <c r="AA1375"/>
  <c r="AB1375"/>
  <c r="AC1375"/>
  <c r="AD1375"/>
  <c r="AE1375"/>
  <c r="AF1375"/>
  <c r="AG1375"/>
  <c r="AH1375"/>
  <c r="AI1375"/>
  <c r="AJ1375"/>
  <c r="AK1375"/>
  <c r="C1376"/>
  <c r="H1376"/>
  <c r="I1376"/>
  <c r="J1376"/>
  <c r="K1376"/>
  <c r="M1376"/>
  <c r="P1376"/>
  <c r="R1376"/>
  <c r="S1376"/>
  <c r="T1376"/>
  <c r="U1376"/>
  <c r="X1376"/>
  <c r="Y1376"/>
  <c r="Z1376"/>
  <c r="AA1376"/>
  <c r="AB1376"/>
  <c r="AC1376"/>
  <c r="AD1376"/>
  <c r="AE1376"/>
  <c r="AF1376"/>
  <c r="AG1376"/>
  <c r="AH1376"/>
  <c r="AI1376"/>
  <c r="AJ1376"/>
  <c r="AK1376"/>
  <c r="C1377"/>
  <c r="H1377"/>
  <c r="I1377"/>
  <c r="J1377"/>
  <c r="K1377"/>
  <c r="M1377"/>
  <c r="P1377"/>
  <c r="R1377"/>
  <c r="S1377"/>
  <c r="T1377"/>
  <c r="U1377"/>
  <c r="X1377"/>
  <c r="Y1377"/>
  <c r="Z1377"/>
  <c r="AA1377"/>
  <c r="AB1377"/>
  <c r="AC1377"/>
  <c r="AD1377"/>
  <c r="AE1377"/>
  <c r="AF1377"/>
  <c r="AG1377"/>
  <c r="AH1377"/>
  <c r="AI1377"/>
  <c r="AJ1377"/>
  <c r="AK1377"/>
  <c r="C1378"/>
  <c r="H1378"/>
  <c r="I1378"/>
  <c r="J1378"/>
  <c r="K1378"/>
  <c r="M1378"/>
  <c r="P1378"/>
  <c r="R1378"/>
  <c r="S1378"/>
  <c r="T1378"/>
  <c r="U1378"/>
  <c r="X1378"/>
  <c r="Y1378"/>
  <c r="Z1378"/>
  <c r="AA1378"/>
  <c r="AB1378"/>
  <c r="AC1378"/>
  <c r="AD1378"/>
  <c r="AE1378"/>
  <c r="AF1378"/>
  <c r="AG1378"/>
  <c r="AH1378"/>
  <c r="AI1378"/>
  <c r="AJ1378"/>
  <c r="AK1378"/>
  <c r="C1379"/>
  <c r="H1379"/>
  <c r="I1379"/>
  <c r="J1379"/>
  <c r="K1379"/>
  <c r="M1379"/>
  <c r="P1379"/>
  <c r="R1379"/>
  <c r="S1379"/>
  <c r="T1379"/>
  <c r="U1379"/>
  <c r="X1379"/>
  <c r="Y1379"/>
  <c r="Z1379"/>
  <c r="AA1379"/>
  <c r="AB1379"/>
  <c r="AC1379"/>
  <c r="AD1379"/>
  <c r="AE1379"/>
  <c r="AF1379"/>
  <c r="AG1379"/>
  <c r="AH1379"/>
  <c r="AI1379"/>
  <c r="AJ1379"/>
  <c r="AK1379"/>
  <c r="C1380"/>
  <c r="H1380"/>
  <c r="I1380"/>
  <c r="J1380"/>
  <c r="K1380"/>
  <c r="M1380"/>
  <c r="P1380"/>
  <c r="R1380"/>
  <c r="S1380"/>
  <c r="T1380"/>
  <c r="U1380"/>
  <c r="X1380"/>
  <c r="Y1380"/>
  <c r="Z1380"/>
  <c r="AA1380"/>
  <c r="AB1380"/>
  <c r="AC1380"/>
  <c r="AD1380"/>
  <c r="AE1380"/>
  <c r="AF1380"/>
  <c r="AG1380"/>
  <c r="AH1380"/>
  <c r="AI1380"/>
  <c r="AJ1380"/>
  <c r="AK1380"/>
  <c r="C1381"/>
  <c r="H1381"/>
  <c r="I1381"/>
  <c r="J1381"/>
  <c r="K1381"/>
  <c r="M1381"/>
  <c r="P1381"/>
  <c r="R1381"/>
  <c r="S1381"/>
  <c r="T1381"/>
  <c r="U1381"/>
  <c r="X1381"/>
  <c r="Y1381"/>
  <c r="Z1381"/>
  <c r="AA1381"/>
  <c r="AB1381"/>
  <c r="AC1381"/>
  <c r="AD1381"/>
  <c r="AE1381"/>
  <c r="AF1381"/>
  <c r="AG1381"/>
  <c r="AH1381"/>
  <c r="AI1381"/>
  <c r="AJ1381"/>
  <c r="AK1381"/>
  <c r="C1362"/>
  <c r="H1362"/>
  <c r="I1362"/>
  <c r="J1362"/>
  <c r="K1362"/>
  <c r="M1362"/>
  <c r="P1362"/>
  <c r="R1362"/>
  <c r="S1362"/>
  <c r="T1362"/>
  <c r="U1362"/>
  <c r="X1362"/>
  <c r="Y1362"/>
  <c r="Z1362"/>
  <c r="AA1362"/>
  <c r="AB1362"/>
  <c r="AC1362"/>
  <c r="AD1362"/>
  <c r="AE1362"/>
  <c r="AF1362"/>
  <c r="AG1362"/>
  <c r="AH1362"/>
  <c r="AI1362"/>
  <c r="AJ1362"/>
  <c r="AK1362"/>
  <c r="C1363"/>
  <c r="H1363"/>
  <c r="I1363"/>
  <c r="J1363"/>
  <c r="K1363"/>
  <c r="M1363"/>
  <c r="P1363"/>
  <c r="R1363"/>
  <c r="S1363"/>
  <c r="T1363"/>
  <c r="U1363"/>
  <c r="X1363"/>
  <c r="Y1363"/>
  <c r="Z1363"/>
  <c r="AA1363"/>
  <c r="AB1363"/>
  <c r="AC1363"/>
  <c r="AD1363"/>
  <c r="AE1363"/>
  <c r="AF1363"/>
  <c r="AG1363"/>
  <c r="AH1363"/>
  <c r="AI1363"/>
  <c r="AJ1363"/>
  <c r="AK1363"/>
  <c r="C1364"/>
  <c r="H1364"/>
  <c r="I1364"/>
  <c r="J1364"/>
  <c r="K1364"/>
  <c r="M1364"/>
  <c r="P1364"/>
  <c r="R1364"/>
  <c r="S1364"/>
  <c r="T1364"/>
  <c r="U1364"/>
  <c r="X1364"/>
  <c r="Y1364"/>
  <c r="Z1364"/>
  <c r="AA1364"/>
  <c r="AB1364"/>
  <c r="AC1364"/>
  <c r="AD1364"/>
  <c r="AE1364"/>
  <c r="AF1364"/>
  <c r="AG1364"/>
  <c r="AH1364"/>
  <c r="AI1364"/>
  <c r="AJ1364"/>
  <c r="AK1364"/>
  <c r="C1365"/>
  <c r="H1365"/>
  <c r="I1365"/>
  <c r="J1365"/>
  <c r="K1365"/>
  <c r="M1365"/>
  <c r="P1365"/>
  <c r="R1365"/>
  <c r="S1365"/>
  <c r="T1365"/>
  <c r="U1365"/>
  <c r="X1365"/>
  <c r="Y1365"/>
  <c r="Z1365"/>
  <c r="AA1365"/>
  <c r="AB1365"/>
  <c r="AC1365"/>
  <c r="AD1365"/>
  <c r="AE1365"/>
  <c r="AF1365"/>
  <c r="AG1365"/>
  <c r="AH1365"/>
  <c r="AI1365"/>
  <c r="AJ1365"/>
  <c r="AK1365"/>
  <c r="C1366"/>
  <c r="H1366"/>
  <c r="I1366"/>
  <c r="J1366"/>
  <c r="K1366"/>
  <c r="M1366"/>
  <c r="P1366"/>
  <c r="R1366"/>
  <c r="S1366"/>
  <c r="T1366"/>
  <c r="U1366"/>
  <c r="X1366"/>
  <c r="Y1366"/>
  <c r="Z1366"/>
  <c r="AA1366"/>
  <c r="AB1366"/>
  <c r="AC1366"/>
  <c r="AD1366"/>
  <c r="AE1366"/>
  <c r="AF1366"/>
  <c r="AG1366"/>
  <c r="AH1366"/>
  <c r="AI1366"/>
  <c r="AJ1366"/>
  <c r="AK1366"/>
  <c r="C1367"/>
  <c r="H1367"/>
  <c r="I1367"/>
  <c r="J1367"/>
  <c r="K1367"/>
  <c r="M1367"/>
  <c r="P1367"/>
  <c r="R1367"/>
  <c r="S1367"/>
  <c r="T1367"/>
  <c r="U1367"/>
  <c r="X1367"/>
  <c r="Y1367"/>
  <c r="Z1367"/>
  <c r="AA1367"/>
  <c r="AB1367"/>
  <c r="AC1367"/>
  <c r="AD1367"/>
  <c r="AE1367"/>
  <c r="AF1367"/>
  <c r="AG1367"/>
  <c r="AH1367"/>
  <c r="AI1367"/>
  <c r="AJ1367"/>
  <c r="AK1367"/>
  <c r="C1368"/>
  <c r="H1368"/>
  <c r="I1368"/>
  <c r="J1368"/>
  <c r="K1368"/>
  <c r="M1368"/>
  <c r="P1368"/>
  <c r="R1368"/>
  <c r="S1368"/>
  <c r="T1368"/>
  <c r="U1368"/>
  <c r="X1368"/>
  <c r="Y1368"/>
  <c r="Z1368"/>
  <c r="AA1368"/>
  <c r="AB1368"/>
  <c r="AC1368"/>
  <c r="AD1368"/>
  <c r="AE1368"/>
  <c r="AF1368"/>
  <c r="AG1368"/>
  <c r="AH1368"/>
  <c r="AI1368"/>
  <c r="AJ1368"/>
  <c r="AK1368"/>
  <c r="C1369"/>
  <c r="H1369"/>
  <c r="I1369"/>
  <c r="J1369"/>
  <c r="K1369"/>
  <c r="M1369"/>
  <c r="P1369"/>
  <c r="R1369"/>
  <c r="S1369"/>
  <c r="T1369"/>
  <c r="U1369"/>
  <c r="X1369"/>
  <c r="Y1369"/>
  <c r="Z1369"/>
  <c r="AA1369"/>
  <c r="AB1369"/>
  <c r="AC1369"/>
  <c r="AD1369"/>
  <c r="AE1369"/>
  <c r="AF1369"/>
  <c r="AG1369"/>
  <c r="AH1369"/>
  <c r="AI1369"/>
  <c r="AJ1369"/>
  <c r="AK1369"/>
  <c r="C1370"/>
  <c r="H1370"/>
  <c r="I1370"/>
  <c r="J1370"/>
  <c r="K1370"/>
  <c r="M1370"/>
  <c r="P1370"/>
  <c r="R1370"/>
  <c r="S1370"/>
  <c r="T1370"/>
  <c r="U1370"/>
  <c r="X1370"/>
  <c r="Y1370"/>
  <c r="Z1370"/>
  <c r="AA1370"/>
  <c r="AB1370"/>
  <c r="AC1370"/>
  <c r="AD1370"/>
  <c r="AE1370"/>
  <c r="AF1370"/>
  <c r="AG1370"/>
  <c r="AH1370"/>
  <c r="AI1370"/>
  <c r="AJ1370"/>
  <c r="AK1370"/>
  <c r="C1371"/>
  <c r="H1371"/>
  <c r="I1371"/>
  <c r="J1371"/>
  <c r="K1371"/>
  <c r="M1371"/>
  <c r="P1371"/>
  <c r="R1371"/>
  <c r="S1371"/>
  <c r="T1371"/>
  <c r="U1371"/>
  <c r="X1371"/>
  <c r="Y1371"/>
  <c r="Z1371"/>
  <c r="AA1371"/>
  <c r="AB1371"/>
  <c r="AC1371"/>
  <c r="AD1371"/>
  <c r="AE1371"/>
  <c r="AF1371"/>
  <c r="AG1371"/>
  <c r="AH1371"/>
  <c r="AI1371"/>
  <c r="AJ1371"/>
  <c r="AK1371"/>
  <c r="C1352"/>
  <c r="H1352"/>
  <c r="I1352"/>
  <c r="J1352"/>
  <c r="K1352"/>
  <c r="M1352"/>
  <c r="P1352"/>
  <c r="R1352"/>
  <c r="S1352"/>
  <c r="T1352"/>
  <c r="U1352"/>
  <c r="X1352"/>
  <c r="Y1352"/>
  <c r="Z1352"/>
  <c r="AA1352"/>
  <c r="AB1352"/>
  <c r="AC1352"/>
  <c r="AD1352"/>
  <c r="AE1352"/>
  <c r="AF1352"/>
  <c r="AG1352"/>
  <c r="AH1352"/>
  <c r="AI1352"/>
  <c r="AJ1352"/>
  <c r="AK1352"/>
  <c r="C1353"/>
  <c r="H1353"/>
  <c r="I1353"/>
  <c r="J1353"/>
  <c r="K1353"/>
  <c r="M1353"/>
  <c r="P1353"/>
  <c r="R1353"/>
  <c r="S1353"/>
  <c r="T1353"/>
  <c r="U1353"/>
  <c r="X1353"/>
  <c r="Y1353"/>
  <c r="Z1353"/>
  <c r="AA1353"/>
  <c r="AB1353"/>
  <c r="AC1353"/>
  <c r="AD1353"/>
  <c r="AE1353"/>
  <c r="AF1353"/>
  <c r="AG1353"/>
  <c r="AH1353"/>
  <c r="AI1353"/>
  <c r="AJ1353"/>
  <c r="AK1353"/>
  <c r="C1354"/>
  <c r="H1354"/>
  <c r="I1354"/>
  <c r="J1354"/>
  <c r="K1354"/>
  <c r="M1354"/>
  <c r="P1354"/>
  <c r="R1354"/>
  <c r="S1354"/>
  <c r="T1354"/>
  <c r="U1354"/>
  <c r="X1354"/>
  <c r="Y1354"/>
  <c r="Z1354"/>
  <c r="AA1354"/>
  <c r="AB1354"/>
  <c r="AC1354"/>
  <c r="AD1354"/>
  <c r="AE1354"/>
  <c r="AF1354"/>
  <c r="AG1354"/>
  <c r="AH1354"/>
  <c r="AI1354"/>
  <c r="AJ1354"/>
  <c r="AK1354"/>
  <c r="C1355"/>
  <c r="H1355"/>
  <c r="I1355"/>
  <c r="J1355"/>
  <c r="K1355"/>
  <c r="M1355"/>
  <c r="P1355"/>
  <c r="R1355"/>
  <c r="S1355"/>
  <c r="T1355"/>
  <c r="U1355"/>
  <c r="X1355"/>
  <c r="Y1355"/>
  <c r="Z1355"/>
  <c r="AA1355"/>
  <c r="AB1355"/>
  <c r="AC1355"/>
  <c r="AD1355"/>
  <c r="AE1355"/>
  <c r="AF1355"/>
  <c r="AG1355"/>
  <c r="AH1355"/>
  <c r="AI1355"/>
  <c r="AJ1355"/>
  <c r="AK1355"/>
  <c r="C1356"/>
  <c r="H1356"/>
  <c r="I1356"/>
  <c r="J1356"/>
  <c r="K1356"/>
  <c r="M1356"/>
  <c r="P1356"/>
  <c r="R1356"/>
  <c r="S1356"/>
  <c r="T1356"/>
  <c r="U1356"/>
  <c r="X1356"/>
  <c r="Y1356"/>
  <c r="Z1356"/>
  <c r="AA1356"/>
  <c r="AB1356"/>
  <c r="AC1356"/>
  <c r="AD1356"/>
  <c r="AE1356"/>
  <c r="AF1356"/>
  <c r="AG1356"/>
  <c r="AH1356"/>
  <c r="AI1356"/>
  <c r="AJ1356"/>
  <c r="AK1356"/>
  <c r="C1357"/>
  <c r="H1357"/>
  <c r="I1357"/>
  <c r="J1357"/>
  <c r="K1357"/>
  <c r="M1357"/>
  <c r="P1357"/>
  <c r="R1357"/>
  <c r="S1357"/>
  <c r="T1357"/>
  <c r="U1357"/>
  <c r="X1357"/>
  <c r="Y1357"/>
  <c r="Z1357"/>
  <c r="AA1357"/>
  <c r="AB1357"/>
  <c r="AC1357"/>
  <c r="AD1357"/>
  <c r="AE1357"/>
  <c r="AF1357"/>
  <c r="AG1357"/>
  <c r="AH1357"/>
  <c r="AI1357"/>
  <c r="AJ1357"/>
  <c r="AK1357"/>
  <c r="C1358"/>
  <c r="H1358"/>
  <c r="I1358"/>
  <c r="J1358"/>
  <c r="K1358"/>
  <c r="M1358"/>
  <c r="P1358"/>
  <c r="R1358"/>
  <c r="S1358"/>
  <c r="T1358"/>
  <c r="U1358"/>
  <c r="X1358"/>
  <c r="Y1358"/>
  <c r="Z1358"/>
  <c r="AA1358"/>
  <c r="AB1358"/>
  <c r="AC1358"/>
  <c r="AD1358"/>
  <c r="AE1358"/>
  <c r="AF1358"/>
  <c r="AG1358"/>
  <c r="AH1358"/>
  <c r="AI1358"/>
  <c r="AJ1358"/>
  <c r="AK1358"/>
  <c r="C1359"/>
  <c r="H1359"/>
  <c r="I1359"/>
  <c r="J1359"/>
  <c r="K1359"/>
  <c r="M1359"/>
  <c r="P1359"/>
  <c r="R1359"/>
  <c r="S1359"/>
  <c r="T1359"/>
  <c r="U1359"/>
  <c r="X1359"/>
  <c r="Y1359"/>
  <c r="Z1359"/>
  <c r="AA1359"/>
  <c r="AB1359"/>
  <c r="AC1359"/>
  <c r="AD1359"/>
  <c r="AE1359"/>
  <c r="AF1359"/>
  <c r="AG1359"/>
  <c r="AH1359"/>
  <c r="AI1359"/>
  <c r="AJ1359"/>
  <c r="AK1359"/>
  <c r="C1360"/>
  <c r="H1360"/>
  <c r="I1360"/>
  <c r="J1360"/>
  <c r="K1360"/>
  <c r="M1360"/>
  <c r="P1360"/>
  <c r="R1360"/>
  <c r="S1360"/>
  <c r="T1360"/>
  <c r="U1360"/>
  <c r="X1360"/>
  <c r="Y1360"/>
  <c r="Z1360"/>
  <c r="AA1360"/>
  <c r="AB1360"/>
  <c r="AC1360"/>
  <c r="AD1360"/>
  <c r="AE1360"/>
  <c r="AF1360"/>
  <c r="AG1360"/>
  <c r="AH1360"/>
  <c r="AI1360"/>
  <c r="AJ1360"/>
  <c r="AK1360"/>
  <c r="C1361"/>
  <c r="H1361"/>
  <c r="I1361"/>
  <c r="J1361"/>
  <c r="K1361"/>
  <c r="M1361"/>
  <c r="P1361"/>
  <c r="R1361"/>
  <c r="S1361"/>
  <c r="T1361"/>
  <c r="U1361"/>
  <c r="X1361"/>
  <c r="Y1361"/>
  <c r="Z1361"/>
  <c r="AA1361"/>
  <c r="AB1361"/>
  <c r="AC1361"/>
  <c r="AD1361"/>
  <c r="AE1361"/>
  <c r="AF1361"/>
  <c r="AG1361"/>
  <c r="AH1361"/>
  <c r="AI1361"/>
  <c r="AJ1361"/>
  <c r="AK1361"/>
  <c r="C1342"/>
  <c r="H1342"/>
  <c r="I1342"/>
  <c r="J1342"/>
  <c r="K1342"/>
  <c r="M1342"/>
  <c r="P1342"/>
  <c r="R1342"/>
  <c r="S1342"/>
  <c r="T1342"/>
  <c r="U1342"/>
  <c r="X1342"/>
  <c r="Y1342"/>
  <c r="Z1342"/>
  <c r="AA1342"/>
  <c r="AB1342"/>
  <c r="AC1342"/>
  <c r="AD1342"/>
  <c r="AE1342"/>
  <c r="AF1342"/>
  <c r="AG1342"/>
  <c r="AH1342"/>
  <c r="AI1342"/>
  <c r="AJ1342"/>
  <c r="AK1342"/>
  <c r="C1343"/>
  <c r="H1343"/>
  <c r="I1343"/>
  <c r="J1343"/>
  <c r="K1343"/>
  <c r="M1343"/>
  <c r="P1343"/>
  <c r="R1343"/>
  <c r="S1343"/>
  <c r="T1343"/>
  <c r="U1343"/>
  <c r="X1343"/>
  <c r="Y1343"/>
  <c r="Z1343"/>
  <c r="AA1343"/>
  <c r="AB1343"/>
  <c r="AC1343"/>
  <c r="AD1343"/>
  <c r="AE1343"/>
  <c r="AF1343"/>
  <c r="AG1343"/>
  <c r="AH1343"/>
  <c r="AI1343"/>
  <c r="AJ1343"/>
  <c r="AK1343"/>
  <c r="C1344"/>
  <c r="H1344"/>
  <c r="I1344"/>
  <c r="J1344"/>
  <c r="K1344"/>
  <c r="M1344"/>
  <c r="P1344"/>
  <c r="R1344"/>
  <c r="S1344"/>
  <c r="T1344"/>
  <c r="U1344"/>
  <c r="X1344"/>
  <c r="Y1344"/>
  <c r="Z1344"/>
  <c r="AA1344"/>
  <c r="AB1344"/>
  <c r="AC1344"/>
  <c r="AD1344"/>
  <c r="AE1344"/>
  <c r="AF1344"/>
  <c r="AG1344"/>
  <c r="AH1344"/>
  <c r="AI1344"/>
  <c r="AJ1344"/>
  <c r="AK1344"/>
  <c r="C1345"/>
  <c r="H1345"/>
  <c r="I1345"/>
  <c r="J1345"/>
  <c r="K1345"/>
  <c r="M1345"/>
  <c r="P1345"/>
  <c r="R1345"/>
  <c r="S1345"/>
  <c r="T1345"/>
  <c r="U1345"/>
  <c r="X1345"/>
  <c r="Y1345"/>
  <c r="Z1345"/>
  <c r="AA1345"/>
  <c r="AB1345"/>
  <c r="AC1345"/>
  <c r="AD1345"/>
  <c r="AE1345"/>
  <c r="AF1345"/>
  <c r="AG1345"/>
  <c r="AH1345"/>
  <c r="AI1345"/>
  <c r="AJ1345"/>
  <c r="AK1345"/>
  <c r="C1346"/>
  <c r="H1346"/>
  <c r="I1346"/>
  <c r="J1346"/>
  <c r="K1346"/>
  <c r="M1346"/>
  <c r="P1346"/>
  <c r="R1346"/>
  <c r="S1346"/>
  <c r="T1346"/>
  <c r="U1346"/>
  <c r="X1346"/>
  <c r="Y1346"/>
  <c r="Z1346"/>
  <c r="AA1346"/>
  <c r="AB1346"/>
  <c r="AC1346"/>
  <c r="AD1346"/>
  <c r="AE1346"/>
  <c r="AF1346"/>
  <c r="AG1346"/>
  <c r="AH1346"/>
  <c r="AI1346"/>
  <c r="AJ1346"/>
  <c r="AK1346"/>
  <c r="C1347"/>
  <c r="H1347"/>
  <c r="I1347"/>
  <c r="J1347"/>
  <c r="K1347"/>
  <c r="M1347"/>
  <c r="P1347"/>
  <c r="R1347"/>
  <c r="S1347"/>
  <c r="T1347"/>
  <c r="U1347"/>
  <c r="X1347"/>
  <c r="Y1347"/>
  <c r="Z1347"/>
  <c r="AA1347"/>
  <c r="AB1347"/>
  <c r="AC1347"/>
  <c r="AD1347"/>
  <c r="AE1347"/>
  <c r="AF1347"/>
  <c r="AG1347"/>
  <c r="AH1347"/>
  <c r="AI1347"/>
  <c r="AJ1347"/>
  <c r="AK1347"/>
  <c r="C1348"/>
  <c r="H1348"/>
  <c r="I1348"/>
  <c r="J1348"/>
  <c r="K1348"/>
  <c r="M1348"/>
  <c r="P1348"/>
  <c r="R1348"/>
  <c r="S1348"/>
  <c r="T1348"/>
  <c r="U1348"/>
  <c r="X1348"/>
  <c r="Y1348"/>
  <c r="Z1348"/>
  <c r="AA1348"/>
  <c r="AB1348"/>
  <c r="AC1348"/>
  <c r="AD1348"/>
  <c r="AE1348"/>
  <c r="AF1348"/>
  <c r="AG1348"/>
  <c r="AH1348"/>
  <c r="AI1348"/>
  <c r="AJ1348"/>
  <c r="AK1348"/>
  <c r="C1349"/>
  <c r="H1349"/>
  <c r="I1349"/>
  <c r="J1349"/>
  <c r="K1349"/>
  <c r="M1349"/>
  <c r="P1349"/>
  <c r="R1349"/>
  <c r="S1349"/>
  <c r="T1349"/>
  <c r="U1349"/>
  <c r="X1349"/>
  <c r="Y1349"/>
  <c r="Z1349"/>
  <c r="AA1349"/>
  <c r="AB1349"/>
  <c r="AC1349"/>
  <c r="AD1349"/>
  <c r="AE1349"/>
  <c r="AF1349"/>
  <c r="AG1349"/>
  <c r="AH1349"/>
  <c r="AI1349"/>
  <c r="AJ1349"/>
  <c r="AK1349"/>
  <c r="C1350"/>
  <c r="H1350"/>
  <c r="I1350"/>
  <c r="J1350"/>
  <c r="K1350"/>
  <c r="M1350"/>
  <c r="P1350"/>
  <c r="R1350"/>
  <c r="S1350"/>
  <c r="T1350"/>
  <c r="U1350"/>
  <c r="X1350"/>
  <c r="Y1350"/>
  <c r="Z1350"/>
  <c r="AA1350"/>
  <c r="AB1350"/>
  <c r="AC1350"/>
  <c r="AD1350"/>
  <c r="AE1350"/>
  <c r="AF1350"/>
  <c r="AG1350"/>
  <c r="AH1350"/>
  <c r="AI1350"/>
  <c r="AJ1350"/>
  <c r="AK1350"/>
  <c r="C1351"/>
  <c r="H1351"/>
  <c r="I1351"/>
  <c r="J1351"/>
  <c r="K1351"/>
  <c r="M1351"/>
  <c r="P1351"/>
  <c r="R1351"/>
  <c r="S1351"/>
  <c r="T1351"/>
  <c r="U1351"/>
  <c r="X1351"/>
  <c r="Y1351"/>
  <c r="Z1351"/>
  <c r="AA1351"/>
  <c r="AB1351"/>
  <c r="AC1351"/>
  <c r="AD1351"/>
  <c r="AE1351"/>
  <c r="AF1351"/>
  <c r="AG1351"/>
  <c r="AH1351"/>
  <c r="AI1351"/>
  <c r="AJ1351"/>
  <c r="AK1351"/>
  <c r="C1332"/>
  <c r="H1332"/>
  <c r="I1332"/>
  <c r="J1332"/>
  <c r="K1332"/>
  <c r="M1332"/>
  <c r="P1332"/>
  <c r="R1332"/>
  <c r="S1332"/>
  <c r="T1332"/>
  <c r="U1332"/>
  <c r="X1332"/>
  <c r="Y1332"/>
  <c r="Z1332"/>
  <c r="AA1332"/>
  <c r="AB1332"/>
  <c r="AC1332"/>
  <c r="AD1332"/>
  <c r="AE1332"/>
  <c r="AF1332"/>
  <c r="AG1332"/>
  <c r="AH1332"/>
  <c r="AI1332"/>
  <c r="AJ1332"/>
  <c r="AK1332"/>
  <c r="C1333"/>
  <c r="H1333"/>
  <c r="I1333"/>
  <c r="J1333"/>
  <c r="K1333"/>
  <c r="M1333"/>
  <c r="P1333"/>
  <c r="R1333"/>
  <c r="S1333"/>
  <c r="T1333"/>
  <c r="U1333"/>
  <c r="X1333"/>
  <c r="Y1333"/>
  <c r="Z1333"/>
  <c r="AA1333"/>
  <c r="AB1333"/>
  <c r="AC1333"/>
  <c r="AD1333"/>
  <c r="AE1333"/>
  <c r="AF1333"/>
  <c r="AG1333"/>
  <c r="AH1333"/>
  <c r="AI1333"/>
  <c r="AJ1333"/>
  <c r="AK1333"/>
  <c r="C1334"/>
  <c r="H1334"/>
  <c r="I1334"/>
  <c r="J1334"/>
  <c r="K1334"/>
  <c r="M1334"/>
  <c r="P1334"/>
  <c r="R1334"/>
  <c r="S1334"/>
  <c r="T1334"/>
  <c r="U1334"/>
  <c r="X1334"/>
  <c r="Y1334"/>
  <c r="Z1334"/>
  <c r="AA1334"/>
  <c r="AB1334"/>
  <c r="AC1334"/>
  <c r="AD1334"/>
  <c r="AE1334"/>
  <c r="AF1334"/>
  <c r="AG1334"/>
  <c r="AH1334"/>
  <c r="AI1334"/>
  <c r="AJ1334"/>
  <c r="AK1334"/>
  <c r="C1335"/>
  <c r="H1335"/>
  <c r="I1335"/>
  <c r="J1335"/>
  <c r="K1335"/>
  <c r="M1335"/>
  <c r="P1335"/>
  <c r="R1335"/>
  <c r="S1335"/>
  <c r="T1335"/>
  <c r="U1335"/>
  <c r="X1335"/>
  <c r="Y1335"/>
  <c r="Z1335"/>
  <c r="AA1335"/>
  <c r="AB1335"/>
  <c r="AC1335"/>
  <c r="AD1335"/>
  <c r="AE1335"/>
  <c r="AF1335"/>
  <c r="AG1335"/>
  <c r="AH1335"/>
  <c r="AI1335"/>
  <c r="AJ1335"/>
  <c r="AK1335"/>
  <c r="C1336"/>
  <c r="H1336"/>
  <c r="I1336"/>
  <c r="J1336"/>
  <c r="K1336"/>
  <c r="M1336"/>
  <c r="P1336"/>
  <c r="R1336"/>
  <c r="S1336"/>
  <c r="T1336"/>
  <c r="U1336"/>
  <c r="X1336"/>
  <c r="Y1336"/>
  <c r="Z1336"/>
  <c r="AA1336"/>
  <c r="AB1336"/>
  <c r="AC1336"/>
  <c r="AD1336"/>
  <c r="AE1336"/>
  <c r="AF1336"/>
  <c r="AG1336"/>
  <c r="AH1336"/>
  <c r="AI1336"/>
  <c r="AJ1336"/>
  <c r="AK1336"/>
  <c r="C1337"/>
  <c r="H1337"/>
  <c r="I1337"/>
  <c r="J1337"/>
  <c r="K1337"/>
  <c r="M1337"/>
  <c r="P1337"/>
  <c r="R1337"/>
  <c r="S1337"/>
  <c r="T1337"/>
  <c r="U1337"/>
  <c r="X1337"/>
  <c r="Y1337"/>
  <c r="Z1337"/>
  <c r="AA1337"/>
  <c r="AB1337"/>
  <c r="AC1337"/>
  <c r="AD1337"/>
  <c r="AE1337"/>
  <c r="AF1337"/>
  <c r="AG1337"/>
  <c r="AH1337"/>
  <c r="AI1337"/>
  <c r="AJ1337"/>
  <c r="AK1337"/>
  <c r="C1338"/>
  <c r="H1338"/>
  <c r="I1338"/>
  <c r="J1338"/>
  <c r="K1338"/>
  <c r="M1338"/>
  <c r="P1338"/>
  <c r="R1338"/>
  <c r="S1338"/>
  <c r="T1338"/>
  <c r="U1338"/>
  <c r="X1338"/>
  <c r="Y1338"/>
  <c r="Z1338"/>
  <c r="AA1338"/>
  <c r="AB1338"/>
  <c r="AC1338"/>
  <c r="AD1338"/>
  <c r="AE1338"/>
  <c r="AF1338"/>
  <c r="AG1338"/>
  <c r="AH1338"/>
  <c r="AI1338"/>
  <c r="AJ1338"/>
  <c r="AK1338"/>
  <c r="C1339"/>
  <c r="H1339"/>
  <c r="I1339"/>
  <c r="J1339"/>
  <c r="K1339"/>
  <c r="M1339"/>
  <c r="P1339"/>
  <c r="R1339"/>
  <c r="S1339"/>
  <c r="T1339"/>
  <c r="U1339"/>
  <c r="X1339"/>
  <c r="Y1339"/>
  <c r="Z1339"/>
  <c r="AA1339"/>
  <c r="AB1339"/>
  <c r="AC1339"/>
  <c r="AD1339"/>
  <c r="AE1339"/>
  <c r="AF1339"/>
  <c r="AG1339"/>
  <c r="AH1339"/>
  <c r="AI1339"/>
  <c r="AJ1339"/>
  <c r="AK1339"/>
  <c r="C1340"/>
  <c r="H1340"/>
  <c r="I1340"/>
  <c r="J1340"/>
  <c r="K1340"/>
  <c r="M1340"/>
  <c r="P1340"/>
  <c r="R1340"/>
  <c r="S1340"/>
  <c r="T1340"/>
  <c r="U1340"/>
  <c r="X1340"/>
  <c r="Y1340"/>
  <c r="Z1340"/>
  <c r="AA1340"/>
  <c r="AB1340"/>
  <c r="AC1340"/>
  <c r="AD1340"/>
  <c r="AE1340"/>
  <c r="AF1340"/>
  <c r="AG1340"/>
  <c r="AH1340"/>
  <c r="AI1340"/>
  <c r="AJ1340"/>
  <c r="AK1340"/>
  <c r="C1341"/>
  <c r="H1341"/>
  <c r="I1341"/>
  <c r="J1341"/>
  <c r="K1341"/>
  <c r="M1341"/>
  <c r="P1341"/>
  <c r="R1341"/>
  <c r="S1341"/>
  <c r="T1341"/>
  <c r="U1341"/>
  <c r="X1341"/>
  <c r="Y1341"/>
  <c r="Z1341"/>
  <c r="AA1341"/>
  <c r="AB1341"/>
  <c r="AC1341"/>
  <c r="AD1341"/>
  <c r="AE1341"/>
  <c r="AF1341"/>
  <c r="AG1341"/>
  <c r="AH1341"/>
  <c r="AI1341"/>
  <c r="AJ1341"/>
  <c r="AK1341"/>
  <c r="C1322"/>
  <c r="H1322"/>
  <c r="I1322"/>
  <c r="J1322"/>
  <c r="K1322"/>
  <c r="M1322"/>
  <c r="P1322"/>
  <c r="R1322"/>
  <c r="S1322"/>
  <c r="T1322"/>
  <c r="U1322"/>
  <c r="X1322"/>
  <c r="Y1322"/>
  <c r="Z1322"/>
  <c r="AA1322"/>
  <c r="AB1322"/>
  <c r="AC1322"/>
  <c r="AD1322"/>
  <c r="AE1322"/>
  <c r="AF1322"/>
  <c r="AG1322"/>
  <c r="AH1322"/>
  <c r="AI1322"/>
  <c r="AJ1322"/>
  <c r="AK1322"/>
  <c r="C1323"/>
  <c r="H1323"/>
  <c r="I1323"/>
  <c r="J1323"/>
  <c r="K1323"/>
  <c r="M1323"/>
  <c r="P1323"/>
  <c r="R1323"/>
  <c r="S1323"/>
  <c r="T1323"/>
  <c r="U1323"/>
  <c r="X1323"/>
  <c r="Y1323"/>
  <c r="Z1323"/>
  <c r="AA1323"/>
  <c r="AB1323"/>
  <c r="AC1323"/>
  <c r="AD1323"/>
  <c r="AE1323"/>
  <c r="AF1323"/>
  <c r="AG1323"/>
  <c r="AH1323"/>
  <c r="AI1323"/>
  <c r="AJ1323"/>
  <c r="AK1323"/>
  <c r="C1324"/>
  <c r="H1324"/>
  <c r="I1324"/>
  <c r="J1324"/>
  <c r="K1324"/>
  <c r="M1324"/>
  <c r="P1324"/>
  <c r="R1324"/>
  <c r="S1324"/>
  <c r="T1324"/>
  <c r="U1324"/>
  <c r="X1324"/>
  <c r="Y1324"/>
  <c r="Z1324"/>
  <c r="AA1324"/>
  <c r="AB1324"/>
  <c r="AC1324"/>
  <c r="AD1324"/>
  <c r="AE1324"/>
  <c r="AF1324"/>
  <c r="AG1324"/>
  <c r="AH1324"/>
  <c r="AI1324"/>
  <c r="AJ1324"/>
  <c r="AK1324"/>
  <c r="C1325"/>
  <c r="H1325"/>
  <c r="I1325"/>
  <c r="J1325"/>
  <c r="K1325"/>
  <c r="M1325"/>
  <c r="P1325"/>
  <c r="R1325"/>
  <c r="S1325"/>
  <c r="T1325"/>
  <c r="U1325"/>
  <c r="X1325"/>
  <c r="Y1325"/>
  <c r="Z1325"/>
  <c r="AA1325"/>
  <c r="AB1325"/>
  <c r="AC1325"/>
  <c r="AD1325"/>
  <c r="AE1325"/>
  <c r="AF1325"/>
  <c r="AG1325"/>
  <c r="AH1325"/>
  <c r="AI1325"/>
  <c r="AJ1325"/>
  <c r="AK1325"/>
  <c r="C1326"/>
  <c r="H1326"/>
  <c r="I1326"/>
  <c r="J1326"/>
  <c r="K1326"/>
  <c r="M1326"/>
  <c r="P1326"/>
  <c r="R1326"/>
  <c r="S1326"/>
  <c r="T1326"/>
  <c r="U1326"/>
  <c r="X1326"/>
  <c r="Y1326"/>
  <c r="Z1326"/>
  <c r="AA1326"/>
  <c r="AB1326"/>
  <c r="AC1326"/>
  <c r="AD1326"/>
  <c r="AE1326"/>
  <c r="AF1326"/>
  <c r="AG1326"/>
  <c r="AH1326"/>
  <c r="AI1326"/>
  <c r="AJ1326"/>
  <c r="AK1326"/>
  <c r="C1327"/>
  <c r="H1327"/>
  <c r="I1327"/>
  <c r="J1327"/>
  <c r="K1327"/>
  <c r="M1327"/>
  <c r="P1327"/>
  <c r="R1327"/>
  <c r="S1327"/>
  <c r="T1327"/>
  <c r="U1327"/>
  <c r="X1327"/>
  <c r="Y1327"/>
  <c r="Z1327"/>
  <c r="AA1327"/>
  <c r="AB1327"/>
  <c r="AC1327"/>
  <c r="AD1327"/>
  <c r="AE1327"/>
  <c r="AF1327"/>
  <c r="AG1327"/>
  <c r="AH1327"/>
  <c r="AI1327"/>
  <c r="AJ1327"/>
  <c r="AK1327"/>
  <c r="C1328"/>
  <c r="H1328"/>
  <c r="I1328"/>
  <c r="J1328"/>
  <c r="K1328"/>
  <c r="M1328"/>
  <c r="P1328"/>
  <c r="R1328"/>
  <c r="S1328"/>
  <c r="T1328"/>
  <c r="U1328"/>
  <c r="X1328"/>
  <c r="Y1328"/>
  <c r="Z1328"/>
  <c r="AA1328"/>
  <c r="AB1328"/>
  <c r="AC1328"/>
  <c r="AD1328"/>
  <c r="AE1328"/>
  <c r="AF1328"/>
  <c r="AG1328"/>
  <c r="AH1328"/>
  <c r="AI1328"/>
  <c r="AJ1328"/>
  <c r="AK1328"/>
  <c r="C1329"/>
  <c r="H1329"/>
  <c r="I1329"/>
  <c r="J1329"/>
  <c r="K1329"/>
  <c r="M1329"/>
  <c r="P1329"/>
  <c r="R1329"/>
  <c r="S1329"/>
  <c r="T1329"/>
  <c r="U1329"/>
  <c r="X1329"/>
  <c r="Y1329"/>
  <c r="Z1329"/>
  <c r="AA1329"/>
  <c r="AB1329"/>
  <c r="AC1329"/>
  <c r="AD1329"/>
  <c r="AE1329"/>
  <c r="AF1329"/>
  <c r="AG1329"/>
  <c r="AH1329"/>
  <c r="AI1329"/>
  <c r="AJ1329"/>
  <c r="AK1329"/>
  <c r="C1330"/>
  <c r="H1330"/>
  <c r="I1330"/>
  <c r="J1330"/>
  <c r="K1330"/>
  <c r="M1330"/>
  <c r="P1330"/>
  <c r="R1330"/>
  <c r="S1330"/>
  <c r="T1330"/>
  <c r="U1330"/>
  <c r="X1330"/>
  <c r="Y1330"/>
  <c r="Z1330"/>
  <c r="AA1330"/>
  <c r="AB1330"/>
  <c r="AC1330"/>
  <c r="AD1330"/>
  <c r="AE1330"/>
  <c r="AF1330"/>
  <c r="AG1330"/>
  <c r="AH1330"/>
  <c r="AI1330"/>
  <c r="AJ1330"/>
  <c r="AK1330"/>
  <c r="C1331"/>
  <c r="H1331"/>
  <c r="I1331"/>
  <c r="J1331"/>
  <c r="K1331"/>
  <c r="M1331"/>
  <c r="P1331"/>
  <c r="R1331"/>
  <c r="S1331"/>
  <c r="T1331"/>
  <c r="U1331"/>
  <c r="X1331"/>
  <c r="Y1331"/>
  <c r="Z1331"/>
  <c r="AA1331"/>
  <c r="AB1331"/>
  <c r="AC1331"/>
  <c r="AD1331"/>
  <c r="AE1331"/>
  <c r="AF1331"/>
  <c r="AG1331"/>
  <c r="AH1331"/>
  <c r="AI1331"/>
  <c r="AJ1331"/>
  <c r="AK1331"/>
  <c r="C1312"/>
  <c r="H1312"/>
  <c r="I1312"/>
  <c r="J1312"/>
  <c r="K1312"/>
  <c r="M1312"/>
  <c r="P1312"/>
  <c r="R1312"/>
  <c r="S1312"/>
  <c r="T1312"/>
  <c r="U1312"/>
  <c r="X1312"/>
  <c r="Y1312"/>
  <c r="Z1312"/>
  <c r="AA1312"/>
  <c r="AB1312"/>
  <c r="AC1312"/>
  <c r="AD1312"/>
  <c r="AE1312"/>
  <c r="AF1312"/>
  <c r="AG1312"/>
  <c r="AH1312"/>
  <c r="AI1312"/>
  <c r="AJ1312"/>
  <c r="AK1312"/>
  <c r="C1313"/>
  <c r="H1313"/>
  <c r="I1313"/>
  <c r="J1313"/>
  <c r="K1313"/>
  <c r="M1313"/>
  <c r="P1313"/>
  <c r="R1313"/>
  <c r="S1313"/>
  <c r="T1313"/>
  <c r="U1313"/>
  <c r="X1313"/>
  <c r="Y1313"/>
  <c r="Z1313"/>
  <c r="AA1313"/>
  <c r="AB1313"/>
  <c r="AC1313"/>
  <c r="AD1313"/>
  <c r="AE1313"/>
  <c r="AF1313"/>
  <c r="AG1313"/>
  <c r="AH1313"/>
  <c r="AI1313"/>
  <c r="AJ1313"/>
  <c r="AK1313"/>
  <c r="C1314"/>
  <c r="H1314"/>
  <c r="I1314"/>
  <c r="J1314"/>
  <c r="K1314"/>
  <c r="M1314"/>
  <c r="P1314"/>
  <c r="R1314"/>
  <c r="S1314"/>
  <c r="T1314"/>
  <c r="U1314"/>
  <c r="X1314"/>
  <c r="Y1314"/>
  <c r="Z1314"/>
  <c r="AA1314"/>
  <c r="AB1314"/>
  <c r="AC1314"/>
  <c r="AD1314"/>
  <c r="AE1314"/>
  <c r="AF1314"/>
  <c r="AG1314"/>
  <c r="AH1314"/>
  <c r="AI1314"/>
  <c r="AJ1314"/>
  <c r="AK1314"/>
  <c r="C1315"/>
  <c r="H1315"/>
  <c r="I1315"/>
  <c r="J1315"/>
  <c r="K1315"/>
  <c r="M1315"/>
  <c r="P1315"/>
  <c r="R1315"/>
  <c r="S1315"/>
  <c r="T1315"/>
  <c r="U1315"/>
  <c r="X1315"/>
  <c r="Y1315"/>
  <c r="Z1315"/>
  <c r="AA1315"/>
  <c r="AB1315"/>
  <c r="AC1315"/>
  <c r="AD1315"/>
  <c r="AE1315"/>
  <c r="AF1315"/>
  <c r="AG1315"/>
  <c r="AH1315"/>
  <c r="AI1315"/>
  <c r="AJ1315"/>
  <c r="AK1315"/>
  <c r="C1316"/>
  <c r="H1316"/>
  <c r="I1316"/>
  <c r="J1316"/>
  <c r="K1316"/>
  <c r="M1316"/>
  <c r="P1316"/>
  <c r="R1316"/>
  <c r="S1316"/>
  <c r="T1316"/>
  <c r="U1316"/>
  <c r="X1316"/>
  <c r="Y1316"/>
  <c r="Z1316"/>
  <c r="AA1316"/>
  <c r="AB1316"/>
  <c r="AC1316"/>
  <c r="AD1316"/>
  <c r="AE1316"/>
  <c r="AF1316"/>
  <c r="AG1316"/>
  <c r="AH1316"/>
  <c r="AI1316"/>
  <c r="AJ1316"/>
  <c r="AK1316"/>
  <c r="C1317"/>
  <c r="H1317"/>
  <c r="I1317"/>
  <c r="J1317"/>
  <c r="K1317"/>
  <c r="M1317"/>
  <c r="P1317"/>
  <c r="R1317"/>
  <c r="S1317"/>
  <c r="T1317"/>
  <c r="U1317"/>
  <c r="X1317"/>
  <c r="Y1317"/>
  <c r="Z1317"/>
  <c r="AA1317"/>
  <c r="AB1317"/>
  <c r="AC1317"/>
  <c r="AD1317"/>
  <c r="AE1317"/>
  <c r="AF1317"/>
  <c r="AG1317"/>
  <c r="AH1317"/>
  <c r="AI1317"/>
  <c r="AJ1317"/>
  <c r="AK1317"/>
  <c r="C1318"/>
  <c r="H1318"/>
  <c r="I1318"/>
  <c r="J1318"/>
  <c r="K1318"/>
  <c r="M1318"/>
  <c r="P1318"/>
  <c r="R1318"/>
  <c r="S1318"/>
  <c r="T1318"/>
  <c r="U1318"/>
  <c r="X1318"/>
  <c r="Y1318"/>
  <c r="Z1318"/>
  <c r="AA1318"/>
  <c r="AB1318"/>
  <c r="AC1318"/>
  <c r="AD1318"/>
  <c r="AE1318"/>
  <c r="AF1318"/>
  <c r="AG1318"/>
  <c r="AH1318"/>
  <c r="AI1318"/>
  <c r="AJ1318"/>
  <c r="AK1318"/>
  <c r="C1319"/>
  <c r="H1319"/>
  <c r="I1319"/>
  <c r="J1319"/>
  <c r="K1319"/>
  <c r="M1319"/>
  <c r="P1319"/>
  <c r="R1319"/>
  <c r="S1319"/>
  <c r="T1319"/>
  <c r="U1319"/>
  <c r="X1319"/>
  <c r="Y1319"/>
  <c r="Z1319"/>
  <c r="AA1319"/>
  <c r="AB1319"/>
  <c r="AC1319"/>
  <c r="AD1319"/>
  <c r="AE1319"/>
  <c r="AF1319"/>
  <c r="AG1319"/>
  <c r="AH1319"/>
  <c r="AI1319"/>
  <c r="AJ1319"/>
  <c r="AK1319"/>
  <c r="C1320"/>
  <c r="H1320"/>
  <c r="I1320"/>
  <c r="J1320"/>
  <c r="K1320"/>
  <c r="M1320"/>
  <c r="P1320"/>
  <c r="R1320"/>
  <c r="S1320"/>
  <c r="T1320"/>
  <c r="U1320"/>
  <c r="X1320"/>
  <c r="Y1320"/>
  <c r="Z1320"/>
  <c r="AA1320"/>
  <c r="AB1320"/>
  <c r="AC1320"/>
  <c r="AD1320"/>
  <c r="AE1320"/>
  <c r="AF1320"/>
  <c r="AG1320"/>
  <c r="AH1320"/>
  <c r="AI1320"/>
  <c r="AJ1320"/>
  <c r="AK1320"/>
  <c r="C1321"/>
  <c r="H1321"/>
  <c r="I1321"/>
  <c r="J1321"/>
  <c r="K1321"/>
  <c r="M1321"/>
  <c r="P1321"/>
  <c r="R1321"/>
  <c r="S1321"/>
  <c r="T1321"/>
  <c r="U1321"/>
  <c r="X1321"/>
  <c r="Y1321"/>
  <c r="Z1321"/>
  <c r="AA1321"/>
  <c r="AB1321"/>
  <c r="AC1321"/>
  <c r="AD1321"/>
  <c r="AE1321"/>
  <c r="AF1321"/>
  <c r="AG1321"/>
  <c r="AH1321"/>
  <c r="AI1321"/>
  <c r="AJ1321"/>
  <c r="AK1321"/>
  <c r="C1302"/>
  <c r="H1302"/>
  <c r="I1302"/>
  <c r="J1302"/>
  <c r="K1302"/>
  <c r="M1302"/>
  <c r="P1302"/>
  <c r="R1302"/>
  <c r="S1302"/>
  <c r="T1302"/>
  <c r="U1302"/>
  <c r="X1302"/>
  <c r="Y1302"/>
  <c r="Z1302"/>
  <c r="AA1302"/>
  <c r="AB1302"/>
  <c r="AC1302"/>
  <c r="AD1302"/>
  <c r="AE1302"/>
  <c r="AF1302"/>
  <c r="AG1302"/>
  <c r="AH1302"/>
  <c r="AI1302"/>
  <c r="AJ1302"/>
  <c r="AK1302"/>
  <c r="C1303"/>
  <c r="H1303"/>
  <c r="I1303"/>
  <c r="J1303"/>
  <c r="K1303"/>
  <c r="M1303"/>
  <c r="P1303"/>
  <c r="R1303"/>
  <c r="S1303"/>
  <c r="T1303"/>
  <c r="U1303"/>
  <c r="X1303"/>
  <c r="Y1303"/>
  <c r="Z1303"/>
  <c r="AA1303"/>
  <c r="AB1303"/>
  <c r="AC1303"/>
  <c r="AD1303"/>
  <c r="AE1303"/>
  <c r="AF1303"/>
  <c r="AG1303"/>
  <c r="AH1303"/>
  <c r="AI1303"/>
  <c r="AJ1303"/>
  <c r="AK1303"/>
  <c r="C1304"/>
  <c r="H1304"/>
  <c r="I1304"/>
  <c r="J1304"/>
  <c r="K1304"/>
  <c r="M1304"/>
  <c r="P1304"/>
  <c r="R1304"/>
  <c r="S1304"/>
  <c r="T1304"/>
  <c r="U1304"/>
  <c r="X1304"/>
  <c r="Y1304"/>
  <c r="Z1304"/>
  <c r="AA1304"/>
  <c r="AB1304"/>
  <c r="AC1304"/>
  <c r="AD1304"/>
  <c r="AE1304"/>
  <c r="AF1304"/>
  <c r="AG1304"/>
  <c r="AH1304"/>
  <c r="AI1304"/>
  <c r="AJ1304"/>
  <c r="AK1304"/>
  <c r="C1305"/>
  <c r="H1305"/>
  <c r="I1305"/>
  <c r="J1305"/>
  <c r="K1305"/>
  <c r="M1305"/>
  <c r="P1305"/>
  <c r="R1305"/>
  <c r="S1305"/>
  <c r="T1305"/>
  <c r="U1305"/>
  <c r="X1305"/>
  <c r="Y1305"/>
  <c r="Z1305"/>
  <c r="AA1305"/>
  <c r="AB1305"/>
  <c r="AC1305"/>
  <c r="AD1305"/>
  <c r="AE1305"/>
  <c r="AF1305"/>
  <c r="AG1305"/>
  <c r="AH1305"/>
  <c r="AI1305"/>
  <c r="AJ1305"/>
  <c r="AK1305"/>
  <c r="C1306"/>
  <c r="H1306"/>
  <c r="I1306"/>
  <c r="J1306"/>
  <c r="K1306"/>
  <c r="M1306"/>
  <c r="P1306"/>
  <c r="R1306"/>
  <c r="S1306"/>
  <c r="T1306"/>
  <c r="U1306"/>
  <c r="X1306"/>
  <c r="Y1306"/>
  <c r="Z1306"/>
  <c r="AA1306"/>
  <c r="AB1306"/>
  <c r="AC1306"/>
  <c r="AD1306"/>
  <c r="AE1306"/>
  <c r="AF1306"/>
  <c r="AG1306"/>
  <c r="AH1306"/>
  <c r="AI1306"/>
  <c r="AJ1306"/>
  <c r="AK1306"/>
  <c r="C1307"/>
  <c r="H1307"/>
  <c r="I1307"/>
  <c r="J1307"/>
  <c r="K1307"/>
  <c r="M1307"/>
  <c r="P1307"/>
  <c r="R1307"/>
  <c r="S1307"/>
  <c r="T1307"/>
  <c r="U1307"/>
  <c r="X1307"/>
  <c r="Y1307"/>
  <c r="Z1307"/>
  <c r="AA1307"/>
  <c r="AB1307"/>
  <c r="AC1307"/>
  <c r="AD1307"/>
  <c r="AE1307"/>
  <c r="AF1307"/>
  <c r="AG1307"/>
  <c r="AH1307"/>
  <c r="AI1307"/>
  <c r="AJ1307"/>
  <c r="AK1307"/>
  <c r="C1308"/>
  <c r="H1308"/>
  <c r="I1308"/>
  <c r="J1308"/>
  <c r="K1308"/>
  <c r="M1308"/>
  <c r="P1308"/>
  <c r="R1308"/>
  <c r="S1308"/>
  <c r="T1308"/>
  <c r="U1308"/>
  <c r="X1308"/>
  <c r="Y1308"/>
  <c r="Z1308"/>
  <c r="AA1308"/>
  <c r="AB1308"/>
  <c r="AC1308"/>
  <c r="AD1308"/>
  <c r="AE1308"/>
  <c r="AF1308"/>
  <c r="AG1308"/>
  <c r="AH1308"/>
  <c r="AI1308"/>
  <c r="AJ1308"/>
  <c r="AK1308"/>
  <c r="C1309"/>
  <c r="H1309"/>
  <c r="I1309"/>
  <c r="J1309"/>
  <c r="K1309"/>
  <c r="M1309"/>
  <c r="P1309"/>
  <c r="R1309"/>
  <c r="S1309"/>
  <c r="T1309"/>
  <c r="U1309"/>
  <c r="X1309"/>
  <c r="Y1309"/>
  <c r="Z1309"/>
  <c r="AA1309"/>
  <c r="AB1309"/>
  <c r="AC1309"/>
  <c r="AD1309"/>
  <c r="AE1309"/>
  <c r="AF1309"/>
  <c r="AG1309"/>
  <c r="AH1309"/>
  <c r="AI1309"/>
  <c r="AJ1309"/>
  <c r="AK1309"/>
  <c r="C1310"/>
  <c r="H1310"/>
  <c r="I1310"/>
  <c r="J1310"/>
  <c r="K1310"/>
  <c r="M1310"/>
  <c r="P1310"/>
  <c r="R1310"/>
  <c r="S1310"/>
  <c r="T1310"/>
  <c r="U1310"/>
  <c r="X1310"/>
  <c r="Y1310"/>
  <c r="Z1310"/>
  <c r="AA1310"/>
  <c r="AB1310"/>
  <c r="AC1310"/>
  <c r="AD1310"/>
  <c r="AE1310"/>
  <c r="AF1310"/>
  <c r="AG1310"/>
  <c r="AH1310"/>
  <c r="AI1310"/>
  <c r="AJ1310"/>
  <c r="AK1310"/>
  <c r="C1311"/>
  <c r="H1311"/>
  <c r="I1311"/>
  <c r="J1311"/>
  <c r="K1311"/>
  <c r="M1311"/>
  <c r="P1311"/>
  <c r="R1311"/>
  <c r="S1311"/>
  <c r="T1311"/>
  <c r="U1311"/>
  <c r="X1311"/>
  <c r="Y1311"/>
  <c r="Z1311"/>
  <c r="AA1311"/>
  <c r="AB1311"/>
  <c r="AC1311"/>
  <c r="AD1311"/>
  <c r="AE1311"/>
  <c r="AF1311"/>
  <c r="AG1311"/>
  <c r="AH1311"/>
  <c r="AI1311"/>
  <c r="AJ1311"/>
  <c r="AK1311"/>
  <c r="C1292"/>
  <c r="H1292"/>
  <c r="I1292"/>
  <c r="J1292"/>
  <c r="K1292"/>
  <c r="M1292"/>
  <c r="P1292"/>
  <c r="R1292"/>
  <c r="S1292"/>
  <c r="T1292"/>
  <c r="U1292"/>
  <c r="X1292"/>
  <c r="Y1292"/>
  <c r="Z1292"/>
  <c r="AA1292"/>
  <c r="AB1292"/>
  <c r="AC1292"/>
  <c r="AD1292"/>
  <c r="AE1292"/>
  <c r="AF1292"/>
  <c r="AG1292"/>
  <c r="AH1292"/>
  <c r="AI1292"/>
  <c r="AJ1292"/>
  <c r="AK1292"/>
  <c r="C1293"/>
  <c r="H1293"/>
  <c r="I1293"/>
  <c r="J1293"/>
  <c r="K1293"/>
  <c r="M1293"/>
  <c r="P1293"/>
  <c r="R1293"/>
  <c r="S1293"/>
  <c r="T1293"/>
  <c r="U1293"/>
  <c r="X1293"/>
  <c r="Y1293"/>
  <c r="Z1293"/>
  <c r="AA1293"/>
  <c r="AB1293"/>
  <c r="AC1293"/>
  <c r="AD1293"/>
  <c r="AE1293"/>
  <c r="AF1293"/>
  <c r="AG1293"/>
  <c r="AH1293"/>
  <c r="AI1293"/>
  <c r="AJ1293"/>
  <c r="AK1293"/>
  <c r="C1294"/>
  <c r="H1294"/>
  <c r="I1294"/>
  <c r="J1294"/>
  <c r="K1294"/>
  <c r="M1294"/>
  <c r="P1294"/>
  <c r="R1294"/>
  <c r="S1294"/>
  <c r="T1294"/>
  <c r="U1294"/>
  <c r="X1294"/>
  <c r="Y1294"/>
  <c r="Z1294"/>
  <c r="AA1294"/>
  <c r="AB1294"/>
  <c r="AC1294"/>
  <c r="AD1294"/>
  <c r="AE1294"/>
  <c r="AF1294"/>
  <c r="AG1294"/>
  <c r="AH1294"/>
  <c r="AI1294"/>
  <c r="AJ1294"/>
  <c r="AK1294"/>
  <c r="C1295"/>
  <c r="H1295"/>
  <c r="I1295"/>
  <c r="J1295"/>
  <c r="K1295"/>
  <c r="M1295"/>
  <c r="P1295"/>
  <c r="R1295"/>
  <c r="S1295"/>
  <c r="T1295"/>
  <c r="U1295"/>
  <c r="X1295"/>
  <c r="Y1295"/>
  <c r="Z1295"/>
  <c r="AA1295"/>
  <c r="AB1295"/>
  <c r="AC1295"/>
  <c r="AD1295"/>
  <c r="AE1295"/>
  <c r="AF1295"/>
  <c r="AG1295"/>
  <c r="AH1295"/>
  <c r="AI1295"/>
  <c r="AJ1295"/>
  <c r="AK1295"/>
  <c r="C1296"/>
  <c r="H1296"/>
  <c r="I1296"/>
  <c r="J1296"/>
  <c r="K1296"/>
  <c r="M1296"/>
  <c r="P1296"/>
  <c r="R1296"/>
  <c r="S1296"/>
  <c r="T1296"/>
  <c r="U1296"/>
  <c r="X1296"/>
  <c r="Y1296"/>
  <c r="Z1296"/>
  <c r="AA1296"/>
  <c r="AB1296"/>
  <c r="AC1296"/>
  <c r="AD1296"/>
  <c r="AE1296"/>
  <c r="AF1296"/>
  <c r="AG1296"/>
  <c r="AH1296"/>
  <c r="AI1296"/>
  <c r="AJ1296"/>
  <c r="AK1296"/>
  <c r="C1297"/>
  <c r="H1297"/>
  <c r="I1297"/>
  <c r="J1297"/>
  <c r="K1297"/>
  <c r="M1297"/>
  <c r="P1297"/>
  <c r="R1297"/>
  <c r="S1297"/>
  <c r="T1297"/>
  <c r="U1297"/>
  <c r="X1297"/>
  <c r="Y1297"/>
  <c r="Z1297"/>
  <c r="AA1297"/>
  <c r="AB1297"/>
  <c r="AC1297"/>
  <c r="AD1297"/>
  <c r="AE1297"/>
  <c r="AF1297"/>
  <c r="AG1297"/>
  <c r="AH1297"/>
  <c r="AI1297"/>
  <c r="AJ1297"/>
  <c r="AK1297"/>
  <c r="C1298"/>
  <c r="H1298"/>
  <c r="I1298"/>
  <c r="J1298"/>
  <c r="K1298"/>
  <c r="M1298"/>
  <c r="P1298"/>
  <c r="R1298"/>
  <c r="S1298"/>
  <c r="T1298"/>
  <c r="U1298"/>
  <c r="X1298"/>
  <c r="Y1298"/>
  <c r="Z1298"/>
  <c r="AA1298"/>
  <c r="AB1298"/>
  <c r="AC1298"/>
  <c r="AD1298"/>
  <c r="AE1298"/>
  <c r="AF1298"/>
  <c r="AG1298"/>
  <c r="AH1298"/>
  <c r="AI1298"/>
  <c r="AJ1298"/>
  <c r="AK1298"/>
  <c r="C1299"/>
  <c r="H1299"/>
  <c r="I1299"/>
  <c r="J1299"/>
  <c r="K1299"/>
  <c r="M1299"/>
  <c r="P1299"/>
  <c r="R1299"/>
  <c r="S1299"/>
  <c r="T1299"/>
  <c r="U1299"/>
  <c r="X1299"/>
  <c r="Y1299"/>
  <c r="Z1299"/>
  <c r="AA1299"/>
  <c r="AB1299"/>
  <c r="AC1299"/>
  <c r="AD1299"/>
  <c r="AE1299"/>
  <c r="AF1299"/>
  <c r="AG1299"/>
  <c r="AH1299"/>
  <c r="AI1299"/>
  <c r="AJ1299"/>
  <c r="AK1299"/>
  <c r="C1300"/>
  <c r="H1300"/>
  <c r="I1300"/>
  <c r="J1300"/>
  <c r="K1300"/>
  <c r="M1300"/>
  <c r="P1300"/>
  <c r="R1300"/>
  <c r="S1300"/>
  <c r="T1300"/>
  <c r="U1300"/>
  <c r="X1300"/>
  <c r="Y1300"/>
  <c r="Z1300"/>
  <c r="AA1300"/>
  <c r="AB1300"/>
  <c r="AC1300"/>
  <c r="AD1300"/>
  <c r="AE1300"/>
  <c r="AF1300"/>
  <c r="AG1300"/>
  <c r="AH1300"/>
  <c r="AI1300"/>
  <c r="AJ1300"/>
  <c r="AK1300"/>
  <c r="C1301"/>
  <c r="H1301"/>
  <c r="I1301"/>
  <c r="J1301"/>
  <c r="K1301"/>
  <c r="M1301"/>
  <c r="P1301"/>
  <c r="R1301"/>
  <c r="S1301"/>
  <c r="T1301"/>
  <c r="U1301"/>
  <c r="X1301"/>
  <c r="Y1301"/>
  <c r="Z1301"/>
  <c r="AA1301"/>
  <c r="AB1301"/>
  <c r="AC1301"/>
  <c r="AD1301"/>
  <c r="AE1301"/>
  <c r="AF1301"/>
  <c r="AG1301"/>
  <c r="AH1301"/>
  <c r="AI1301"/>
  <c r="AJ1301"/>
  <c r="AK1301"/>
  <c r="C1282"/>
  <c r="H1282"/>
  <c r="I1282"/>
  <c r="J1282"/>
  <c r="K1282"/>
  <c r="M1282"/>
  <c r="P1282"/>
  <c r="R1282"/>
  <c r="S1282"/>
  <c r="T1282"/>
  <c r="U1282"/>
  <c r="X1282"/>
  <c r="Y1282"/>
  <c r="Z1282"/>
  <c r="AA1282"/>
  <c r="AB1282"/>
  <c r="AC1282"/>
  <c r="AD1282"/>
  <c r="AE1282"/>
  <c r="AF1282"/>
  <c r="AG1282"/>
  <c r="AH1282"/>
  <c r="AI1282"/>
  <c r="AJ1282"/>
  <c r="AK1282"/>
  <c r="C1283"/>
  <c r="H1283"/>
  <c r="I1283"/>
  <c r="J1283"/>
  <c r="K1283"/>
  <c r="M1283"/>
  <c r="P1283"/>
  <c r="R1283"/>
  <c r="S1283"/>
  <c r="T1283"/>
  <c r="U1283"/>
  <c r="X1283"/>
  <c r="Y1283"/>
  <c r="Z1283"/>
  <c r="AA1283"/>
  <c r="AB1283"/>
  <c r="AC1283"/>
  <c r="AD1283"/>
  <c r="AE1283"/>
  <c r="AF1283"/>
  <c r="AG1283"/>
  <c r="AH1283"/>
  <c r="AI1283"/>
  <c r="AJ1283"/>
  <c r="AK1283"/>
  <c r="C1284"/>
  <c r="H1284"/>
  <c r="I1284"/>
  <c r="J1284"/>
  <c r="K1284"/>
  <c r="M1284"/>
  <c r="P1284"/>
  <c r="R1284"/>
  <c r="S1284"/>
  <c r="T1284"/>
  <c r="U1284"/>
  <c r="X1284"/>
  <c r="Y1284"/>
  <c r="Z1284"/>
  <c r="AA1284"/>
  <c r="AB1284"/>
  <c r="AC1284"/>
  <c r="AD1284"/>
  <c r="AE1284"/>
  <c r="AF1284"/>
  <c r="AG1284"/>
  <c r="AH1284"/>
  <c r="AI1284"/>
  <c r="AJ1284"/>
  <c r="AK1284"/>
  <c r="C1285"/>
  <c r="H1285"/>
  <c r="I1285"/>
  <c r="J1285"/>
  <c r="K1285"/>
  <c r="M1285"/>
  <c r="P1285"/>
  <c r="R1285"/>
  <c r="S1285"/>
  <c r="T1285"/>
  <c r="U1285"/>
  <c r="X1285"/>
  <c r="Y1285"/>
  <c r="Z1285"/>
  <c r="AA1285"/>
  <c r="AB1285"/>
  <c r="AC1285"/>
  <c r="AD1285"/>
  <c r="AE1285"/>
  <c r="AF1285"/>
  <c r="AG1285"/>
  <c r="AH1285"/>
  <c r="AI1285"/>
  <c r="AJ1285"/>
  <c r="AK1285"/>
  <c r="C1286"/>
  <c r="H1286"/>
  <c r="I1286"/>
  <c r="J1286"/>
  <c r="K1286"/>
  <c r="M1286"/>
  <c r="P1286"/>
  <c r="R1286"/>
  <c r="S1286"/>
  <c r="T1286"/>
  <c r="U1286"/>
  <c r="X1286"/>
  <c r="Y1286"/>
  <c r="Z1286"/>
  <c r="AA1286"/>
  <c r="AB1286"/>
  <c r="AC1286"/>
  <c r="AD1286"/>
  <c r="AE1286"/>
  <c r="AF1286"/>
  <c r="AG1286"/>
  <c r="AH1286"/>
  <c r="AI1286"/>
  <c r="AJ1286"/>
  <c r="AK1286"/>
  <c r="C1287"/>
  <c r="H1287"/>
  <c r="I1287"/>
  <c r="J1287"/>
  <c r="K1287"/>
  <c r="M1287"/>
  <c r="P1287"/>
  <c r="R1287"/>
  <c r="S1287"/>
  <c r="T1287"/>
  <c r="U1287"/>
  <c r="X1287"/>
  <c r="Y1287"/>
  <c r="Z1287"/>
  <c r="AA1287"/>
  <c r="AB1287"/>
  <c r="AC1287"/>
  <c r="AD1287"/>
  <c r="AE1287"/>
  <c r="AF1287"/>
  <c r="AG1287"/>
  <c r="AH1287"/>
  <c r="AI1287"/>
  <c r="AJ1287"/>
  <c r="AK1287"/>
  <c r="C1288"/>
  <c r="H1288"/>
  <c r="I1288"/>
  <c r="J1288"/>
  <c r="K1288"/>
  <c r="M1288"/>
  <c r="P1288"/>
  <c r="R1288"/>
  <c r="S1288"/>
  <c r="T1288"/>
  <c r="U1288"/>
  <c r="X1288"/>
  <c r="Y1288"/>
  <c r="Z1288"/>
  <c r="AA1288"/>
  <c r="AB1288"/>
  <c r="AC1288"/>
  <c r="AD1288"/>
  <c r="AE1288"/>
  <c r="AF1288"/>
  <c r="AG1288"/>
  <c r="AH1288"/>
  <c r="AI1288"/>
  <c r="AJ1288"/>
  <c r="AK1288"/>
  <c r="C1289"/>
  <c r="H1289"/>
  <c r="I1289"/>
  <c r="J1289"/>
  <c r="K1289"/>
  <c r="M1289"/>
  <c r="P1289"/>
  <c r="R1289"/>
  <c r="S1289"/>
  <c r="T1289"/>
  <c r="U1289"/>
  <c r="X1289"/>
  <c r="Y1289"/>
  <c r="Z1289"/>
  <c r="AA1289"/>
  <c r="AB1289"/>
  <c r="AC1289"/>
  <c r="AD1289"/>
  <c r="AE1289"/>
  <c r="AF1289"/>
  <c r="AG1289"/>
  <c r="AH1289"/>
  <c r="AI1289"/>
  <c r="AJ1289"/>
  <c r="AK1289"/>
  <c r="C1290"/>
  <c r="H1290"/>
  <c r="I1290"/>
  <c r="J1290"/>
  <c r="K1290"/>
  <c r="M1290"/>
  <c r="P1290"/>
  <c r="R1290"/>
  <c r="S1290"/>
  <c r="T1290"/>
  <c r="U1290"/>
  <c r="X1290"/>
  <c r="Y1290"/>
  <c r="Z1290"/>
  <c r="AA1290"/>
  <c r="AB1290"/>
  <c r="AC1290"/>
  <c r="AD1290"/>
  <c r="AE1290"/>
  <c r="AF1290"/>
  <c r="AG1290"/>
  <c r="AH1290"/>
  <c r="AI1290"/>
  <c r="AJ1290"/>
  <c r="AK1290"/>
  <c r="C1291"/>
  <c r="H1291"/>
  <c r="I1291"/>
  <c r="J1291"/>
  <c r="K1291"/>
  <c r="M1291"/>
  <c r="P1291"/>
  <c r="R1291"/>
  <c r="S1291"/>
  <c r="T1291"/>
  <c r="U1291"/>
  <c r="X1291"/>
  <c r="Y1291"/>
  <c r="Z1291"/>
  <c r="AA1291"/>
  <c r="AB1291"/>
  <c r="AC1291"/>
  <c r="AD1291"/>
  <c r="AE1291"/>
  <c r="AF1291"/>
  <c r="AG1291"/>
  <c r="AH1291"/>
  <c r="AI1291"/>
  <c r="AJ1291"/>
  <c r="AK1291"/>
  <c r="C1272"/>
  <c r="H1272"/>
  <c r="I1272"/>
  <c r="J1272"/>
  <c r="K1272"/>
  <c r="M1272"/>
  <c r="P1272"/>
  <c r="R1272"/>
  <c r="S1272"/>
  <c r="T1272"/>
  <c r="U1272"/>
  <c r="X1272"/>
  <c r="Y1272"/>
  <c r="Z1272"/>
  <c r="AA1272"/>
  <c r="AB1272"/>
  <c r="AC1272"/>
  <c r="AD1272"/>
  <c r="AE1272"/>
  <c r="AF1272"/>
  <c r="AG1272"/>
  <c r="AH1272"/>
  <c r="AI1272"/>
  <c r="AJ1272"/>
  <c r="AK1272"/>
  <c r="C1273"/>
  <c r="H1273"/>
  <c r="I1273"/>
  <c r="J1273"/>
  <c r="K1273"/>
  <c r="M1273"/>
  <c r="P1273"/>
  <c r="R1273"/>
  <c r="S1273"/>
  <c r="T1273"/>
  <c r="U1273"/>
  <c r="X1273"/>
  <c r="Y1273"/>
  <c r="Z1273"/>
  <c r="AA1273"/>
  <c r="AB1273"/>
  <c r="AC1273"/>
  <c r="AD1273"/>
  <c r="AE1273"/>
  <c r="AF1273"/>
  <c r="AG1273"/>
  <c r="AH1273"/>
  <c r="AI1273"/>
  <c r="AJ1273"/>
  <c r="AK1273"/>
  <c r="C1274"/>
  <c r="H1274"/>
  <c r="I1274"/>
  <c r="J1274"/>
  <c r="K1274"/>
  <c r="M1274"/>
  <c r="P1274"/>
  <c r="R1274"/>
  <c r="S1274"/>
  <c r="T1274"/>
  <c r="U1274"/>
  <c r="X1274"/>
  <c r="Y1274"/>
  <c r="Z1274"/>
  <c r="AA1274"/>
  <c r="AB1274"/>
  <c r="AC1274"/>
  <c r="AD1274"/>
  <c r="AE1274"/>
  <c r="AF1274"/>
  <c r="AG1274"/>
  <c r="AH1274"/>
  <c r="AI1274"/>
  <c r="AJ1274"/>
  <c r="AK1274"/>
  <c r="C1275"/>
  <c r="H1275"/>
  <c r="I1275"/>
  <c r="J1275"/>
  <c r="K1275"/>
  <c r="M1275"/>
  <c r="P1275"/>
  <c r="R1275"/>
  <c r="S1275"/>
  <c r="T1275"/>
  <c r="U1275"/>
  <c r="X1275"/>
  <c r="Y1275"/>
  <c r="Z1275"/>
  <c r="AA1275"/>
  <c r="AB1275"/>
  <c r="AC1275"/>
  <c r="AD1275"/>
  <c r="AE1275"/>
  <c r="AF1275"/>
  <c r="AG1275"/>
  <c r="AH1275"/>
  <c r="AI1275"/>
  <c r="AJ1275"/>
  <c r="AK1275"/>
  <c r="C1276"/>
  <c r="H1276"/>
  <c r="I1276"/>
  <c r="J1276"/>
  <c r="K1276"/>
  <c r="M1276"/>
  <c r="P1276"/>
  <c r="R1276"/>
  <c r="S1276"/>
  <c r="T1276"/>
  <c r="U1276"/>
  <c r="X1276"/>
  <c r="Y1276"/>
  <c r="Z1276"/>
  <c r="AA1276"/>
  <c r="AB1276"/>
  <c r="AC1276"/>
  <c r="AD1276"/>
  <c r="AE1276"/>
  <c r="AF1276"/>
  <c r="AG1276"/>
  <c r="AH1276"/>
  <c r="AI1276"/>
  <c r="AJ1276"/>
  <c r="AK1276"/>
  <c r="C1277"/>
  <c r="H1277"/>
  <c r="I1277"/>
  <c r="J1277"/>
  <c r="K1277"/>
  <c r="M1277"/>
  <c r="P1277"/>
  <c r="R1277"/>
  <c r="S1277"/>
  <c r="T1277"/>
  <c r="U1277"/>
  <c r="X1277"/>
  <c r="Y1277"/>
  <c r="Z1277"/>
  <c r="AA1277"/>
  <c r="AB1277"/>
  <c r="AC1277"/>
  <c r="AD1277"/>
  <c r="AE1277"/>
  <c r="AF1277"/>
  <c r="AG1277"/>
  <c r="AH1277"/>
  <c r="AI1277"/>
  <c r="AJ1277"/>
  <c r="AK1277"/>
  <c r="C1278"/>
  <c r="H1278"/>
  <c r="I1278"/>
  <c r="J1278"/>
  <c r="K1278"/>
  <c r="M1278"/>
  <c r="P1278"/>
  <c r="R1278"/>
  <c r="S1278"/>
  <c r="T1278"/>
  <c r="U1278"/>
  <c r="X1278"/>
  <c r="Y1278"/>
  <c r="Z1278"/>
  <c r="AA1278"/>
  <c r="AB1278"/>
  <c r="AC1278"/>
  <c r="AD1278"/>
  <c r="AE1278"/>
  <c r="AF1278"/>
  <c r="AG1278"/>
  <c r="AH1278"/>
  <c r="AI1278"/>
  <c r="AJ1278"/>
  <c r="AK1278"/>
  <c r="C1279"/>
  <c r="H1279"/>
  <c r="I1279"/>
  <c r="J1279"/>
  <c r="K1279"/>
  <c r="M1279"/>
  <c r="P1279"/>
  <c r="R1279"/>
  <c r="S1279"/>
  <c r="T1279"/>
  <c r="U1279"/>
  <c r="X1279"/>
  <c r="Y1279"/>
  <c r="Z1279"/>
  <c r="AA1279"/>
  <c r="AB1279"/>
  <c r="AC1279"/>
  <c r="AD1279"/>
  <c r="AE1279"/>
  <c r="AF1279"/>
  <c r="AG1279"/>
  <c r="AH1279"/>
  <c r="AI1279"/>
  <c r="AJ1279"/>
  <c r="AK1279"/>
  <c r="C1280"/>
  <c r="H1280"/>
  <c r="I1280"/>
  <c r="J1280"/>
  <c r="K1280"/>
  <c r="M1280"/>
  <c r="P1280"/>
  <c r="R1280"/>
  <c r="S1280"/>
  <c r="T1280"/>
  <c r="U1280"/>
  <c r="X1280"/>
  <c r="Y1280"/>
  <c r="Z1280"/>
  <c r="AA1280"/>
  <c r="AB1280"/>
  <c r="AC1280"/>
  <c r="AD1280"/>
  <c r="AE1280"/>
  <c r="AF1280"/>
  <c r="AG1280"/>
  <c r="AH1280"/>
  <c r="AI1280"/>
  <c r="AJ1280"/>
  <c r="AK1280"/>
  <c r="C1281"/>
  <c r="H1281"/>
  <c r="I1281"/>
  <c r="J1281"/>
  <c r="K1281"/>
  <c r="M1281"/>
  <c r="P1281"/>
  <c r="R1281"/>
  <c r="S1281"/>
  <c r="T1281"/>
  <c r="U1281"/>
  <c r="X1281"/>
  <c r="Y1281"/>
  <c r="Z1281"/>
  <c r="AA1281"/>
  <c r="AB1281"/>
  <c r="AC1281"/>
  <c r="AD1281"/>
  <c r="AE1281"/>
  <c r="AF1281"/>
  <c r="AG1281"/>
  <c r="AH1281"/>
  <c r="AI1281"/>
  <c r="AJ1281"/>
  <c r="AK1281"/>
  <c r="C1262"/>
  <c r="H1262"/>
  <c r="I1262"/>
  <c r="J1262"/>
  <c r="K1262"/>
  <c r="M1262"/>
  <c r="P1262"/>
  <c r="R1262"/>
  <c r="S1262"/>
  <c r="T1262"/>
  <c r="U1262"/>
  <c r="X1262"/>
  <c r="Y1262"/>
  <c r="Z1262"/>
  <c r="AA1262"/>
  <c r="AB1262"/>
  <c r="AC1262"/>
  <c r="AD1262"/>
  <c r="AE1262"/>
  <c r="AF1262"/>
  <c r="AG1262"/>
  <c r="AH1262"/>
  <c r="AI1262"/>
  <c r="AJ1262"/>
  <c r="AK1262"/>
  <c r="C1263"/>
  <c r="H1263"/>
  <c r="I1263"/>
  <c r="J1263"/>
  <c r="K1263"/>
  <c r="M1263"/>
  <c r="P1263"/>
  <c r="R1263"/>
  <c r="S1263"/>
  <c r="T1263"/>
  <c r="U1263"/>
  <c r="X1263"/>
  <c r="Y1263"/>
  <c r="Z1263"/>
  <c r="AA1263"/>
  <c r="AB1263"/>
  <c r="AC1263"/>
  <c r="AD1263"/>
  <c r="AE1263"/>
  <c r="AF1263"/>
  <c r="AG1263"/>
  <c r="AH1263"/>
  <c r="AI1263"/>
  <c r="AJ1263"/>
  <c r="AK1263"/>
  <c r="C1264"/>
  <c r="H1264"/>
  <c r="I1264"/>
  <c r="J1264"/>
  <c r="K1264"/>
  <c r="M1264"/>
  <c r="P1264"/>
  <c r="R1264"/>
  <c r="S1264"/>
  <c r="T1264"/>
  <c r="U1264"/>
  <c r="X1264"/>
  <c r="Y1264"/>
  <c r="Z1264"/>
  <c r="AA1264"/>
  <c r="AB1264"/>
  <c r="AC1264"/>
  <c r="AD1264"/>
  <c r="AE1264"/>
  <c r="AF1264"/>
  <c r="AG1264"/>
  <c r="AH1264"/>
  <c r="AI1264"/>
  <c r="AJ1264"/>
  <c r="AK1264"/>
  <c r="C1265"/>
  <c r="H1265"/>
  <c r="I1265"/>
  <c r="J1265"/>
  <c r="K1265"/>
  <c r="M1265"/>
  <c r="P1265"/>
  <c r="R1265"/>
  <c r="S1265"/>
  <c r="T1265"/>
  <c r="U1265"/>
  <c r="X1265"/>
  <c r="Y1265"/>
  <c r="Z1265"/>
  <c r="AA1265"/>
  <c r="AB1265"/>
  <c r="AC1265"/>
  <c r="AD1265"/>
  <c r="AE1265"/>
  <c r="AF1265"/>
  <c r="AG1265"/>
  <c r="AH1265"/>
  <c r="AI1265"/>
  <c r="AJ1265"/>
  <c r="AK1265"/>
  <c r="C1266"/>
  <c r="H1266"/>
  <c r="I1266"/>
  <c r="J1266"/>
  <c r="K1266"/>
  <c r="M1266"/>
  <c r="P1266"/>
  <c r="R1266"/>
  <c r="S1266"/>
  <c r="T1266"/>
  <c r="U1266"/>
  <c r="X1266"/>
  <c r="Y1266"/>
  <c r="Z1266"/>
  <c r="AA1266"/>
  <c r="AB1266"/>
  <c r="AC1266"/>
  <c r="AD1266"/>
  <c r="AE1266"/>
  <c r="AF1266"/>
  <c r="AG1266"/>
  <c r="AH1266"/>
  <c r="AI1266"/>
  <c r="AJ1266"/>
  <c r="AK1266"/>
  <c r="C1267"/>
  <c r="H1267"/>
  <c r="I1267"/>
  <c r="J1267"/>
  <c r="K1267"/>
  <c r="M1267"/>
  <c r="P1267"/>
  <c r="R1267"/>
  <c r="S1267"/>
  <c r="T1267"/>
  <c r="U1267"/>
  <c r="X1267"/>
  <c r="Y1267"/>
  <c r="Z1267"/>
  <c r="AA1267"/>
  <c r="AB1267"/>
  <c r="AC1267"/>
  <c r="AD1267"/>
  <c r="AE1267"/>
  <c r="AF1267"/>
  <c r="AG1267"/>
  <c r="AH1267"/>
  <c r="AI1267"/>
  <c r="AJ1267"/>
  <c r="AK1267"/>
  <c r="C1268"/>
  <c r="H1268"/>
  <c r="I1268"/>
  <c r="J1268"/>
  <c r="K1268"/>
  <c r="M1268"/>
  <c r="P1268"/>
  <c r="R1268"/>
  <c r="S1268"/>
  <c r="T1268"/>
  <c r="U1268"/>
  <c r="X1268"/>
  <c r="Y1268"/>
  <c r="Z1268"/>
  <c r="AA1268"/>
  <c r="AB1268"/>
  <c r="AC1268"/>
  <c r="AD1268"/>
  <c r="AE1268"/>
  <c r="AF1268"/>
  <c r="AG1268"/>
  <c r="AH1268"/>
  <c r="AI1268"/>
  <c r="AJ1268"/>
  <c r="AK1268"/>
  <c r="C1269"/>
  <c r="H1269"/>
  <c r="I1269"/>
  <c r="J1269"/>
  <c r="K1269"/>
  <c r="M1269"/>
  <c r="P1269"/>
  <c r="R1269"/>
  <c r="S1269"/>
  <c r="T1269"/>
  <c r="U1269"/>
  <c r="X1269"/>
  <c r="Y1269"/>
  <c r="Z1269"/>
  <c r="AA1269"/>
  <c r="AB1269"/>
  <c r="AC1269"/>
  <c r="AD1269"/>
  <c r="AE1269"/>
  <c r="AF1269"/>
  <c r="AG1269"/>
  <c r="AH1269"/>
  <c r="AI1269"/>
  <c r="AJ1269"/>
  <c r="AK1269"/>
  <c r="C1270"/>
  <c r="H1270"/>
  <c r="I1270"/>
  <c r="J1270"/>
  <c r="K1270"/>
  <c r="M1270"/>
  <c r="P1270"/>
  <c r="R1270"/>
  <c r="S1270"/>
  <c r="T1270"/>
  <c r="U1270"/>
  <c r="X1270"/>
  <c r="Y1270"/>
  <c r="Z1270"/>
  <c r="AA1270"/>
  <c r="AB1270"/>
  <c r="AC1270"/>
  <c r="AD1270"/>
  <c r="AE1270"/>
  <c r="AF1270"/>
  <c r="AG1270"/>
  <c r="AH1270"/>
  <c r="AI1270"/>
  <c r="AJ1270"/>
  <c r="AK1270"/>
  <c r="C1271"/>
  <c r="H1271"/>
  <c r="I1271"/>
  <c r="J1271"/>
  <c r="K1271"/>
  <c r="M1271"/>
  <c r="P1271"/>
  <c r="R1271"/>
  <c r="S1271"/>
  <c r="T1271"/>
  <c r="U1271"/>
  <c r="X1271"/>
  <c r="Y1271"/>
  <c r="Z1271"/>
  <c r="AA1271"/>
  <c r="AB1271"/>
  <c r="AC1271"/>
  <c r="AD1271"/>
  <c r="AE1271"/>
  <c r="AF1271"/>
  <c r="AG1271"/>
  <c r="AH1271"/>
  <c r="AI1271"/>
  <c r="AJ1271"/>
  <c r="AK1271"/>
  <c r="C1252"/>
  <c r="H1252"/>
  <c r="I1252"/>
  <c r="J1252"/>
  <c r="K1252"/>
  <c r="M1252"/>
  <c r="P1252"/>
  <c r="R1252"/>
  <c r="S1252"/>
  <c r="T1252"/>
  <c r="U1252"/>
  <c r="X1252"/>
  <c r="Y1252"/>
  <c r="Z1252"/>
  <c r="AA1252"/>
  <c r="AB1252"/>
  <c r="AC1252"/>
  <c r="AD1252"/>
  <c r="AE1252"/>
  <c r="AF1252"/>
  <c r="AG1252"/>
  <c r="AH1252"/>
  <c r="AI1252"/>
  <c r="AJ1252"/>
  <c r="AK1252"/>
  <c r="C1253"/>
  <c r="H1253"/>
  <c r="I1253"/>
  <c r="J1253"/>
  <c r="K1253"/>
  <c r="M1253"/>
  <c r="P1253"/>
  <c r="R1253"/>
  <c r="S1253"/>
  <c r="T1253"/>
  <c r="U1253"/>
  <c r="X1253"/>
  <c r="Y1253"/>
  <c r="Z1253"/>
  <c r="AA1253"/>
  <c r="AB1253"/>
  <c r="AC1253"/>
  <c r="AD1253"/>
  <c r="AE1253"/>
  <c r="AF1253"/>
  <c r="AG1253"/>
  <c r="AH1253"/>
  <c r="AI1253"/>
  <c r="AJ1253"/>
  <c r="AK1253"/>
  <c r="C1254"/>
  <c r="H1254"/>
  <c r="I1254"/>
  <c r="J1254"/>
  <c r="K1254"/>
  <c r="M1254"/>
  <c r="P1254"/>
  <c r="R1254"/>
  <c r="S1254"/>
  <c r="T1254"/>
  <c r="U1254"/>
  <c r="X1254"/>
  <c r="Y1254"/>
  <c r="Z1254"/>
  <c r="AA1254"/>
  <c r="AB1254"/>
  <c r="AC1254"/>
  <c r="AD1254"/>
  <c r="AE1254"/>
  <c r="AF1254"/>
  <c r="AG1254"/>
  <c r="AH1254"/>
  <c r="AI1254"/>
  <c r="AJ1254"/>
  <c r="AK1254"/>
  <c r="C1255"/>
  <c r="H1255"/>
  <c r="I1255"/>
  <c r="J1255"/>
  <c r="K1255"/>
  <c r="M1255"/>
  <c r="P1255"/>
  <c r="R1255"/>
  <c r="S1255"/>
  <c r="T1255"/>
  <c r="U1255"/>
  <c r="X1255"/>
  <c r="Y1255"/>
  <c r="Z1255"/>
  <c r="AA1255"/>
  <c r="AB1255"/>
  <c r="AC1255"/>
  <c r="AD1255"/>
  <c r="AE1255"/>
  <c r="AF1255"/>
  <c r="AG1255"/>
  <c r="AH1255"/>
  <c r="AI1255"/>
  <c r="AJ1255"/>
  <c r="AK1255"/>
  <c r="C1256"/>
  <c r="H1256"/>
  <c r="I1256"/>
  <c r="J1256"/>
  <c r="K1256"/>
  <c r="M1256"/>
  <c r="P1256"/>
  <c r="R1256"/>
  <c r="S1256"/>
  <c r="T1256"/>
  <c r="U1256"/>
  <c r="X1256"/>
  <c r="Y1256"/>
  <c r="Z1256"/>
  <c r="AA1256"/>
  <c r="AB1256"/>
  <c r="AC1256"/>
  <c r="AD1256"/>
  <c r="AE1256"/>
  <c r="AF1256"/>
  <c r="AG1256"/>
  <c r="AH1256"/>
  <c r="AI1256"/>
  <c r="AJ1256"/>
  <c r="AK1256"/>
  <c r="C1257"/>
  <c r="H1257"/>
  <c r="I1257"/>
  <c r="J1257"/>
  <c r="K1257"/>
  <c r="M1257"/>
  <c r="P1257"/>
  <c r="R1257"/>
  <c r="S1257"/>
  <c r="T1257"/>
  <c r="U1257"/>
  <c r="X1257"/>
  <c r="Y1257"/>
  <c r="Z1257"/>
  <c r="AA1257"/>
  <c r="AB1257"/>
  <c r="AC1257"/>
  <c r="AD1257"/>
  <c r="AE1257"/>
  <c r="AF1257"/>
  <c r="AG1257"/>
  <c r="AH1257"/>
  <c r="AI1257"/>
  <c r="AJ1257"/>
  <c r="AK1257"/>
  <c r="C1258"/>
  <c r="H1258"/>
  <c r="I1258"/>
  <c r="J1258"/>
  <c r="K1258"/>
  <c r="M1258"/>
  <c r="P1258"/>
  <c r="R1258"/>
  <c r="S1258"/>
  <c r="T1258"/>
  <c r="U1258"/>
  <c r="X1258"/>
  <c r="Y1258"/>
  <c r="Z1258"/>
  <c r="AA1258"/>
  <c r="AB1258"/>
  <c r="AC1258"/>
  <c r="AD1258"/>
  <c r="AE1258"/>
  <c r="AF1258"/>
  <c r="AG1258"/>
  <c r="AH1258"/>
  <c r="AI1258"/>
  <c r="AJ1258"/>
  <c r="AK1258"/>
  <c r="C1259"/>
  <c r="H1259"/>
  <c r="I1259"/>
  <c r="J1259"/>
  <c r="K1259"/>
  <c r="M1259"/>
  <c r="P1259"/>
  <c r="R1259"/>
  <c r="S1259"/>
  <c r="T1259"/>
  <c r="U1259"/>
  <c r="X1259"/>
  <c r="Y1259"/>
  <c r="Z1259"/>
  <c r="AA1259"/>
  <c r="AB1259"/>
  <c r="AC1259"/>
  <c r="AD1259"/>
  <c r="AE1259"/>
  <c r="AF1259"/>
  <c r="AG1259"/>
  <c r="AH1259"/>
  <c r="AI1259"/>
  <c r="AJ1259"/>
  <c r="AK1259"/>
  <c r="C1260"/>
  <c r="H1260"/>
  <c r="I1260"/>
  <c r="J1260"/>
  <c r="K1260"/>
  <c r="M1260"/>
  <c r="P1260"/>
  <c r="R1260"/>
  <c r="S1260"/>
  <c r="T1260"/>
  <c r="U1260"/>
  <c r="X1260"/>
  <c r="Y1260"/>
  <c r="Z1260"/>
  <c r="AA1260"/>
  <c r="AB1260"/>
  <c r="AC1260"/>
  <c r="AD1260"/>
  <c r="AE1260"/>
  <c r="AF1260"/>
  <c r="AG1260"/>
  <c r="AH1260"/>
  <c r="AI1260"/>
  <c r="AJ1260"/>
  <c r="AK1260"/>
  <c r="C1261"/>
  <c r="H1261"/>
  <c r="I1261"/>
  <c r="J1261"/>
  <c r="K1261"/>
  <c r="M1261"/>
  <c r="P1261"/>
  <c r="R1261"/>
  <c r="S1261"/>
  <c r="T1261"/>
  <c r="U1261"/>
  <c r="X1261"/>
  <c r="Y1261"/>
  <c r="Z1261"/>
  <c r="AA1261"/>
  <c r="AB1261"/>
  <c r="AC1261"/>
  <c r="AD1261"/>
  <c r="AE1261"/>
  <c r="AF1261"/>
  <c r="AG1261"/>
  <c r="AH1261"/>
  <c r="AI1261"/>
  <c r="AJ1261"/>
  <c r="AK1261"/>
  <c r="C1242"/>
  <c r="H1242"/>
  <c r="I1242"/>
  <c r="J1242"/>
  <c r="K1242"/>
  <c r="M1242"/>
  <c r="P1242"/>
  <c r="R1242"/>
  <c r="S1242"/>
  <c r="T1242"/>
  <c r="U1242"/>
  <c r="X1242"/>
  <c r="Y1242"/>
  <c r="Z1242"/>
  <c r="AA1242"/>
  <c r="AB1242"/>
  <c r="AC1242"/>
  <c r="AD1242"/>
  <c r="AE1242"/>
  <c r="AF1242"/>
  <c r="AG1242"/>
  <c r="AH1242"/>
  <c r="AI1242"/>
  <c r="AJ1242"/>
  <c r="AK1242"/>
  <c r="C1243"/>
  <c r="H1243"/>
  <c r="I1243"/>
  <c r="J1243"/>
  <c r="K1243"/>
  <c r="M1243"/>
  <c r="P1243"/>
  <c r="R1243"/>
  <c r="S1243"/>
  <c r="T1243"/>
  <c r="U1243"/>
  <c r="X1243"/>
  <c r="Y1243"/>
  <c r="Z1243"/>
  <c r="AA1243"/>
  <c r="AB1243"/>
  <c r="AC1243"/>
  <c r="AD1243"/>
  <c r="AE1243"/>
  <c r="AF1243"/>
  <c r="AG1243"/>
  <c r="AH1243"/>
  <c r="AI1243"/>
  <c r="AJ1243"/>
  <c r="AK1243"/>
  <c r="C1244"/>
  <c r="H1244"/>
  <c r="I1244"/>
  <c r="J1244"/>
  <c r="K1244"/>
  <c r="M1244"/>
  <c r="P1244"/>
  <c r="R1244"/>
  <c r="S1244"/>
  <c r="T1244"/>
  <c r="U1244"/>
  <c r="X1244"/>
  <c r="Y1244"/>
  <c r="Z1244"/>
  <c r="AA1244"/>
  <c r="AB1244"/>
  <c r="AC1244"/>
  <c r="AD1244"/>
  <c r="AE1244"/>
  <c r="AF1244"/>
  <c r="AG1244"/>
  <c r="AH1244"/>
  <c r="AI1244"/>
  <c r="AJ1244"/>
  <c r="AK1244"/>
  <c r="C1245"/>
  <c r="H1245"/>
  <c r="I1245"/>
  <c r="J1245"/>
  <c r="K1245"/>
  <c r="M1245"/>
  <c r="P1245"/>
  <c r="R1245"/>
  <c r="S1245"/>
  <c r="T1245"/>
  <c r="U1245"/>
  <c r="X1245"/>
  <c r="Y1245"/>
  <c r="Z1245"/>
  <c r="AA1245"/>
  <c r="AB1245"/>
  <c r="AC1245"/>
  <c r="AD1245"/>
  <c r="AE1245"/>
  <c r="AF1245"/>
  <c r="AG1245"/>
  <c r="AH1245"/>
  <c r="AI1245"/>
  <c r="AJ1245"/>
  <c r="AK1245"/>
  <c r="C1246"/>
  <c r="H1246"/>
  <c r="I1246"/>
  <c r="J1246"/>
  <c r="K1246"/>
  <c r="M1246"/>
  <c r="P1246"/>
  <c r="R1246"/>
  <c r="S1246"/>
  <c r="T1246"/>
  <c r="U1246"/>
  <c r="X1246"/>
  <c r="Y1246"/>
  <c r="Z1246"/>
  <c r="AA1246"/>
  <c r="AB1246"/>
  <c r="AC1246"/>
  <c r="AD1246"/>
  <c r="AE1246"/>
  <c r="AF1246"/>
  <c r="AG1246"/>
  <c r="AH1246"/>
  <c r="AI1246"/>
  <c r="AJ1246"/>
  <c r="AK1246"/>
  <c r="C1247"/>
  <c r="H1247"/>
  <c r="I1247"/>
  <c r="J1247"/>
  <c r="K1247"/>
  <c r="M1247"/>
  <c r="P1247"/>
  <c r="R1247"/>
  <c r="S1247"/>
  <c r="T1247"/>
  <c r="U1247"/>
  <c r="X1247"/>
  <c r="Y1247"/>
  <c r="Z1247"/>
  <c r="AA1247"/>
  <c r="AB1247"/>
  <c r="AC1247"/>
  <c r="AD1247"/>
  <c r="AE1247"/>
  <c r="AF1247"/>
  <c r="AG1247"/>
  <c r="AH1247"/>
  <c r="AI1247"/>
  <c r="AJ1247"/>
  <c r="AK1247"/>
  <c r="C1248"/>
  <c r="H1248"/>
  <c r="I1248"/>
  <c r="J1248"/>
  <c r="K1248"/>
  <c r="M1248"/>
  <c r="P1248"/>
  <c r="R1248"/>
  <c r="S1248"/>
  <c r="T1248"/>
  <c r="U1248"/>
  <c r="X1248"/>
  <c r="Y1248"/>
  <c r="Z1248"/>
  <c r="AA1248"/>
  <c r="AB1248"/>
  <c r="AC1248"/>
  <c r="AD1248"/>
  <c r="AE1248"/>
  <c r="AF1248"/>
  <c r="AG1248"/>
  <c r="AH1248"/>
  <c r="AI1248"/>
  <c r="AJ1248"/>
  <c r="AK1248"/>
  <c r="C1249"/>
  <c r="H1249"/>
  <c r="I1249"/>
  <c r="J1249"/>
  <c r="K1249"/>
  <c r="M1249"/>
  <c r="P1249"/>
  <c r="R1249"/>
  <c r="S1249"/>
  <c r="T1249"/>
  <c r="U1249"/>
  <c r="X1249"/>
  <c r="Y1249"/>
  <c r="Z1249"/>
  <c r="AA1249"/>
  <c r="AB1249"/>
  <c r="AC1249"/>
  <c r="AD1249"/>
  <c r="AE1249"/>
  <c r="AF1249"/>
  <c r="AG1249"/>
  <c r="AH1249"/>
  <c r="AI1249"/>
  <c r="AJ1249"/>
  <c r="AK1249"/>
  <c r="C1250"/>
  <c r="H1250"/>
  <c r="I1250"/>
  <c r="J1250"/>
  <c r="K1250"/>
  <c r="M1250"/>
  <c r="P1250"/>
  <c r="R1250"/>
  <c r="S1250"/>
  <c r="T1250"/>
  <c r="U1250"/>
  <c r="X1250"/>
  <c r="Y1250"/>
  <c r="Z1250"/>
  <c r="AA1250"/>
  <c r="AB1250"/>
  <c r="AC1250"/>
  <c r="AD1250"/>
  <c r="AE1250"/>
  <c r="AF1250"/>
  <c r="AG1250"/>
  <c r="AH1250"/>
  <c r="AI1250"/>
  <c r="AJ1250"/>
  <c r="AK1250"/>
  <c r="C1251"/>
  <c r="H1251"/>
  <c r="I1251"/>
  <c r="J1251"/>
  <c r="K1251"/>
  <c r="M1251"/>
  <c r="P1251"/>
  <c r="R1251"/>
  <c r="S1251"/>
  <c r="T1251"/>
  <c r="U1251"/>
  <c r="X1251"/>
  <c r="Y1251"/>
  <c r="Z1251"/>
  <c r="AA1251"/>
  <c r="AB1251"/>
  <c r="AC1251"/>
  <c r="AD1251"/>
  <c r="AE1251"/>
  <c r="AF1251"/>
  <c r="AG1251"/>
  <c r="AH1251"/>
  <c r="AI1251"/>
  <c r="AJ1251"/>
  <c r="AK1251"/>
  <c r="C1232"/>
  <c r="H1232"/>
  <c r="I1232"/>
  <c r="J1232"/>
  <c r="K1232"/>
  <c r="M1232"/>
  <c r="P1232"/>
  <c r="R1232"/>
  <c r="S1232"/>
  <c r="T1232"/>
  <c r="U1232"/>
  <c r="X1232"/>
  <c r="Y1232"/>
  <c r="Z1232"/>
  <c r="AA1232"/>
  <c r="AB1232"/>
  <c r="AC1232"/>
  <c r="AD1232"/>
  <c r="AE1232"/>
  <c r="AF1232"/>
  <c r="AG1232"/>
  <c r="AH1232"/>
  <c r="AI1232"/>
  <c r="AJ1232"/>
  <c r="AK1232"/>
  <c r="C1233"/>
  <c r="H1233"/>
  <c r="I1233"/>
  <c r="J1233"/>
  <c r="K1233"/>
  <c r="M1233"/>
  <c r="P1233"/>
  <c r="R1233"/>
  <c r="S1233"/>
  <c r="T1233"/>
  <c r="U1233"/>
  <c r="X1233"/>
  <c r="Y1233"/>
  <c r="Z1233"/>
  <c r="AA1233"/>
  <c r="AB1233"/>
  <c r="AC1233"/>
  <c r="AD1233"/>
  <c r="AE1233"/>
  <c r="AF1233"/>
  <c r="AG1233"/>
  <c r="AH1233"/>
  <c r="AI1233"/>
  <c r="AJ1233"/>
  <c r="AK1233"/>
  <c r="C1234"/>
  <c r="H1234"/>
  <c r="I1234"/>
  <c r="J1234"/>
  <c r="K1234"/>
  <c r="M1234"/>
  <c r="P1234"/>
  <c r="R1234"/>
  <c r="S1234"/>
  <c r="T1234"/>
  <c r="U1234"/>
  <c r="X1234"/>
  <c r="Y1234"/>
  <c r="Z1234"/>
  <c r="AA1234"/>
  <c r="AB1234"/>
  <c r="AC1234"/>
  <c r="AD1234"/>
  <c r="AE1234"/>
  <c r="AF1234"/>
  <c r="AG1234"/>
  <c r="AH1234"/>
  <c r="AI1234"/>
  <c r="AJ1234"/>
  <c r="AK1234"/>
  <c r="C1235"/>
  <c r="H1235"/>
  <c r="I1235"/>
  <c r="J1235"/>
  <c r="K1235"/>
  <c r="M1235"/>
  <c r="P1235"/>
  <c r="R1235"/>
  <c r="S1235"/>
  <c r="T1235"/>
  <c r="U1235"/>
  <c r="X1235"/>
  <c r="Y1235"/>
  <c r="Z1235"/>
  <c r="AA1235"/>
  <c r="AB1235"/>
  <c r="AC1235"/>
  <c r="AD1235"/>
  <c r="AE1235"/>
  <c r="AF1235"/>
  <c r="AG1235"/>
  <c r="AH1235"/>
  <c r="AI1235"/>
  <c r="AJ1235"/>
  <c r="AK1235"/>
  <c r="C1236"/>
  <c r="H1236"/>
  <c r="I1236"/>
  <c r="J1236"/>
  <c r="K1236"/>
  <c r="M1236"/>
  <c r="P1236"/>
  <c r="R1236"/>
  <c r="S1236"/>
  <c r="T1236"/>
  <c r="U1236"/>
  <c r="X1236"/>
  <c r="Y1236"/>
  <c r="Z1236"/>
  <c r="AA1236"/>
  <c r="AB1236"/>
  <c r="AC1236"/>
  <c r="AD1236"/>
  <c r="AE1236"/>
  <c r="AF1236"/>
  <c r="AG1236"/>
  <c r="AH1236"/>
  <c r="AI1236"/>
  <c r="AJ1236"/>
  <c r="AK1236"/>
  <c r="C1237"/>
  <c r="H1237"/>
  <c r="I1237"/>
  <c r="J1237"/>
  <c r="K1237"/>
  <c r="M1237"/>
  <c r="P1237"/>
  <c r="R1237"/>
  <c r="S1237"/>
  <c r="T1237"/>
  <c r="U1237"/>
  <c r="X1237"/>
  <c r="Y1237"/>
  <c r="Z1237"/>
  <c r="AA1237"/>
  <c r="AB1237"/>
  <c r="AC1237"/>
  <c r="AD1237"/>
  <c r="AE1237"/>
  <c r="AF1237"/>
  <c r="AG1237"/>
  <c r="AH1237"/>
  <c r="AI1237"/>
  <c r="AJ1237"/>
  <c r="AK1237"/>
  <c r="C1238"/>
  <c r="H1238"/>
  <c r="I1238"/>
  <c r="J1238"/>
  <c r="K1238"/>
  <c r="M1238"/>
  <c r="P1238"/>
  <c r="R1238"/>
  <c r="S1238"/>
  <c r="T1238"/>
  <c r="U1238"/>
  <c r="X1238"/>
  <c r="Y1238"/>
  <c r="Z1238"/>
  <c r="AA1238"/>
  <c r="AB1238"/>
  <c r="AC1238"/>
  <c r="AD1238"/>
  <c r="AE1238"/>
  <c r="AF1238"/>
  <c r="AG1238"/>
  <c r="AH1238"/>
  <c r="AI1238"/>
  <c r="AJ1238"/>
  <c r="AK1238"/>
  <c r="C1239"/>
  <c r="H1239"/>
  <c r="I1239"/>
  <c r="J1239"/>
  <c r="K1239"/>
  <c r="M1239"/>
  <c r="P1239"/>
  <c r="R1239"/>
  <c r="S1239"/>
  <c r="T1239"/>
  <c r="U1239"/>
  <c r="X1239"/>
  <c r="Y1239"/>
  <c r="Z1239"/>
  <c r="AA1239"/>
  <c r="AB1239"/>
  <c r="AC1239"/>
  <c r="AD1239"/>
  <c r="AE1239"/>
  <c r="AF1239"/>
  <c r="AG1239"/>
  <c r="AH1239"/>
  <c r="AI1239"/>
  <c r="AJ1239"/>
  <c r="AK1239"/>
  <c r="C1240"/>
  <c r="H1240"/>
  <c r="I1240"/>
  <c r="J1240"/>
  <c r="K1240"/>
  <c r="M1240"/>
  <c r="P1240"/>
  <c r="R1240"/>
  <c r="S1240"/>
  <c r="T1240"/>
  <c r="U1240"/>
  <c r="X1240"/>
  <c r="Y1240"/>
  <c r="Z1240"/>
  <c r="AA1240"/>
  <c r="AB1240"/>
  <c r="AC1240"/>
  <c r="AD1240"/>
  <c r="AE1240"/>
  <c r="AF1240"/>
  <c r="AG1240"/>
  <c r="AH1240"/>
  <c r="AI1240"/>
  <c r="AJ1240"/>
  <c r="AK1240"/>
  <c r="C1241"/>
  <c r="H1241"/>
  <c r="I1241"/>
  <c r="J1241"/>
  <c r="K1241"/>
  <c r="M1241"/>
  <c r="P1241"/>
  <c r="R1241"/>
  <c r="S1241"/>
  <c r="T1241"/>
  <c r="U1241"/>
  <c r="X1241"/>
  <c r="Y1241"/>
  <c r="Z1241"/>
  <c r="AA1241"/>
  <c r="AB1241"/>
  <c r="AC1241"/>
  <c r="AD1241"/>
  <c r="AE1241"/>
  <c r="AF1241"/>
  <c r="AG1241"/>
  <c r="AH1241"/>
  <c r="AI1241"/>
  <c r="AJ1241"/>
  <c r="AK1241"/>
  <c r="C1222"/>
  <c r="H1222"/>
  <c r="I1222"/>
  <c r="J1222"/>
  <c r="K1222"/>
  <c r="M1222"/>
  <c r="P1222"/>
  <c r="R1222"/>
  <c r="S1222"/>
  <c r="T1222"/>
  <c r="U1222"/>
  <c r="X1222"/>
  <c r="Y1222"/>
  <c r="Z1222"/>
  <c r="AA1222"/>
  <c r="AB1222"/>
  <c r="AC1222"/>
  <c r="AD1222"/>
  <c r="AE1222"/>
  <c r="AF1222"/>
  <c r="AG1222"/>
  <c r="AH1222"/>
  <c r="AI1222"/>
  <c r="AJ1222"/>
  <c r="AK1222"/>
  <c r="C1223"/>
  <c r="H1223"/>
  <c r="I1223"/>
  <c r="J1223"/>
  <c r="K1223"/>
  <c r="M1223"/>
  <c r="P1223"/>
  <c r="R1223"/>
  <c r="S1223"/>
  <c r="T1223"/>
  <c r="U1223"/>
  <c r="X1223"/>
  <c r="Y1223"/>
  <c r="Z1223"/>
  <c r="AA1223"/>
  <c r="AB1223"/>
  <c r="AC1223"/>
  <c r="AD1223"/>
  <c r="AE1223"/>
  <c r="AF1223"/>
  <c r="AG1223"/>
  <c r="AH1223"/>
  <c r="AI1223"/>
  <c r="AJ1223"/>
  <c r="AK1223"/>
  <c r="C1224"/>
  <c r="H1224"/>
  <c r="I1224"/>
  <c r="J1224"/>
  <c r="K1224"/>
  <c r="M1224"/>
  <c r="P1224"/>
  <c r="R1224"/>
  <c r="S1224"/>
  <c r="T1224"/>
  <c r="U1224"/>
  <c r="X1224"/>
  <c r="Y1224"/>
  <c r="Z1224"/>
  <c r="AA1224"/>
  <c r="AB1224"/>
  <c r="AC1224"/>
  <c r="AD1224"/>
  <c r="AE1224"/>
  <c r="AF1224"/>
  <c r="AG1224"/>
  <c r="AH1224"/>
  <c r="AI1224"/>
  <c r="AJ1224"/>
  <c r="AK1224"/>
  <c r="C1225"/>
  <c r="H1225"/>
  <c r="I1225"/>
  <c r="J1225"/>
  <c r="K1225"/>
  <c r="M1225"/>
  <c r="P1225"/>
  <c r="R1225"/>
  <c r="S1225"/>
  <c r="T1225"/>
  <c r="U1225"/>
  <c r="X1225"/>
  <c r="Y1225"/>
  <c r="Z1225"/>
  <c r="AA1225"/>
  <c r="AB1225"/>
  <c r="AC1225"/>
  <c r="AD1225"/>
  <c r="AE1225"/>
  <c r="AF1225"/>
  <c r="AG1225"/>
  <c r="AH1225"/>
  <c r="AI1225"/>
  <c r="AJ1225"/>
  <c r="AK1225"/>
  <c r="C1226"/>
  <c r="H1226"/>
  <c r="I1226"/>
  <c r="J1226"/>
  <c r="K1226"/>
  <c r="M1226"/>
  <c r="P1226"/>
  <c r="R1226"/>
  <c r="S1226"/>
  <c r="T1226"/>
  <c r="U1226"/>
  <c r="X1226"/>
  <c r="Y1226"/>
  <c r="Z1226"/>
  <c r="AA1226"/>
  <c r="AB1226"/>
  <c r="AC1226"/>
  <c r="AD1226"/>
  <c r="AE1226"/>
  <c r="AF1226"/>
  <c r="AG1226"/>
  <c r="AH1226"/>
  <c r="AI1226"/>
  <c r="AJ1226"/>
  <c r="AK1226"/>
  <c r="C1227"/>
  <c r="H1227"/>
  <c r="I1227"/>
  <c r="J1227"/>
  <c r="K1227"/>
  <c r="M1227"/>
  <c r="P1227"/>
  <c r="R1227"/>
  <c r="S1227"/>
  <c r="T1227"/>
  <c r="U1227"/>
  <c r="X1227"/>
  <c r="Y1227"/>
  <c r="Z1227"/>
  <c r="AA1227"/>
  <c r="AB1227"/>
  <c r="AC1227"/>
  <c r="AD1227"/>
  <c r="AE1227"/>
  <c r="AF1227"/>
  <c r="AG1227"/>
  <c r="AH1227"/>
  <c r="AI1227"/>
  <c r="AJ1227"/>
  <c r="AK1227"/>
  <c r="C1228"/>
  <c r="H1228"/>
  <c r="I1228"/>
  <c r="J1228"/>
  <c r="K1228"/>
  <c r="M1228"/>
  <c r="P1228"/>
  <c r="R1228"/>
  <c r="S1228"/>
  <c r="T1228"/>
  <c r="U1228"/>
  <c r="X1228"/>
  <c r="Y1228"/>
  <c r="Z1228"/>
  <c r="AA1228"/>
  <c r="AB1228"/>
  <c r="AC1228"/>
  <c r="AD1228"/>
  <c r="AE1228"/>
  <c r="AF1228"/>
  <c r="AG1228"/>
  <c r="AH1228"/>
  <c r="AI1228"/>
  <c r="AJ1228"/>
  <c r="AK1228"/>
  <c r="C1229"/>
  <c r="H1229"/>
  <c r="I1229"/>
  <c r="J1229"/>
  <c r="K1229"/>
  <c r="M1229"/>
  <c r="P1229"/>
  <c r="R1229"/>
  <c r="S1229"/>
  <c r="T1229"/>
  <c r="U1229"/>
  <c r="X1229"/>
  <c r="Y1229"/>
  <c r="Z1229"/>
  <c r="AA1229"/>
  <c r="AB1229"/>
  <c r="AC1229"/>
  <c r="AD1229"/>
  <c r="AE1229"/>
  <c r="AF1229"/>
  <c r="AG1229"/>
  <c r="AH1229"/>
  <c r="AI1229"/>
  <c r="AJ1229"/>
  <c r="AK1229"/>
  <c r="C1230"/>
  <c r="H1230"/>
  <c r="I1230"/>
  <c r="J1230"/>
  <c r="K1230"/>
  <c r="M1230"/>
  <c r="P1230"/>
  <c r="R1230"/>
  <c r="S1230"/>
  <c r="T1230"/>
  <c r="U1230"/>
  <c r="X1230"/>
  <c r="Y1230"/>
  <c r="Z1230"/>
  <c r="AA1230"/>
  <c r="AB1230"/>
  <c r="AC1230"/>
  <c r="AD1230"/>
  <c r="AE1230"/>
  <c r="AF1230"/>
  <c r="AG1230"/>
  <c r="AH1230"/>
  <c r="AI1230"/>
  <c r="AJ1230"/>
  <c r="AK1230"/>
  <c r="C1231"/>
  <c r="H1231"/>
  <c r="I1231"/>
  <c r="J1231"/>
  <c r="K1231"/>
  <c r="M1231"/>
  <c r="P1231"/>
  <c r="R1231"/>
  <c r="S1231"/>
  <c r="T1231"/>
  <c r="U1231"/>
  <c r="X1231"/>
  <c r="Y1231"/>
  <c r="Z1231"/>
  <c r="AA1231"/>
  <c r="AB1231"/>
  <c r="AC1231"/>
  <c r="AD1231"/>
  <c r="AE1231"/>
  <c r="AF1231"/>
  <c r="AG1231"/>
  <c r="AH1231"/>
  <c r="AI1231"/>
  <c r="AJ1231"/>
  <c r="AK1231"/>
  <c r="C1212"/>
  <c r="H1212"/>
  <c r="I1212"/>
  <c r="J1212"/>
  <c r="K1212"/>
  <c r="M1212"/>
  <c r="P1212"/>
  <c r="R1212"/>
  <c r="S1212"/>
  <c r="T1212"/>
  <c r="U1212"/>
  <c r="X1212"/>
  <c r="Y1212"/>
  <c r="Z1212"/>
  <c r="AA1212"/>
  <c r="AB1212"/>
  <c r="AC1212"/>
  <c r="AD1212"/>
  <c r="AE1212"/>
  <c r="AF1212"/>
  <c r="AG1212"/>
  <c r="AH1212"/>
  <c r="AI1212"/>
  <c r="AJ1212"/>
  <c r="AK1212"/>
  <c r="C1213"/>
  <c r="H1213"/>
  <c r="I1213"/>
  <c r="J1213"/>
  <c r="K1213"/>
  <c r="M1213"/>
  <c r="P1213"/>
  <c r="R1213"/>
  <c r="S1213"/>
  <c r="T1213"/>
  <c r="U1213"/>
  <c r="X1213"/>
  <c r="Y1213"/>
  <c r="Z1213"/>
  <c r="AA1213"/>
  <c r="AB1213"/>
  <c r="AC1213"/>
  <c r="AD1213"/>
  <c r="AE1213"/>
  <c r="AF1213"/>
  <c r="AG1213"/>
  <c r="AH1213"/>
  <c r="AI1213"/>
  <c r="AJ1213"/>
  <c r="AK1213"/>
  <c r="C1214"/>
  <c r="H1214"/>
  <c r="I1214"/>
  <c r="J1214"/>
  <c r="K1214"/>
  <c r="M1214"/>
  <c r="P1214"/>
  <c r="R1214"/>
  <c r="S1214"/>
  <c r="T1214"/>
  <c r="U1214"/>
  <c r="X1214"/>
  <c r="Y1214"/>
  <c r="Z1214"/>
  <c r="AA1214"/>
  <c r="AB1214"/>
  <c r="AC1214"/>
  <c r="AD1214"/>
  <c r="AE1214"/>
  <c r="AF1214"/>
  <c r="AG1214"/>
  <c r="AH1214"/>
  <c r="AI1214"/>
  <c r="AJ1214"/>
  <c r="AK1214"/>
  <c r="C1215"/>
  <c r="H1215"/>
  <c r="I1215"/>
  <c r="J1215"/>
  <c r="K1215"/>
  <c r="M1215"/>
  <c r="P1215"/>
  <c r="R1215"/>
  <c r="S1215"/>
  <c r="T1215"/>
  <c r="U1215"/>
  <c r="X1215"/>
  <c r="Y1215"/>
  <c r="Z1215"/>
  <c r="AA1215"/>
  <c r="AB1215"/>
  <c r="AC1215"/>
  <c r="AD1215"/>
  <c r="AE1215"/>
  <c r="AF1215"/>
  <c r="AG1215"/>
  <c r="AH1215"/>
  <c r="AI1215"/>
  <c r="AJ1215"/>
  <c r="AK1215"/>
  <c r="C1216"/>
  <c r="H1216"/>
  <c r="I1216"/>
  <c r="J1216"/>
  <c r="K1216"/>
  <c r="M1216"/>
  <c r="P1216"/>
  <c r="R1216"/>
  <c r="S1216"/>
  <c r="T1216"/>
  <c r="U1216"/>
  <c r="X1216"/>
  <c r="Y1216"/>
  <c r="Z1216"/>
  <c r="AA1216"/>
  <c r="AB1216"/>
  <c r="AC1216"/>
  <c r="AD1216"/>
  <c r="AE1216"/>
  <c r="AF1216"/>
  <c r="AG1216"/>
  <c r="AH1216"/>
  <c r="AI1216"/>
  <c r="AJ1216"/>
  <c r="AK1216"/>
  <c r="C1217"/>
  <c r="H1217"/>
  <c r="I1217"/>
  <c r="J1217"/>
  <c r="K1217"/>
  <c r="M1217"/>
  <c r="P1217"/>
  <c r="R1217"/>
  <c r="S1217"/>
  <c r="T1217"/>
  <c r="U1217"/>
  <c r="X1217"/>
  <c r="Y1217"/>
  <c r="Z1217"/>
  <c r="AA1217"/>
  <c r="AB1217"/>
  <c r="AC1217"/>
  <c r="AD1217"/>
  <c r="AE1217"/>
  <c r="AF1217"/>
  <c r="AG1217"/>
  <c r="AH1217"/>
  <c r="AI1217"/>
  <c r="AJ1217"/>
  <c r="AK1217"/>
  <c r="C1218"/>
  <c r="H1218"/>
  <c r="I1218"/>
  <c r="J1218"/>
  <c r="K1218"/>
  <c r="M1218"/>
  <c r="P1218"/>
  <c r="R1218"/>
  <c r="S1218"/>
  <c r="T1218"/>
  <c r="U1218"/>
  <c r="X1218"/>
  <c r="Y1218"/>
  <c r="Z1218"/>
  <c r="AA1218"/>
  <c r="AB1218"/>
  <c r="AC1218"/>
  <c r="AD1218"/>
  <c r="AE1218"/>
  <c r="AF1218"/>
  <c r="AG1218"/>
  <c r="AH1218"/>
  <c r="AI1218"/>
  <c r="AJ1218"/>
  <c r="AK1218"/>
  <c r="C1219"/>
  <c r="H1219"/>
  <c r="I1219"/>
  <c r="J1219"/>
  <c r="K1219"/>
  <c r="M1219"/>
  <c r="P1219"/>
  <c r="R1219"/>
  <c r="S1219"/>
  <c r="T1219"/>
  <c r="U1219"/>
  <c r="X1219"/>
  <c r="Y1219"/>
  <c r="Z1219"/>
  <c r="AA1219"/>
  <c r="AB1219"/>
  <c r="AC1219"/>
  <c r="AD1219"/>
  <c r="AE1219"/>
  <c r="AF1219"/>
  <c r="AG1219"/>
  <c r="AH1219"/>
  <c r="AI1219"/>
  <c r="AJ1219"/>
  <c r="AK1219"/>
  <c r="C1220"/>
  <c r="H1220"/>
  <c r="I1220"/>
  <c r="J1220"/>
  <c r="K1220"/>
  <c r="M1220"/>
  <c r="P1220"/>
  <c r="R1220"/>
  <c r="S1220"/>
  <c r="T1220"/>
  <c r="U1220"/>
  <c r="X1220"/>
  <c r="Y1220"/>
  <c r="Z1220"/>
  <c r="AA1220"/>
  <c r="AB1220"/>
  <c r="AC1220"/>
  <c r="AD1220"/>
  <c r="AE1220"/>
  <c r="AF1220"/>
  <c r="AG1220"/>
  <c r="AH1220"/>
  <c r="AI1220"/>
  <c r="AJ1220"/>
  <c r="AK1220"/>
  <c r="C1221"/>
  <c r="H1221"/>
  <c r="I1221"/>
  <c r="J1221"/>
  <c r="K1221"/>
  <c r="M1221"/>
  <c r="P1221"/>
  <c r="R1221"/>
  <c r="S1221"/>
  <c r="T1221"/>
  <c r="U1221"/>
  <c r="X1221"/>
  <c r="Y1221"/>
  <c r="Z1221"/>
  <c r="AA1221"/>
  <c r="AB1221"/>
  <c r="AC1221"/>
  <c r="AD1221"/>
  <c r="AE1221"/>
  <c r="AF1221"/>
  <c r="AG1221"/>
  <c r="AH1221"/>
  <c r="AI1221"/>
  <c r="AJ1221"/>
  <c r="AK1221"/>
  <c r="C1202"/>
  <c r="H1202"/>
  <c r="I1202"/>
  <c r="J1202"/>
  <c r="K1202"/>
  <c r="M1202"/>
  <c r="P1202"/>
  <c r="R1202"/>
  <c r="S1202"/>
  <c r="T1202"/>
  <c r="U1202"/>
  <c r="X1202"/>
  <c r="Y1202"/>
  <c r="Z1202"/>
  <c r="AA1202"/>
  <c r="AB1202"/>
  <c r="AC1202"/>
  <c r="AD1202"/>
  <c r="AE1202"/>
  <c r="AF1202"/>
  <c r="AG1202"/>
  <c r="AH1202"/>
  <c r="AI1202"/>
  <c r="AJ1202"/>
  <c r="AK1202"/>
  <c r="C1203"/>
  <c r="H1203"/>
  <c r="I1203"/>
  <c r="J1203"/>
  <c r="K1203"/>
  <c r="M1203"/>
  <c r="P1203"/>
  <c r="R1203"/>
  <c r="S1203"/>
  <c r="T1203"/>
  <c r="U1203"/>
  <c r="X1203"/>
  <c r="Y1203"/>
  <c r="Z1203"/>
  <c r="AA1203"/>
  <c r="AB1203"/>
  <c r="AC1203"/>
  <c r="AD1203"/>
  <c r="AE1203"/>
  <c r="AF1203"/>
  <c r="AG1203"/>
  <c r="AH1203"/>
  <c r="AI1203"/>
  <c r="AJ1203"/>
  <c r="AK1203"/>
  <c r="C1204"/>
  <c r="H1204"/>
  <c r="I1204"/>
  <c r="J1204"/>
  <c r="K1204"/>
  <c r="M1204"/>
  <c r="P1204"/>
  <c r="R1204"/>
  <c r="S1204"/>
  <c r="T1204"/>
  <c r="U1204"/>
  <c r="X1204"/>
  <c r="Y1204"/>
  <c r="Z1204"/>
  <c r="AA1204"/>
  <c r="AB1204"/>
  <c r="AC1204"/>
  <c r="AD1204"/>
  <c r="AE1204"/>
  <c r="AF1204"/>
  <c r="AG1204"/>
  <c r="AH1204"/>
  <c r="AI1204"/>
  <c r="AJ1204"/>
  <c r="AK1204"/>
  <c r="C1205"/>
  <c r="H1205"/>
  <c r="I1205"/>
  <c r="J1205"/>
  <c r="K1205"/>
  <c r="M1205"/>
  <c r="P1205"/>
  <c r="R1205"/>
  <c r="S1205"/>
  <c r="T1205"/>
  <c r="U1205"/>
  <c r="X1205"/>
  <c r="Y1205"/>
  <c r="Z1205"/>
  <c r="AA1205"/>
  <c r="AB1205"/>
  <c r="AC1205"/>
  <c r="AD1205"/>
  <c r="AE1205"/>
  <c r="AF1205"/>
  <c r="AG1205"/>
  <c r="AH1205"/>
  <c r="AI1205"/>
  <c r="AJ1205"/>
  <c r="AK1205"/>
  <c r="C1206"/>
  <c r="H1206"/>
  <c r="I1206"/>
  <c r="J1206"/>
  <c r="K1206"/>
  <c r="M1206"/>
  <c r="P1206"/>
  <c r="R1206"/>
  <c r="S1206"/>
  <c r="T1206"/>
  <c r="U1206"/>
  <c r="X1206"/>
  <c r="Y1206"/>
  <c r="Z1206"/>
  <c r="AA1206"/>
  <c r="AB1206"/>
  <c r="AC1206"/>
  <c r="AD1206"/>
  <c r="AE1206"/>
  <c r="AF1206"/>
  <c r="AG1206"/>
  <c r="AH1206"/>
  <c r="AI1206"/>
  <c r="AJ1206"/>
  <c r="AK1206"/>
  <c r="C1207"/>
  <c r="H1207"/>
  <c r="I1207"/>
  <c r="J1207"/>
  <c r="K1207"/>
  <c r="M1207"/>
  <c r="P1207"/>
  <c r="R1207"/>
  <c r="S1207"/>
  <c r="T1207"/>
  <c r="U1207"/>
  <c r="X1207"/>
  <c r="Y1207"/>
  <c r="Z1207"/>
  <c r="AA1207"/>
  <c r="AB1207"/>
  <c r="AC1207"/>
  <c r="AD1207"/>
  <c r="AE1207"/>
  <c r="AF1207"/>
  <c r="AG1207"/>
  <c r="AH1207"/>
  <c r="AI1207"/>
  <c r="AJ1207"/>
  <c r="AK1207"/>
  <c r="C1208"/>
  <c r="H1208"/>
  <c r="I1208"/>
  <c r="J1208"/>
  <c r="K1208"/>
  <c r="M1208"/>
  <c r="P1208"/>
  <c r="R1208"/>
  <c r="S1208"/>
  <c r="T1208"/>
  <c r="U1208"/>
  <c r="X1208"/>
  <c r="Y1208"/>
  <c r="Z1208"/>
  <c r="AA1208"/>
  <c r="AB1208"/>
  <c r="AC1208"/>
  <c r="AD1208"/>
  <c r="AE1208"/>
  <c r="AF1208"/>
  <c r="AG1208"/>
  <c r="AH1208"/>
  <c r="AI1208"/>
  <c r="AJ1208"/>
  <c r="AK1208"/>
  <c r="C1209"/>
  <c r="H1209"/>
  <c r="I1209"/>
  <c r="J1209"/>
  <c r="K1209"/>
  <c r="M1209"/>
  <c r="P1209"/>
  <c r="R1209"/>
  <c r="S1209"/>
  <c r="T1209"/>
  <c r="U1209"/>
  <c r="X1209"/>
  <c r="Y1209"/>
  <c r="Z1209"/>
  <c r="AA1209"/>
  <c r="AB1209"/>
  <c r="AC1209"/>
  <c r="AD1209"/>
  <c r="AE1209"/>
  <c r="AF1209"/>
  <c r="AG1209"/>
  <c r="AH1209"/>
  <c r="AI1209"/>
  <c r="AJ1209"/>
  <c r="AK1209"/>
  <c r="C1210"/>
  <c r="H1210"/>
  <c r="I1210"/>
  <c r="J1210"/>
  <c r="K1210"/>
  <c r="M1210"/>
  <c r="P1210"/>
  <c r="R1210"/>
  <c r="S1210"/>
  <c r="T1210"/>
  <c r="U1210"/>
  <c r="X1210"/>
  <c r="Y1210"/>
  <c r="Z1210"/>
  <c r="AA1210"/>
  <c r="AB1210"/>
  <c r="AC1210"/>
  <c r="AD1210"/>
  <c r="AE1210"/>
  <c r="AF1210"/>
  <c r="AG1210"/>
  <c r="AH1210"/>
  <c r="AI1210"/>
  <c r="AJ1210"/>
  <c r="AK1210"/>
  <c r="C1211"/>
  <c r="H1211"/>
  <c r="I1211"/>
  <c r="J1211"/>
  <c r="K1211"/>
  <c r="M1211"/>
  <c r="P1211"/>
  <c r="R1211"/>
  <c r="S1211"/>
  <c r="T1211"/>
  <c r="U1211"/>
  <c r="X1211"/>
  <c r="Y1211"/>
  <c r="Z1211"/>
  <c r="AA1211"/>
  <c r="AB1211"/>
  <c r="AC1211"/>
  <c r="AD1211"/>
  <c r="AE1211"/>
  <c r="AF1211"/>
  <c r="AG1211"/>
  <c r="AH1211"/>
  <c r="AI1211"/>
  <c r="AJ1211"/>
  <c r="AK1211"/>
  <c r="C1192"/>
  <c r="H1192"/>
  <c r="I1192"/>
  <c r="J1192"/>
  <c r="K1192"/>
  <c r="M1192"/>
  <c r="P1192"/>
  <c r="R1192"/>
  <c r="S1192"/>
  <c r="T1192"/>
  <c r="U1192"/>
  <c r="X1192"/>
  <c r="Y1192"/>
  <c r="Z1192"/>
  <c r="AA1192"/>
  <c r="AB1192"/>
  <c r="AC1192"/>
  <c r="AD1192"/>
  <c r="AE1192"/>
  <c r="AF1192"/>
  <c r="AG1192"/>
  <c r="AH1192"/>
  <c r="AI1192"/>
  <c r="AJ1192"/>
  <c r="AK1192"/>
  <c r="C1193"/>
  <c r="H1193"/>
  <c r="I1193"/>
  <c r="J1193"/>
  <c r="K1193"/>
  <c r="M1193"/>
  <c r="P1193"/>
  <c r="R1193"/>
  <c r="S1193"/>
  <c r="T1193"/>
  <c r="U1193"/>
  <c r="X1193"/>
  <c r="Y1193"/>
  <c r="Z1193"/>
  <c r="AA1193"/>
  <c r="AB1193"/>
  <c r="AC1193"/>
  <c r="AD1193"/>
  <c r="AE1193"/>
  <c r="AF1193"/>
  <c r="AG1193"/>
  <c r="AH1193"/>
  <c r="AI1193"/>
  <c r="AJ1193"/>
  <c r="AK1193"/>
  <c r="C1194"/>
  <c r="H1194"/>
  <c r="I1194"/>
  <c r="J1194"/>
  <c r="K1194"/>
  <c r="M1194"/>
  <c r="P1194"/>
  <c r="R1194"/>
  <c r="S1194"/>
  <c r="T1194"/>
  <c r="U1194"/>
  <c r="X1194"/>
  <c r="Y1194"/>
  <c r="Z1194"/>
  <c r="AA1194"/>
  <c r="AB1194"/>
  <c r="AC1194"/>
  <c r="AD1194"/>
  <c r="AE1194"/>
  <c r="AF1194"/>
  <c r="AG1194"/>
  <c r="AH1194"/>
  <c r="AI1194"/>
  <c r="AJ1194"/>
  <c r="AK1194"/>
  <c r="C1195"/>
  <c r="H1195"/>
  <c r="I1195"/>
  <c r="J1195"/>
  <c r="K1195"/>
  <c r="M1195"/>
  <c r="P1195"/>
  <c r="R1195"/>
  <c r="S1195"/>
  <c r="T1195"/>
  <c r="U1195"/>
  <c r="X1195"/>
  <c r="Y1195"/>
  <c r="Z1195"/>
  <c r="AA1195"/>
  <c r="AB1195"/>
  <c r="AC1195"/>
  <c r="AD1195"/>
  <c r="AE1195"/>
  <c r="AF1195"/>
  <c r="AG1195"/>
  <c r="AH1195"/>
  <c r="AI1195"/>
  <c r="AJ1195"/>
  <c r="AK1195"/>
  <c r="C1196"/>
  <c r="H1196"/>
  <c r="I1196"/>
  <c r="J1196"/>
  <c r="K1196"/>
  <c r="M1196"/>
  <c r="P1196"/>
  <c r="R1196"/>
  <c r="S1196"/>
  <c r="T1196"/>
  <c r="U1196"/>
  <c r="X1196"/>
  <c r="Y1196"/>
  <c r="Z1196"/>
  <c r="AA1196"/>
  <c r="AB1196"/>
  <c r="AC1196"/>
  <c r="AD1196"/>
  <c r="AE1196"/>
  <c r="AF1196"/>
  <c r="AG1196"/>
  <c r="AH1196"/>
  <c r="AI1196"/>
  <c r="AJ1196"/>
  <c r="AK1196"/>
  <c r="C1197"/>
  <c r="H1197"/>
  <c r="I1197"/>
  <c r="J1197"/>
  <c r="K1197"/>
  <c r="M1197"/>
  <c r="P1197"/>
  <c r="R1197"/>
  <c r="S1197"/>
  <c r="T1197"/>
  <c r="U1197"/>
  <c r="X1197"/>
  <c r="Y1197"/>
  <c r="Z1197"/>
  <c r="AA1197"/>
  <c r="AB1197"/>
  <c r="AC1197"/>
  <c r="AD1197"/>
  <c r="AE1197"/>
  <c r="AF1197"/>
  <c r="AG1197"/>
  <c r="AH1197"/>
  <c r="AI1197"/>
  <c r="AJ1197"/>
  <c r="AK1197"/>
  <c r="C1198"/>
  <c r="H1198"/>
  <c r="I1198"/>
  <c r="J1198"/>
  <c r="K1198"/>
  <c r="M1198"/>
  <c r="P1198"/>
  <c r="R1198"/>
  <c r="S1198"/>
  <c r="T1198"/>
  <c r="U1198"/>
  <c r="X1198"/>
  <c r="Y1198"/>
  <c r="Z1198"/>
  <c r="AA1198"/>
  <c r="AB1198"/>
  <c r="AC1198"/>
  <c r="AD1198"/>
  <c r="AE1198"/>
  <c r="AF1198"/>
  <c r="AG1198"/>
  <c r="AH1198"/>
  <c r="AI1198"/>
  <c r="AJ1198"/>
  <c r="AK1198"/>
  <c r="C1199"/>
  <c r="H1199"/>
  <c r="I1199"/>
  <c r="J1199"/>
  <c r="K1199"/>
  <c r="M1199"/>
  <c r="P1199"/>
  <c r="R1199"/>
  <c r="S1199"/>
  <c r="T1199"/>
  <c r="U1199"/>
  <c r="X1199"/>
  <c r="Y1199"/>
  <c r="Z1199"/>
  <c r="AA1199"/>
  <c r="AB1199"/>
  <c r="AC1199"/>
  <c r="AD1199"/>
  <c r="AE1199"/>
  <c r="AF1199"/>
  <c r="AG1199"/>
  <c r="AH1199"/>
  <c r="AI1199"/>
  <c r="AJ1199"/>
  <c r="AK1199"/>
  <c r="C1200"/>
  <c r="H1200"/>
  <c r="I1200"/>
  <c r="J1200"/>
  <c r="K1200"/>
  <c r="M1200"/>
  <c r="P1200"/>
  <c r="R1200"/>
  <c r="S1200"/>
  <c r="T1200"/>
  <c r="U1200"/>
  <c r="X1200"/>
  <c r="Y1200"/>
  <c r="Z1200"/>
  <c r="AA1200"/>
  <c r="AB1200"/>
  <c r="AC1200"/>
  <c r="AD1200"/>
  <c r="AE1200"/>
  <c r="AF1200"/>
  <c r="AG1200"/>
  <c r="AH1200"/>
  <c r="AI1200"/>
  <c r="AJ1200"/>
  <c r="AK1200"/>
  <c r="C1201"/>
  <c r="H1201"/>
  <c r="I1201"/>
  <c r="J1201"/>
  <c r="K1201"/>
  <c r="M1201"/>
  <c r="P1201"/>
  <c r="R1201"/>
  <c r="S1201"/>
  <c r="T1201"/>
  <c r="U1201"/>
  <c r="X1201"/>
  <c r="Y1201"/>
  <c r="Z1201"/>
  <c r="AA1201"/>
  <c r="AB1201"/>
  <c r="AC1201"/>
  <c r="AD1201"/>
  <c r="AE1201"/>
  <c r="AF1201"/>
  <c r="AG1201"/>
  <c r="AH1201"/>
  <c r="AI1201"/>
  <c r="AJ1201"/>
  <c r="AK1201"/>
  <c r="C1182"/>
  <c r="H1182"/>
  <c r="I1182"/>
  <c r="J1182"/>
  <c r="K1182"/>
  <c r="M1182"/>
  <c r="P1182"/>
  <c r="R1182"/>
  <c r="S1182"/>
  <c r="T1182"/>
  <c r="U1182"/>
  <c r="X1182"/>
  <c r="Y1182"/>
  <c r="Z1182"/>
  <c r="AA1182"/>
  <c r="AB1182"/>
  <c r="AC1182"/>
  <c r="AD1182"/>
  <c r="AE1182"/>
  <c r="AF1182"/>
  <c r="AG1182"/>
  <c r="AH1182"/>
  <c r="AI1182"/>
  <c r="AJ1182"/>
  <c r="AK1182"/>
  <c r="C1183"/>
  <c r="H1183"/>
  <c r="I1183"/>
  <c r="J1183"/>
  <c r="K1183"/>
  <c r="M1183"/>
  <c r="P1183"/>
  <c r="R1183"/>
  <c r="S1183"/>
  <c r="T1183"/>
  <c r="U1183"/>
  <c r="X1183"/>
  <c r="Y1183"/>
  <c r="Z1183"/>
  <c r="AA1183"/>
  <c r="AB1183"/>
  <c r="AC1183"/>
  <c r="AD1183"/>
  <c r="AE1183"/>
  <c r="AF1183"/>
  <c r="AG1183"/>
  <c r="AH1183"/>
  <c r="AI1183"/>
  <c r="AJ1183"/>
  <c r="AK1183"/>
  <c r="C1184"/>
  <c r="H1184"/>
  <c r="I1184"/>
  <c r="J1184"/>
  <c r="K1184"/>
  <c r="M1184"/>
  <c r="P1184"/>
  <c r="R1184"/>
  <c r="S1184"/>
  <c r="T1184"/>
  <c r="U1184"/>
  <c r="X1184"/>
  <c r="Y1184"/>
  <c r="Z1184"/>
  <c r="AA1184"/>
  <c r="AB1184"/>
  <c r="AC1184"/>
  <c r="AD1184"/>
  <c r="AE1184"/>
  <c r="AF1184"/>
  <c r="AG1184"/>
  <c r="AH1184"/>
  <c r="AI1184"/>
  <c r="AJ1184"/>
  <c r="AK1184"/>
  <c r="C1185"/>
  <c r="H1185"/>
  <c r="I1185"/>
  <c r="J1185"/>
  <c r="K1185"/>
  <c r="M1185"/>
  <c r="P1185"/>
  <c r="R1185"/>
  <c r="S1185"/>
  <c r="T1185"/>
  <c r="U1185"/>
  <c r="X1185"/>
  <c r="Y1185"/>
  <c r="Z1185"/>
  <c r="AA1185"/>
  <c r="AB1185"/>
  <c r="AC1185"/>
  <c r="AD1185"/>
  <c r="AE1185"/>
  <c r="AF1185"/>
  <c r="AG1185"/>
  <c r="AH1185"/>
  <c r="AI1185"/>
  <c r="AJ1185"/>
  <c r="AK1185"/>
  <c r="C1186"/>
  <c r="H1186"/>
  <c r="I1186"/>
  <c r="J1186"/>
  <c r="K1186"/>
  <c r="M1186"/>
  <c r="P1186"/>
  <c r="R1186"/>
  <c r="S1186"/>
  <c r="T1186"/>
  <c r="U1186"/>
  <c r="X1186"/>
  <c r="Y1186"/>
  <c r="Z1186"/>
  <c r="AA1186"/>
  <c r="AB1186"/>
  <c r="AC1186"/>
  <c r="AD1186"/>
  <c r="AE1186"/>
  <c r="AF1186"/>
  <c r="AG1186"/>
  <c r="AH1186"/>
  <c r="AI1186"/>
  <c r="AJ1186"/>
  <c r="AK1186"/>
  <c r="C1187"/>
  <c r="H1187"/>
  <c r="I1187"/>
  <c r="J1187"/>
  <c r="K1187"/>
  <c r="M1187"/>
  <c r="P1187"/>
  <c r="R1187"/>
  <c r="S1187"/>
  <c r="T1187"/>
  <c r="U1187"/>
  <c r="X1187"/>
  <c r="Y1187"/>
  <c r="Z1187"/>
  <c r="AA1187"/>
  <c r="AB1187"/>
  <c r="AC1187"/>
  <c r="AD1187"/>
  <c r="AE1187"/>
  <c r="AF1187"/>
  <c r="AG1187"/>
  <c r="AH1187"/>
  <c r="AI1187"/>
  <c r="AJ1187"/>
  <c r="AK1187"/>
  <c r="C1188"/>
  <c r="H1188"/>
  <c r="I1188"/>
  <c r="J1188"/>
  <c r="K1188"/>
  <c r="M1188"/>
  <c r="P1188"/>
  <c r="R1188"/>
  <c r="S1188"/>
  <c r="T1188"/>
  <c r="U1188"/>
  <c r="X1188"/>
  <c r="Y1188"/>
  <c r="Z1188"/>
  <c r="AA1188"/>
  <c r="AB1188"/>
  <c r="AC1188"/>
  <c r="AD1188"/>
  <c r="AE1188"/>
  <c r="AF1188"/>
  <c r="AG1188"/>
  <c r="AH1188"/>
  <c r="AI1188"/>
  <c r="AJ1188"/>
  <c r="AK1188"/>
  <c r="C1189"/>
  <c r="H1189"/>
  <c r="I1189"/>
  <c r="J1189"/>
  <c r="K1189"/>
  <c r="M1189"/>
  <c r="P1189"/>
  <c r="R1189"/>
  <c r="S1189"/>
  <c r="T1189"/>
  <c r="U1189"/>
  <c r="X1189"/>
  <c r="Y1189"/>
  <c r="Z1189"/>
  <c r="AA1189"/>
  <c r="AB1189"/>
  <c r="AC1189"/>
  <c r="AD1189"/>
  <c r="AE1189"/>
  <c r="AF1189"/>
  <c r="AG1189"/>
  <c r="AH1189"/>
  <c r="AI1189"/>
  <c r="AJ1189"/>
  <c r="AK1189"/>
  <c r="C1190"/>
  <c r="H1190"/>
  <c r="I1190"/>
  <c r="J1190"/>
  <c r="K1190"/>
  <c r="M1190"/>
  <c r="P1190"/>
  <c r="R1190"/>
  <c r="S1190"/>
  <c r="T1190"/>
  <c r="U1190"/>
  <c r="X1190"/>
  <c r="Y1190"/>
  <c r="Z1190"/>
  <c r="AA1190"/>
  <c r="AB1190"/>
  <c r="AC1190"/>
  <c r="AD1190"/>
  <c r="AE1190"/>
  <c r="AF1190"/>
  <c r="AG1190"/>
  <c r="AH1190"/>
  <c r="AI1190"/>
  <c r="AJ1190"/>
  <c r="AK1190"/>
  <c r="C1191"/>
  <c r="H1191"/>
  <c r="I1191"/>
  <c r="J1191"/>
  <c r="K1191"/>
  <c r="M1191"/>
  <c r="P1191"/>
  <c r="R1191"/>
  <c r="S1191"/>
  <c r="T1191"/>
  <c r="U1191"/>
  <c r="X1191"/>
  <c r="Y1191"/>
  <c r="Z1191"/>
  <c r="AA1191"/>
  <c r="AB1191"/>
  <c r="AC1191"/>
  <c r="AD1191"/>
  <c r="AE1191"/>
  <c r="AF1191"/>
  <c r="AG1191"/>
  <c r="AH1191"/>
  <c r="AI1191"/>
  <c r="AJ1191"/>
  <c r="AK1191"/>
  <c r="C1172"/>
  <c r="H1172"/>
  <c r="I1172"/>
  <c r="J1172"/>
  <c r="K1172"/>
  <c r="M1172"/>
  <c r="P1172"/>
  <c r="R1172"/>
  <c r="S1172"/>
  <c r="T1172"/>
  <c r="U1172"/>
  <c r="X1172"/>
  <c r="Y1172"/>
  <c r="Z1172"/>
  <c r="AA1172"/>
  <c r="AB1172"/>
  <c r="AC1172"/>
  <c r="AD1172"/>
  <c r="AE1172"/>
  <c r="AF1172"/>
  <c r="AG1172"/>
  <c r="AH1172"/>
  <c r="AI1172"/>
  <c r="AJ1172"/>
  <c r="AK1172"/>
  <c r="C1173"/>
  <c r="H1173"/>
  <c r="I1173"/>
  <c r="J1173"/>
  <c r="K1173"/>
  <c r="M1173"/>
  <c r="P1173"/>
  <c r="R1173"/>
  <c r="S1173"/>
  <c r="T1173"/>
  <c r="U1173"/>
  <c r="X1173"/>
  <c r="Y1173"/>
  <c r="Z1173"/>
  <c r="AA1173"/>
  <c r="AB1173"/>
  <c r="AC1173"/>
  <c r="AD1173"/>
  <c r="AE1173"/>
  <c r="AF1173"/>
  <c r="AG1173"/>
  <c r="AH1173"/>
  <c r="AI1173"/>
  <c r="AJ1173"/>
  <c r="AK1173"/>
  <c r="C1174"/>
  <c r="H1174"/>
  <c r="I1174"/>
  <c r="J1174"/>
  <c r="K1174"/>
  <c r="M1174"/>
  <c r="P1174"/>
  <c r="R1174"/>
  <c r="S1174"/>
  <c r="T1174"/>
  <c r="U1174"/>
  <c r="X1174"/>
  <c r="Y1174"/>
  <c r="Z1174"/>
  <c r="AA1174"/>
  <c r="AB1174"/>
  <c r="AC1174"/>
  <c r="AD1174"/>
  <c r="AE1174"/>
  <c r="AF1174"/>
  <c r="AG1174"/>
  <c r="AH1174"/>
  <c r="AI1174"/>
  <c r="AJ1174"/>
  <c r="AK1174"/>
  <c r="C1175"/>
  <c r="H1175"/>
  <c r="I1175"/>
  <c r="J1175"/>
  <c r="K1175"/>
  <c r="M1175"/>
  <c r="P1175"/>
  <c r="R1175"/>
  <c r="S1175"/>
  <c r="T1175"/>
  <c r="U1175"/>
  <c r="X1175"/>
  <c r="Y1175"/>
  <c r="Z1175"/>
  <c r="AA1175"/>
  <c r="AB1175"/>
  <c r="AC1175"/>
  <c r="AD1175"/>
  <c r="AE1175"/>
  <c r="AF1175"/>
  <c r="AG1175"/>
  <c r="AH1175"/>
  <c r="AI1175"/>
  <c r="AJ1175"/>
  <c r="AK1175"/>
  <c r="C1176"/>
  <c r="H1176"/>
  <c r="I1176"/>
  <c r="J1176"/>
  <c r="K1176"/>
  <c r="M1176"/>
  <c r="P1176"/>
  <c r="R1176"/>
  <c r="S1176"/>
  <c r="T1176"/>
  <c r="U1176"/>
  <c r="X1176"/>
  <c r="Y1176"/>
  <c r="Z1176"/>
  <c r="AA1176"/>
  <c r="AB1176"/>
  <c r="AC1176"/>
  <c r="AD1176"/>
  <c r="AE1176"/>
  <c r="AF1176"/>
  <c r="AG1176"/>
  <c r="AH1176"/>
  <c r="AI1176"/>
  <c r="AJ1176"/>
  <c r="AK1176"/>
  <c r="C1177"/>
  <c r="H1177"/>
  <c r="I1177"/>
  <c r="J1177"/>
  <c r="K1177"/>
  <c r="M1177"/>
  <c r="P1177"/>
  <c r="R1177"/>
  <c r="S1177"/>
  <c r="T1177"/>
  <c r="U1177"/>
  <c r="X1177"/>
  <c r="Y1177"/>
  <c r="Z1177"/>
  <c r="AA1177"/>
  <c r="AB1177"/>
  <c r="AC1177"/>
  <c r="AD1177"/>
  <c r="AE1177"/>
  <c r="AF1177"/>
  <c r="AG1177"/>
  <c r="AH1177"/>
  <c r="AI1177"/>
  <c r="AJ1177"/>
  <c r="AK1177"/>
  <c r="C1178"/>
  <c r="H1178"/>
  <c r="I1178"/>
  <c r="J1178"/>
  <c r="K1178"/>
  <c r="M1178"/>
  <c r="P1178"/>
  <c r="R1178"/>
  <c r="S1178"/>
  <c r="T1178"/>
  <c r="U1178"/>
  <c r="X1178"/>
  <c r="Y1178"/>
  <c r="Z1178"/>
  <c r="AA1178"/>
  <c r="AB1178"/>
  <c r="AC1178"/>
  <c r="AD1178"/>
  <c r="AE1178"/>
  <c r="AF1178"/>
  <c r="AG1178"/>
  <c r="AH1178"/>
  <c r="AI1178"/>
  <c r="AJ1178"/>
  <c r="AK1178"/>
  <c r="C1179"/>
  <c r="H1179"/>
  <c r="I1179"/>
  <c r="J1179"/>
  <c r="K1179"/>
  <c r="M1179"/>
  <c r="P1179"/>
  <c r="R1179"/>
  <c r="S1179"/>
  <c r="T1179"/>
  <c r="U1179"/>
  <c r="X1179"/>
  <c r="Y1179"/>
  <c r="Z1179"/>
  <c r="AA1179"/>
  <c r="AB1179"/>
  <c r="AC1179"/>
  <c r="AD1179"/>
  <c r="AE1179"/>
  <c r="AF1179"/>
  <c r="AG1179"/>
  <c r="AH1179"/>
  <c r="AI1179"/>
  <c r="AJ1179"/>
  <c r="AK1179"/>
  <c r="C1180"/>
  <c r="H1180"/>
  <c r="I1180"/>
  <c r="J1180"/>
  <c r="K1180"/>
  <c r="M1180"/>
  <c r="P1180"/>
  <c r="R1180"/>
  <c r="S1180"/>
  <c r="T1180"/>
  <c r="U1180"/>
  <c r="X1180"/>
  <c r="Y1180"/>
  <c r="Z1180"/>
  <c r="AA1180"/>
  <c r="AB1180"/>
  <c r="AC1180"/>
  <c r="AD1180"/>
  <c r="AE1180"/>
  <c r="AF1180"/>
  <c r="AG1180"/>
  <c r="AH1180"/>
  <c r="AI1180"/>
  <c r="AJ1180"/>
  <c r="AK1180"/>
  <c r="C1181"/>
  <c r="H1181"/>
  <c r="I1181"/>
  <c r="J1181"/>
  <c r="K1181"/>
  <c r="M1181"/>
  <c r="P1181"/>
  <c r="R1181"/>
  <c r="S1181"/>
  <c r="T1181"/>
  <c r="U1181"/>
  <c r="X1181"/>
  <c r="Y1181"/>
  <c r="Z1181"/>
  <c r="AA1181"/>
  <c r="AB1181"/>
  <c r="AC1181"/>
  <c r="AD1181"/>
  <c r="AE1181"/>
  <c r="AF1181"/>
  <c r="AG1181"/>
  <c r="AH1181"/>
  <c r="AI1181"/>
  <c r="AJ1181"/>
  <c r="AK1181"/>
  <c r="C1162"/>
  <c r="H1162"/>
  <c r="I1162"/>
  <c r="J1162"/>
  <c r="K1162"/>
  <c r="M1162"/>
  <c r="P1162"/>
  <c r="R1162"/>
  <c r="S1162"/>
  <c r="T1162"/>
  <c r="U1162"/>
  <c r="X1162"/>
  <c r="Y1162"/>
  <c r="Z1162"/>
  <c r="AA1162"/>
  <c r="AB1162"/>
  <c r="AC1162"/>
  <c r="AD1162"/>
  <c r="AE1162"/>
  <c r="AF1162"/>
  <c r="AG1162"/>
  <c r="AH1162"/>
  <c r="AI1162"/>
  <c r="AJ1162"/>
  <c r="AK1162"/>
  <c r="C1163"/>
  <c r="H1163"/>
  <c r="I1163"/>
  <c r="J1163"/>
  <c r="K1163"/>
  <c r="M1163"/>
  <c r="P1163"/>
  <c r="R1163"/>
  <c r="S1163"/>
  <c r="T1163"/>
  <c r="U1163"/>
  <c r="X1163"/>
  <c r="Y1163"/>
  <c r="Z1163"/>
  <c r="AA1163"/>
  <c r="AB1163"/>
  <c r="AC1163"/>
  <c r="AD1163"/>
  <c r="AE1163"/>
  <c r="AF1163"/>
  <c r="AG1163"/>
  <c r="AH1163"/>
  <c r="AI1163"/>
  <c r="AJ1163"/>
  <c r="AK1163"/>
  <c r="C1164"/>
  <c r="H1164"/>
  <c r="I1164"/>
  <c r="J1164"/>
  <c r="K1164"/>
  <c r="M1164"/>
  <c r="P1164"/>
  <c r="R1164"/>
  <c r="S1164"/>
  <c r="T1164"/>
  <c r="U1164"/>
  <c r="X1164"/>
  <c r="Y1164"/>
  <c r="Z1164"/>
  <c r="AA1164"/>
  <c r="AB1164"/>
  <c r="AC1164"/>
  <c r="AD1164"/>
  <c r="AE1164"/>
  <c r="AF1164"/>
  <c r="AG1164"/>
  <c r="AH1164"/>
  <c r="AI1164"/>
  <c r="AJ1164"/>
  <c r="AK1164"/>
  <c r="C1165"/>
  <c r="H1165"/>
  <c r="I1165"/>
  <c r="J1165"/>
  <c r="K1165"/>
  <c r="M1165"/>
  <c r="P1165"/>
  <c r="R1165"/>
  <c r="S1165"/>
  <c r="T1165"/>
  <c r="U1165"/>
  <c r="X1165"/>
  <c r="Y1165"/>
  <c r="Z1165"/>
  <c r="AA1165"/>
  <c r="AB1165"/>
  <c r="AC1165"/>
  <c r="AD1165"/>
  <c r="AE1165"/>
  <c r="AF1165"/>
  <c r="AG1165"/>
  <c r="AH1165"/>
  <c r="AI1165"/>
  <c r="AJ1165"/>
  <c r="AK1165"/>
  <c r="C1166"/>
  <c r="H1166"/>
  <c r="I1166"/>
  <c r="J1166"/>
  <c r="K1166"/>
  <c r="M1166"/>
  <c r="P1166"/>
  <c r="R1166"/>
  <c r="S1166"/>
  <c r="T1166"/>
  <c r="U1166"/>
  <c r="X1166"/>
  <c r="Y1166"/>
  <c r="Z1166"/>
  <c r="AA1166"/>
  <c r="AB1166"/>
  <c r="AC1166"/>
  <c r="AD1166"/>
  <c r="AE1166"/>
  <c r="AF1166"/>
  <c r="AG1166"/>
  <c r="AH1166"/>
  <c r="AI1166"/>
  <c r="AJ1166"/>
  <c r="AK1166"/>
  <c r="C1167"/>
  <c r="H1167"/>
  <c r="I1167"/>
  <c r="J1167"/>
  <c r="K1167"/>
  <c r="M1167"/>
  <c r="P1167"/>
  <c r="R1167"/>
  <c r="S1167"/>
  <c r="T1167"/>
  <c r="U1167"/>
  <c r="X1167"/>
  <c r="Y1167"/>
  <c r="Z1167"/>
  <c r="AA1167"/>
  <c r="AB1167"/>
  <c r="AC1167"/>
  <c r="AD1167"/>
  <c r="AE1167"/>
  <c r="AF1167"/>
  <c r="AG1167"/>
  <c r="AH1167"/>
  <c r="AI1167"/>
  <c r="AJ1167"/>
  <c r="AK1167"/>
  <c r="C1168"/>
  <c r="H1168"/>
  <c r="I1168"/>
  <c r="J1168"/>
  <c r="K1168"/>
  <c r="M1168"/>
  <c r="P1168"/>
  <c r="R1168"/>
  <c r="S1168"/>
  <c r="T1168"/>
  <c r="U1168"/>
  <c r="X1168"/>
  <c r="Y1168"/>
  <c r="Z1168"/>
  <c r="AA1168"/>
  <c r="AB1168"/>
  <c r="AC1168"/>
  <c r="AD1168"/>
  <c r="AE1168"/>
  <c r="AF1168"/>
  <c r="AG1168"/>
  <c r="AH1168"/>
  <c r="AI1168"/>
  <c r="AJ1168"/>
  <c r="AK1168"/>
  <c r="C1169"/>
  <c r="H1169"/>
  <c r="I1169"/>
  <c r="J1169"/>
  <c r="K1169"/>
  <c r="M1169"/>
  <c r="P1169"/>
  <c r="R1169"/>
  <c r="S1169"/>
  <c r="T1169"/>
  <c r="U1169"/>
  <c r="X1169"/>
  <c r="Y1169"/>
  <c r="Z1169"/>
  <c r="AA1169"/>
  <c r="AB1169"/>
  <c r="AC1169"/>
  <c r="AD1169"/>
  <c r="AE1169"/>
  <c r="AF1169"/>
  <c r="AG1169"/>
  <c r="AH1169"/>
  <c r="AI1169"/>
  <c r="AJ1169"/>
  <c r="AK1169"/>
  <c r="C1170"/>
  <c r="H1170"/>
  <c r="I1170"/>
  <c r="J1170"/>
  <c r="K1170"/>
  <c r="M1170"/>
  <c r="P1170"/>
  <c r="R1170"/>
  <c r="S1170"/>
  <c r="T1170"/>
  <c r="U1170"/>
  <c r="X1170"/>
  <c r="Y1170"/>
  <c r="Z1170"/>
  <c r="AA1170"/>
  <c r="AB1170"/>
  <c r="AC1170"/>
  <c r="AD1170"/>
  <c r="AE1170"/>
  <c r="AF1170"/>
  <c r="AG1170"/>
  <c r="AH1170"/>
  <c r="AI1170"/>
  <c r="AJ1170"/>
  <c r="AK1170"/>
  <c r="C1171"/>
  <c r="H1171"/>
  <c r="I1171"/>
  <c r="J1171"/>
  <c r="K1171"/>
  <c r="M1171"/>
  <c r="P1171"/>
  <c r="R1171"/>
  <c r="S1171"/>
  <c r="T1171"/>
  <c r="U1171"/>
  <c r="X1171"/>
  <c r="Y1171"/>
  <c r="Z1171"/>
  <c r="AA1171"/>
  <c r="AB1171"/>
  <c r="AC1171"/>
  <c r="AD1171"/>
  <c r="AE1171"/>
  <c r="AF1171"/>
  <c r="AG1171"/>
  <c r="AH1171"/>
  <c r="AI1171"/>
  <c r="AJ1171"/>
  <c r="AK1171"/>
  <c r="C1152"/>
  <c r="H1152"/>
  <c r="I1152"/>
  <c r="J1152"/>
  <c r="K1152"/>
  <c r="M1152"/>
  <c r="P1152"/>
  <c r="R1152"/>
  <c r="S1152"/>
  <c r="T1152"/>
  <c r="U1152"/>
  <c r="X1152"/>
  <c r="Y1152"/>
  <c r="Z1152"/>
  <c r="AA1152"/>
  <c r="AB1152"/>
  <c r="AC1152"/>
  <c r="AD1152"/>
  <c r="AE1152"/>
  <c r="AF1152"/>
  <c r="AG1152"/>
  <c r="AH1152"/>
  <c r="AI1152"/>
  <c r="AJ1152"/>
  <c r="AK1152"/>
  <c r="C1153"/>
  <c r="H1153"/>
  <c r="I1153"/>
  <c r="J1153"/>
  <c r="K1153"/>
  <c r="M1153"/>
  <c r="P1153"/>
  <c r="R1153"/>
  <c r="S1153"/>
  <c r="T1153"/>
  <c r="U1153"/>
  <c r="X1153"/>
  <c r="Y1153"/>
  <c r="Z1153"/>
  <c r="AA1153"/>
  <c r="AB1153"/>
  <c r="AC1153"/>
  <c r="AD1153"/>
  <c r="AE1153"/>
  <c r="AF1153"/>
  <c r="AG1153"/>
  <c r="AH1153"/>
  <c r="AI1153"/>
  <c r="AJ1153"/>
  <c r="AK1153"/>
  <c r="C1154"/>
  <c r="H1154"/>
  <c r="I1154"/>
  <c r="J1154"/>
  <c r="K1154"/>
  <c r="M1154"/>
  <c r="P1154"/>
  <c r="R1154"/>
  <c r="S1154"/>
  <c r="T1154"/>
  <c r="U1154"/>
  <c r="X1154"/>
  <c r="Y1154"/>
  <c r="Z1154"/>
  <c r="AA1154"/>
  <c r="AB1154"/>
  <c r="AC1154"/>
  <c r="AD1154"/>
  <c r="AE1154"/>
  <c r="AF1154"/>
  <c r="AG1154"/>
  <c r="AH1154"/>
  <c r="AI1154"/>
  <c r="AJ1154"/>
  <c r="AK1154"/>
  <c r="C1155"/>
  <c r="H1155"/>
  <c r="I1155"/>
  <c r="J1155"/>
  <c r="K1155"/>
  <c r="M1155"/>
  <c r="P1155"/>
  <c r="R1155"/>
  <c r="S1155"/>
  <c r="T1155"/>
  <c r="U1155"/>
  <c r="X1155"/>
  <c r="Y1155"/>
  <c r="Z1155"/>
  <c r="AA1155"/>
  <c r="AB1155"/>
  <c r="AC1155"/>
  <c r="AD1155"/>
  <c r="AE1155"/>
  <c r="AF1155"/>
  <c r="AG1155"/>
  <c r="AH1155"/>
  <c r="AI1155"/>
  <c r="AJ1155"/>
  <c r="AK1155"/>
  <c r="C1156"/>
  <c r="H1156"/>
  <c r="I1156"/>
  <c r="J1156"/>
  <c r="K1156"/>
  <c r="M1156"/>
  <c r="P1156"/>
  <c r="R1156"/>
  <c r="S1156"/>
  <c r="T1156"/>
  <c r="U1156"/>
  <c r="X1156"/>
  <c r="Y1156"/>
  <c r="Z1156"/>
  <c r="AA1156"/>
  <c r="AB1156"/>
  <c r="AC1156"/>
  <c r="AD1156"/>
  <c r="AE1156"/>
  <c r="AF1156"/>
  <c r="AG1156"/>
  <c r="AH1156"/>
  <c r="AI1156"/>
  <c r="AJ1156"/>
  <c r="AK1156"/>
  <c r="C1157"/>
  <c r="H1157"/>
  <c r="I1157"/>
  <c r="J1157"/>
  <c r="K1157"/>
  <c r="M1157"/>
  <c r="P1157"/>
  <c r="R1157"/>
  <c r="S1157"/>
  <c r="T1157"/>
  <c r="U1157"/>
  <c r="X1157"/>
  <c r="Y1157"/>
  <c r="Z1157"/>
  <c r="AA1157"/>
  <c r="AB1157"/>
  <c r="AC1157"/>
  <c r="AD1157"/>
  <c r="AE1157"/>
  <c r="AF1157"/>
  <c r="AG1157"/>
  <c r="AH1157"/>
  <c r="AI1157"/>
  <c r="AJ1157"/>
  <c r="AK1157"/>
  <c r="C1158"/>
  <c r="H1158"/>
  <c r="I1158"/>
  <c r="J1158"/>
  <c r="K1158"/>
  <c r="M1158"/>
  <c r="P1158"/>
  <c r="R1158"/>
  <c r="S1158"/>
  <c r="T1158"/>
  <c r="U1158"/>
  <c r="X1158"/>
  <c r="Y1158"/>
  <c r="Z1158"/>
  <c r="AA1158"/>
  <c r="AB1158"/>
  <c r="AC1158"/>
  <c r="AD1158"/>
  <c r="AE1158"/>
  <c r="AF1158"/>
  <c r="AG1158"/>
  <c r="AH1158"/>
  <c r="AI1158"/>
  <c r="AJ1158"/>
  <c r="AK1158"/>
  <c r="C1159"/>
  <c r="H1159"/>
  <c r="I1159"/>
  <c r="J1159"/>
  <c r="K1159"/>
  <c r="M1159"/>
  <c r="P1159"/>
  <c r="R1159"/>
  <c r="S1159"/>
  <c r="T1159"/>
  <c r="U1159"/>
  <c r="X1159"/>
  <c r="Y1159"/>
  <c r="Z1159"/>
  <c r="AA1159"/>
  <c r="AB1159"/>
  <c r="AC1159"/>
  <c r="AD1159"/>
  <c r="AE1159"/>
  <c r="AF1159"/>
  <c r="AG1159"/>
  <c r="AH1159"/>
  <c r="AI1159"/>
  <c r="AJ1159"/>
  <c r="AK1159"/>
  <c r="C1160"/>
  <c r="H1160"/>
  <c r="I1160"/>
  <c r="J1160"/>
  <c r="K1160"/>
  <c r="M1160"/>
  <c r="P1160"/>
  <c r="R1160"/>
  <c r="S1160"/>
  <c r="T1160"/>
  <c r="U1160"/>
  <c r="X1160"/>
  <c r="Y1160"/>
  <c r="Z1160"/>
  <c r="AA1160"/>
  <c r="AB1160"/>
  <c r="AC1160"/>
  <c r="AD1160"/>
  <c r="AE1160"/>
  <c r="AF1160"/>
  <c r="AG1160"/>
  <c r="AH1160"/>
  <c r="AI1160"/>
  <c r="AJ1160"/>
  <c r="AK1160"/>
  <c r="C1161"/>
  <c r="H1161"/>
  <c r="I1161"/>
  <c r="J1161"/>
  <c r="K1161"/>
  <c r="M1161"/>
  <c r="P1161"/>
  <c r="R1161"/>
  <c r="S1161"/>
  <c r="T1161"/>
  <c r="U1161"/>
  <c r="X1161"/>
  <c r="Y1161"/>
  <c r="Z1161"/>
  <c r="AA1161"/>
  <c r="AB1161"/>
  <c r="AC1161"/>
  <c r="AD1161"/>
  <c r="AE1161"/>
  <c r="AF1161"/>
  <c r="AG1161"/>
  <c r="AH1161"/>
  <c r="AI1161"/>
  <c r="AJ1161"/>
  <c r="AK1161"/>
  <c r="C1142"/>
  <c r="H1142"/>
  <c r="I1142"/>
  <c r="J1142"/>
  <c r="K1142"/>
  <c r="M1142"/>
  <c r="P1142"/>
  <c r="R1142"/>
  <c r="S1142"/>
  <c r="T1142"/>
  <c r="U1142"/>
  <c r="X1142"/>
  <c r="Y1142"/>
  <c r="Z1142"/>
  <c r="AA1142"/>
  <c r="AB1142"/>
  <c r="AC1142"/>
  <c r="AD1142"/>
  <c r="AE1142"/>
  <c r="AF1142"/>
  <c r="AG1142"/>
  <c r="AH1142"/>
  <c r="AI1142"/>
  <c r="AJ1142"/>
  <c r="AK1142"/>
  <c r="C1143"/>
  <c r="H1143"/>
  <c r="I1143"/>
  <c r="J1143"/>
  <c r="K1143"/>
  <c r="M1143"/>
  <c r="P1143"/>
  <c r="R1143"/>
  <c r="S1143"/>
  <c r="T1143"/>
  <c r="U1143"/>
  <c r="X1143"/>
  <c r="Y1143"/>
  <c r="Z1143"/>
  <c r="AA1143"/>
  <c r="AB1143"/>
  <c r="AC1143"/>
  <c r="AD1143"/>
  <c r="AE1143"/>
  <c r="AF1143"/>
  <c r="AG1143"/>
  <c r="AH1143"/>
  <c r="AI1143"/>
  <c r="AJ1143"/>
  <c r="AK1143"/>
  <c r="C1144"/>
  <c r="H1144"/>
  <c r="I1144"/>
  <c r="J1144"/>
  <c r="K1144"/>
  <c r="M1144"/>
  <c r="P1144"/>
  <c r="R1144"/>
  <c r="S1144"/>
  <c r="T1144"/>
  <c r="U1144"/>
  <c r="X1144"/>
  <c r="Y1144"/>
  <c r="Z1144"/>
  <c r="AA1144"/>
  <c r="AB1144"/>
  <c r="AC1144"/>
  <c r="AD1144"/>
  <c r="AE1144"/>
  <c r="AF1144"/>
  <c r="AG1144"/>
  <c r="AH1144"/>
  <c r="AI1144"/>
  <c r="AJ1144"/>
  <c r="AK1144"/>
  <c r="C1145"/>
  <c r="H1145"/>
  <c r="I1145"/>
  <c r="J1145"/>
  <c r="K1145"/>
  <c r="M1145"/>
  <c r="P1145"/>
  <c r="R1145"/>
  <c r="S1145"/>
  <c r="T1145"/>
  <c r="U1145"/>
  <c r="X1145"/>
  <c r="Y1145"/>
  <c r="Z1145"/>
  <c r="AA1145"/>
  <c r="AB1145"/>
  <c r="AC1145"/>
  <c r="AD1145"/>
  <c r="AE1145"/>
  <c r="AF1145"/>
  <c r="AG1145"/>
  <c r="AH1145"/>
  <c r="AI1145"/>
  <c r="AJ1145"/>
  <c r="AK1145"/>
  <c r="C1146"/>
  <c r="H1146"/>
  <c r="I1146"/>
  <c r="J1146"/>
  <c r="K1146"/>
  <c r="M1146"/>
  <c r="P1146"/>
  <c r="R1146"/>
  <c r="S1146"/>
  <c r="T1146"/>
  <c r="U1146"/>
  <c r="X1146"/>
  <c r="Y1146"/>
  <c r="Z1146"/>
  <c r="AA1146"/>
  <c r="AB1146"/>
  <c r="AC1146"/>
  <c r="AD1146"/>
  <c r="AE1146"/>
  <c r="AF1146"/>
  <c r="AG1146"/>
  <c r="AH1146"/>
  <c r="AI1146"/>
  <c r="AJ1146"/>
  <c r="AK1146"/>
  <c r="C1147"/>
  <c r="H1147"/>
  <c r="I1147"/>
  <c r="J1147"/>
  <c r="K1147"/>
  <c r="M1147"/>
  <c r="P1147"/>
  <c r="R1147"/>
  <c r="S1147"/>
  <c r="T1147"/>
  <c r="U1147"/>
  <c r="X1147"/>
  <c r="Y1147"/>
  <c r="Z1147"/>
  <c r="AA1147"/>
  <c r="AB1147"/>
  <c r="AC1147"/>
  <c r="AD1147"/>
  <c r="AE1147"/>
  <c r="AF1147"/>
  <c r="AG1147"/>
  <c r="AH1147"/>
  <c r="AI1147"/>
  <c r="AJ1147"/>
  <c r="AK1147"/>
  <c r="C1148"/>
  <c r="H1148"/>
  <c r="I1148"/>
  <c r="J1148"/>
  <c r="K1148"/>
  <c r="M1148"/>
  <c r="P1148"/>
  <c r="R1148"/>
  <c r="S1148"/>
  <c r="T1148"/>
  <c r="U1148"/>
  <c r="X1148"/>
  <c r="Y1148"/>
  <c r="Z1148"/>
  <c r="AA1148"/>
  <c r="AB1148"/>
  <c r="AC1148"/>
  <c r="AD1148"/>
  <c r="AE1148"/>
  <c r="AF1148"/>
  <c r="AG1148"/>
  <c r="AH1148"/>
  <c r="AI1148"/>
  <c r="AJ1148"/>
  <c r="AK1148"/>
  <c r="C1149"/>
  <c r="H1149"/>
  <c r="I1149"/>
  <c r="J1149"/>
  <c r="K1149"/>
  <c r="M1149"/>
  <c r="P1149"/>
  <c r="R1149"/>
  <c r="S1149"/>
  <c r="T1149"/>
  <c r="U1149"/>
  <c r="X1149"/>
  <c r="Y1149"/>
  <c r="Z1149"/>
  <c r="AA1149"/>
  <c r="AB1149"/>
  <c r="AC1149"/>
  <c r="AD1149"/>
  <c r="AE1149"/>
  <c r="AF1149"/>
  <c r="AG1149"/>
  <c r="AH1149"/>
  <c r="AI1149"/>
  <c r="AJ1149"/>
  <c r="AK1149"/>
  <c r="C1150"/>
  <c r="H1150"/>
  <c r="I1150"/>
  <c r="J1150"/>
  <c r="K1150"/>
  <c r="M1150"/>
  <c r="P1150"/>
  <c r="R1150"/>
  <c r="S1150"/>
  <c r="T1150"/>
  <c r="U1150"/>
  <c r="X1150"/>
  <c r="Y1150"/>
  <c r="Z1150"/>
  <c r="AA1150"/>
  <c r="AB1150"/>
  <c r="AC1150"/>
  <c r="AD1150"/>
  <c r="AE1150"/>
  <c r="AF1150"/>
  <c r="AG1150"/>
  <c r="AH1150"/>
  <c r="AI1150"/>
  <c r="AJ1150"/>
  <c r="AK1150"/>
  <c r="C1151"/>
  <c r="H1151"/>
  <c r="I1151"/>
  <c r="J1151"/>
  <c r="K1151"/>
  <c r="M1151"/>
  <c r="P1151"/>
  <c r="R1151"/>
  <c r="S1151"/>
  <c r="T1151"/>
  <c r="U1151"/>
  <c r="X1151"/>
  <c r="Y1151"/>
  <c r="Z1151"/>
  <c r="AA1151"/>
  <c r="AB1151"/>
  <c r="AC1151"/>
  <c r="AD1151"/>
  <c r="AE1151"/>
  <c r="AF1151"/>
  <c r="AG1151"/>
  <c r="AH1151"/>
  <c r="AI1151"/>
  <c r="AJ1151"/>
  <c r="AK1151"/>
  <c r="C1132"/>
  <c r="H1132"/>
  <c r="I1132"/>
  <c r="J1132"/>
  <c r="K1132"/>
  <c r="M1132"/>
  <c r="P1132"/>
  <c r="R1132"/>
  <c r="S1132"/>
  <c r="T1132"/>
  <c r="U1132"/>
  <c r="X1132"/>
  <c r="Y1132"/>
  <c r="Z1132"/>
  <c r="AA1132"/>
  <c r="AB1132"/>
  <c r="AC1132"/>
  <c r="AD1132"/>
  <c r="AE1132"/>
  <c r="AF1132"/>
  <c r="AG1132"/>
  <c r="AH1132"/>
  <c r="AI1132"/>
  <c r="AJ1132"/>
  <c r="AK1132"/>
  <c r="C1133"/>
  <c r="H1133"/>
  <c r="I1133"/>
  <c r="J1133"/>
  <c r="K1133"/>
  <c r="M1133"/>
  <c r="P1133"/>
  <c r="R1133"/>
  <c r="S1133"/>
  <c r="T1133"/>
  <c r="U1133"/>
  <c r="X1133"/>
  <c r="Y1133"/>
  <c r="Z1133"/>
  <c r="AA1133"/>
  <c r="AB1133"/>
  <c r="AC1133"/>
  <c r="AD1133"/>
  <c r="AE1133"/>
  <c r="AF1133"/>
  <c r="AG1133"/>
  <c r="AH1133"/>
  <c r="AI1133"/>
  <c r="AJ1133"/>
  <c r="AK1133"/>
  <c r="C1134"/>
  <c r="H1134"/>
  <c r="I1134"/>
  <c r="J1134"/>
  <c r="K1134"/>
  <c r="M1134"/>
  <c r="P1134"/>
  <c r="R1134"/>
  <c r="S1134"/>
  <c r="T1134"/>
  <c r="U1134"/>
  <c r="X1134"/>
  <c r="Y1134"/>
  <c r="Z1134"/>
  <c r="AA1134"/>
  <c r="AB1134"/>
  <c r="AC1134"/>
  <c r="AD1134"/>
  <c r="AE1134"/>
  <c r="AF1134"/>
  <c r="AG1134"/>
  <c r="AH1134"/>
  <c r="AI1134"/>
  <c r="AJ1134"/>
  <c r="AK1134"/>
  <c r="C1135"/>
  <c r="H1135"/>
  <c r="I1135"/>
  <c r="J1135"/>
  <c r="K1135"/>
  <c r="M1135"/>
  <c r="P1135"/>
  <c r="R1135"/>
  <c r="S1135"/>
  <c r="T1135"/>
  <c r="U1135"/>
  <c r="X1135"/>
  <c r="Y1135"/>
  <c r="Z1135"/>
  <c r="AA1135"/>
  <c r="AB1135"/>
  <c r="AC1135"/>
  <c r="AD1135"/>
  <c r="AE1135"/>
  <c r="AF1135"/>
  <c r="AG1135"/>
  <c r="AH1135"/>
  <c r="AI1135"/>
  <c r="AJ1135"/>
  <c r="AK1135"/>
  <c r="C1136"/>
  <c r="H1136"/>
  <c r="I1136"/>
  <c r="J1136"/>
  <c r="K1136"/>
  <c r="M1136"/>
  <c r="P1136"/>
  <c r="R1136"/>
  <c r="S1136"/>
  <c r="T1136"/>
  <c r="U1136"/>
  <c r="X1136"/>
  <c r="Y1136"/>
  <c r="Z1136"/>
  <c r="AA1136"/>
  <c r="AB1136"/>
  <c r="AC1136"/>
  <c r="AD1136"/>
  <c r="AE1136"/>
  <c r="AF1136"/>
  <c r="AG1136"/>
  <c r="AH1136"/>
  <c r="AI1136"/>
  <c r="AJ1136"/>
  <c r="AK1136"/>
  <c r="C1137"/>
  <c r="H1137"/>
  <c r="I1137"/>
  <c r="J1137"/>
  <c r="K1137"/>
  <c r="M1137"/>
  <c r="P1137"/>
  <c r="R1137"/>
  <c r="S1137"/>
  <c r="T1137"/>
  <c r="U1137"/>
  <c r="X1137"/>
  <c r="Y1137"/>
  <c r="Z1137"/>
  <c r="AA1137"/>
  <c r="AB1137"/>
  <c r="AC1137"/>
  <c r="AD1137"/>
  <c r="AE1137"/>
  <c r="AF1137"/>
  <c r="AG1137"/>
  <c r="AH1137"/>
  <c r="AI1137"/>
  <c r="AJ1137"/>
  <c r="AK1137"/>
  <c r="C1138"/>
  <c r="H1138"/>
  <c r="I1138"/>
  <c r="J1138"/>
  <c r="K1138"/>
  <c r="M1138"/>
  <c r="P1138"/>
  <c r="R1138"/>
  <c r="S1138"/>
  <c r="T1138"/>
  <c r="U1138"/>
  <c r="X1138"/>
  <c r="Y1138"/>
  <c r="Z1138"/>
  <c r="AA1138"/>
  <c r="AB1138"/>
  <c r="AC1138"/>
  <c r="AD1138"/>
  <c r="AE1138"/>
  <c r="AF1138"/>
  <c r="AG1138"/>
  <c r="AH1138"/>
  <c r="AI1138"/>
  <c r="AJ1138"/>
  <c r="AK1138"/>
  <c r="C1139"/>
  <c r="H1139"/>
  <c r="I1139"/>
  <c r="J1139"/>
  <c r="K1139"/>
  <c r="M1139"/>
  <c r="P1139"/>
  <c r="R1139"/>
  <c r="S1139"/>
  <c r="T1139"/>
  <c r="U1139"/>
  <c r="X1139"/>
  <c r="Y1139"/>
  <c r="Z1139"/>
  <c r="AA1139"/>
  <c r="AB1139"/>
  <c r="AC1139"/>
  <c r="AD1139"/>
  <c r="AE1139"/>
  <c r="AF1139"/>
  <c r="AG1139"/>
  <c r="AH1139"/>
  <c r="AI1139"/>
  <c r="AJ1139"/>
  <c r="AK1139"/>
  <c r="C1140"/>
  <c r="H1140"/>
  <c r="I1140"/>
  <c r="J1140"/>
  <c r="K1140"/>
  <c r="M1140"/>
  <c r="P1140"/>
  <c r="R1140"/>
  <c r="S1140"/>
  <c r="T1140"/>
  <c r="U1140"/>
  <c r="X1140"/>
  <c r="Y1140"/>
  <c r="Z1140"/>
  <c r="AA1140"/>
  <c r="AB1140"/>
  <c r="AC1140"/>
  <c r="AD1140"/>
  <c r="AE1140"/>
  <c r="AF1140"/>
  <c r="AG1140"/>
  <c r="AH1140"/>
  <c r="AI1140"/>
  <c r="AJ1140"/>
  <c r="AK1140"/>
  <c r="C1141"/>
  <c r="H1141"/>
  <c r="I1141"/>
  <c r="J1141"/>
  <c r="K1141"/>
  <c r="M1141"/>
  <c r="P1141"/>
  <c r="R1141"/>
  <c r="S1141"/>
  <c r="T1141"/>
  <c r="U1141"/>
  <c r="X1141"/>
  <c r="Y1141"/>
  <c r="Z1141"/>
  <c r="AA1141"/>
  <c r="AB1141"/>
  <c r="AC1141"/>
  <c r="AD1141"/>
  <c r="AE1141"/>
  <c r="AF1141"/>
  <c r="AG1141"/>
  <c r="AH1141"/>
  <c r="AI1141"/>
  <c r="AJ1141"/>
  <c r="AK1141"/>
  <c r="C1122"/>
  <c r="H1122"/>
  <c r="I1122"/>
  <c r="J1122"/>
  <c r="K1122"/>
  <c r="M1122"/>
  <c r="P1122"/>
  <c r="R1122"/>
  <c r="S1122"/>
  <c r="T1122"/>
  <c r="U1122"/>
  <c r="X1122"/>
  <c r="Y1122"/>
  <c r="Z1122"/>
  <c r="AA1122"/>
  <c r="AB1122"/>
  <c r="AC1122"/>
  <c r="AD1122"/>
  <c r="AE1122"/>
  <c r="AF1122"/>
  <c r="AG1122"/>
  <c r="AH1122"/>
  <c r="AI1122"/>
  <c r="AJ1122"/>
  <c r="AK1122"/>
  <c r="C1123"/>
  <c r="H1123"/>
  <c r="I1123"/>
  <c r="J1123"/>
  <c r="K1123"/>
  <c r="M1123"/>
  <c r="P1123"/>
  <c r="R1123"/>
  <c r="S1123"/>
  <c r="T1123"/>
  <c r="U1123"/>
  <c r="X1123"/>
  <c r="Y1123"/>
  <c r="Z1123"/>
  <c r="AA1123"/>
  <c r="AB1123"/>
  <c r="AC1123"/>
  <c r="AD1123"/>
  <c r="AE1123"/>
  <c r="AF1123"/>
  <c r="AG1123"/>
  <c r="AH1123"/>
  <c r="AI1123"/>
  <c r="AJ1123"/>
  <c r="AK1123"/>
  <c r="C1124"/>
  <c r="H1124"/>
  <c r="I1124"/>
  <c r="J1124"/>
  <c r="K1124"/>
  <c r="M1124"/>
  <c r="P1124"/>
  <c r="R1124"/>
  <c r="S1124"/>
  <c r="T1124"/>
  <c r="U1124"/>
  <c r="X1124"/>
  <c r="Y1124"/>
  <c r="Z1124"/>
  <c r="AA1124"/>
  <c r="AB1124"/>
  <c r="AC1124"/>
  <c r="AD1124"/>
  <c r="AE1124"/>
  <c r="AF1124"/>
  <c r="AG1124"/>
  <c r="AH1124"/>
  <c r="AI1124"/>
  <c r="AJ1124"/>
  <c r="AK1124"/>
  <c r="C1125"/>
  <c r="H1125"/>
  <c r="I1125"/>
  <c r="J1125"/>
  <c r="K1125"/>
  <c r="M1125"/>
  <c r="P1125"/>
  <c r="R1125"/>
  <c r="S1125"/>
  <c r="T1125"/>
  <c r="U1125"/>
  <c r="X1125"/>
  <c r="Y1125"/>
  <c r="Z1125"/>
  <c r="AA1125"/>
  <c r="AB1125"/>
  <c r="AC1125"/>
  <c r="AD1125"/>
  <c r="AE1125"/>
  <c r="AF1125"/>
  <c r="AG1125"/>
  <c r="AH1125"/>
  <c r="AI1125"/>
  <c r="AJ1125"/>
  <c r="AK1125"/>
  <c r="C1126"/>
  <c r="H1126"/>
  <c r="I1126"/>
  <c r="J1126"/>
  <c r="K1126"/>
  <c r="M1126"/>
  <c r="P1126"/>
  <c r="R1126"/>
  <c r="S1126"/>
  <c r="T1126"/>
  <c r="U1126"/>
  <c r="X1126"/>
  <c r="Y1126"/>
  <c r="Z1126"/>
  <c r="AA1126"/>
  <c r="AB1126"/>
  <c r="AC1126"/>
  <c r="AD1126"/>
  <c r="AE1126"/>
  <c r="AF1126"/>
  <c r="AG1126"/>
  <c r="AH1126"/>
  <c r="AI1126"/>
  <c r="AJ1126"/>
  <c r="AK1126"/>
  <c r="C1127"/>
  <c r="H1127"/>
  <c r="I1127"/>
  <c r="J1127"/>
  <c r="K1127"/>
  <c r="M1127"/>
  <c r="P1127"/>
  <c r="R1127"/>
  <c r="S1127"/>
  <c r="T1127"/>
  <c r="U1127"/>
  <c r="X1127"/>
  <c r="Y1127"/>
  <c r="Z1127"/>
  <c r="AA1127"/>
  <c r="AB1127"/>
  <c r="AC1127"/>
  <c r="AD1127"/>
  <c r="AE1127"/>
  <c r="AF1127"/>
  <c r="AG1127"/>
  <c r="AH1127"/>
  <c r="AI1127"/>
  <c r="AJ1127"/>
  <c r="AK1127"/>
  <c r="C1128"/>
  <c r="H1128"/>
  <c r="I1128"/>
  <c r="J1128"/>
  <c r="K1128"/>
  <c r="M1128"/>
  <c r="P1128"/>
  <c r="R1128"/>
  <c r="S1128"/>
  <c r="T1128"/>
  <c r="U1128"/>
  <c r="X1128"/>
  <c r="Y1128"/>
  <c r="Z1128"/>
  <c r="AA1128"/>
  <c r="AB1128"/>
  <c r="AC1128"/>
  <c r="AD1128"/>
  <c r="AE1128"/>
  <c r="AF1128"/>
  <c r="AG1128"/>
  <c r="AH1128"/>
  <c r="AI1128"/>
  <c r="AJ1128"/>
  <c r="AK1128"/>
  <c r="C1129"/>
  <c r="H1129"/>
  <c r="I1129"/>
  <c r="J1129"/>
  <c r="K1129"/>
  <c r="M1129"/>
  <c r="P1129"/>
  <c r="R1129"/>
  <c r="S1129"/>
  <c r="T1129"/>
  <c r="U1129"/>
  <c r="X1129"/>
  <c r="Y1129"/>
  <c r="Z1129"/>
  <c r="AA1129"/>
  <c r="AB1129"/>
  <c r="AC1129"/>
  <c r="AD1129"/>
  <c r="AE1129"/>
  <c r="AF1129"/>
  <c r="AG1129"/>
  <c r="AH1129"/>
  <c r="AI1129"/>
  <c r="AJ1129"/>
  <c r="AK1129"/>
  <c r="C1130"/>
  <c r="H1130"/>
  <c r="I1130"/>
  <c r="J1130"/>
  <c r="K1130"/>
  <c r="M1130"/>
  <c r="P1130"/>
  <c r="R1130"/>
  <c r="S1130"/>
  <c r="T1130"/>
  <c r="U1130"/>
  <c r="X1130"/>
  <c r="Y1130"/>
  <c r="Z1130"/>
  <c r="AA1130"/>
  <c r="AB1130"/>
  <c r="AC1130"/>
  <c r="AD1130"/>
  <c r="AE1130"/>
  <c r="AF1130"/>
  <c r="AG1130"/>
  <c r="AH1130"/>
  <c r="AI1130"/>
  <c r="AJ1130"/>
  <c r="AK1130"/>
  <c r="C1131"/>
  <c r="H1131"/>
  <c r="I1131"/>
  <c r="J1131"/>
  <c r="K1131"/>
  <c r="M1131"/>
  <c r="P1131"/>
  <c r="R1131"/>
  <c r="S1131"/>
  <c r="T1131"/>
  <c r="U1131"/>
  <c r="X1131"/>
  <c r="Y1131"/>
  <c r="Z1131"/>
  <c r="AA1131"/>
  <c r="AB1131"/>
  <c r="AC1131"/>
  <c r="AD1131"/>
  <c r="AE1131"/>
  <c r="AF1131"/>
  <c r="AG1131"/>
  <c r="AH1131"/>
  <c r="AI1131"/>
  <c r="AJ1131"/>
  <c r="AK1131"/>
  <c r="C1112"/>
  <c r="H1112"/>
  <c r="I1112"/>
  <c r="J1112"/>
  <c r="K1112"/>
  <c r="M1112"/>
  <c r="P1112"/>
  <c r="R1112"/>
  <c r="S1112"/>
  <c r="T1112"/>
  <c r="U1112"/>
  <c r="X1112"/>
  <c r="Y1112"/>
  <c r="Z1112"/>
  <c r="AA1112"/>
  <c r="AB1112"/>
  <c r="AC1112"/>
  <c r="AD1112"/>
  <c r="AE1112"/>
  <c r="AF1112"/>
  <c r="AG1112"/>
  <c r="AH1112"/>
  <c r="AI1112"/>
  <c r="AJ1112"/>
  <c r="AK1112"/>
  <c r="C1113"/>
  <c r="H1113"/>
  <c r="I1113"/>
  <c r="J1113"/>
  <c r="K1113"/>
  <c r="M1113"/>
  <c r="P1113"/>
  <c r="R1113"/>
  <c r="S1113"/>
  <c r="T1113"/>
  <c r="U1113"/>
  <c r="X1113"/>
  <c r="Y1113"/>
  <c r="Z1113"/>
  <c r="AA1113"/>
  <c r="AB1113"/>
  <c r="AC1113"/>
  <c r="AD1113"/>
  <c r="AE1113"/>
  <c r="AF1113"/>
  <c r="AG1113"/>
  <c r="AH1113"/>
  <c r="AI1113"/>
  <c r="AJ1113"/>
  <c r="AK1113"/>
  <c r="C1114"/>
  <c r="H1114"/>
  <c r="I1114"/>
  <c r="J1114"/>
  <c r="K1114"/>
  <c r="M1114"/>
  <c r="P1114"/>
  <c r="R1114"/>
  <c r="S1114"/>
  <c r="T1114"/>
  <c r="U1114"/>
  <c r="X1114"/>
  <c r="Y1114"/>
  <c r="Z1114"/>
  <c r="AA1114"/>
  <c r="AB1114"/>
  <c r="AC1114"/>
  <c r="AD1114"/>
  <c r="AE1114"/>
  <c r="AF1114"/>
  <c r="AG1114"/>
  <c r="AH1114"/>
  <c r="AI1114"/>
  <c r="AJ1114"/>
  <c r="AK1114"/>
  <c r="C1115"/>
  <c r="H1115"/>
  <c r="I1115"/>
  <c r="J1115"/>
  <c r="K1115"/>
  <c r="M1115"/>
  <c r="P1115"/>
  <c r="R1115"/>
  <c r="S1115"/>
  <c r="T1115"/>
  <c r="U1115"/>
  <c r="X1115"/>
  <c r="Y1115"/>
  <c r="Z1115"/>
  <c r="AA1115"/>
  <c r="AB1115"/>
  <c r="AC1115"/>
  <c r="AD1115"/>
  <c r="AE1115"/>
  <c r="AF1115"/>
  <c r="AG1115"/>
  <c r="AH1115"/>
  <c r="AI1115"/>
  <c r="AJ1115"/>
  <c r="AK1115"/>
  <c r="C1116"/>
  <c r="H1116"/>
  <c r="I1116"/>
  <c r="J1116"/>
  <c r="K1116"/>
  <c r="M1116"/>
  <c r="P1116"/>
  <c r="R1116"/>
  <c r="S1116"/>
  <c r="T1116"/>
  <c r="U1116"/>
  <c r="X1116"/>
  <c r="Y1116"/>
  <c r="Z1116"/>
  <c r="AA1116"/>
  <c r="AB1116"/>
  <c r="AC1116"/>
  <c r="AD1116"/>
  <c r="AE1116"/>
  <c r="AF1116"/>
  <c r="AG1116"/>
  <c r="AH1116"/>
  <c r="AI1116"/>
  <c r="AJ1116"/>
  <c r="AK1116"/>
  <c r="C1117"/>
  <c r="H1117"/>
  <c r="I1117"/>
  <c r="J1117"/>
  <c r="K1117"/>
  <c r="M1117"/>
  <c r="P1117"/>
  <c r="R1117"/>
  <c r="S1117"/>
  <c r="T1117"/>
  <c r="U1117"/>
  <c r="X1117"/>
  <c r="Y1117"/>
  <c r="Z1117"/>
  <c r="AA1117"/>
  <c r="AB1117"/>
  <c r="AC1117"/>
  <c r="AD1117"/>
  <c r="AE1117"/>
  <c r="AF1117"/>
  <c r="AG1117"/>
  <c r="AH1117"/>
  <c r="AI1117"/>
  <c r="AJ1117"/>
  <c r="AK1117"/>
  <c r="C1118"/>
  <c r="H1118"/>
  <c r="I1118"/>
  <c r="J1118"/>
  <c r="K1118"/>
  <c r="M1118"/>
  <c r="P1118"/>
  <c r="R1118"/>
  <c r="S1118"/>
  <c r="T1118"/>
  <c r="U1118"/>
  <c r="X1118"/>
  <c r="Y1118"/>
  <c r="Z1118"/>
  <c r="AA1118"/>
  <c r="AB1118"/>
  <c r="AC1118"/>
  <c r="AD1118"/>
  <c r="AE1118"/>
  <c r="AF1118"/>
  <c r="AG1118"/>
  <c r="AH1118"/>
  <c r="AI1118"/>
  <c r="AJ1118"/>
  <c r="AK1118"/>
  <c r="C1119"/>
  <c r="H1119"/>
  <c r="I1119"/>
  <c r="J1119"/>
  <c r="K1119"/>
  <c r="M1119"/>
  <c r="P1119"/>
  <c r="R1119"/>
  <c r="S1119"/>
  <c r="T1119"/>
  <c r="U1119"/>
  <c r="X1119"/>
  <c r="Y1119"/>
  <c r="Z1119"/>
  <c r="AA1119"/>
  <c r="AB1119"/>
  <c r="AC1119"/>
  <c r="AD1119"/>
  <c r="AE1119"/>
  <c r="AF1119"/>
  <c r="AG1119"/>
  <c r="AH1119"/>
  <c r="AI1119"/>
  <c r="AJ1119"/>
  <c r="AK1119"/>
  <c r="C1120"/>
  <c r="H1120"/>
  <c r="I1120"/>
  <c r="J1120"/>
  <c r="K1120"/>
  <c r="M1120"/>
  <c r="P1120"/>
  <c r="R1120"/>
  <c r="S1120"/>
  <c r="T1120"/>
  <c r="U1120"/>
  <c r="X1120"/>
  <c r="Y1120"/>
  <c r="Z1120"/>
  <c r="AA1120"/>
  <c r="AB1120"/>
  <c r="AC1120"/>
  <c r="AD1120"/>
  <c r="AE1120"/>
  <c r="AF1120"/>
  <c r="AG1120"/>
  <c r="AH1120"/>
  <c r="AI1120"/>
  <c r="AJ1120"/>
  <c r="AK1120"/>
  <c r="C1121"/>
  <c r="H1121"/>
  <c r="I1121"/>
  <c r="J1121"/>
  <c r="K1121"/>
  <c r="M1121"/>
  <c r="P1121"/>
  <c r="R1121"/>
  <c r="S1121"/>
  <c r="T1121"/>
  <c r="U1121"/>
  <c r="X1121"/>
  <c r="Y1121"/>
  <c r="Z1121"/>
  <c r="AA1121"/>
  <c r="AB1121"/>
  <c r="AC1121"/>
  <c r="AD1121"/>
  <c r="AE1121"/>
  <c r="AF1121"/>
  <c r="AG1121"/>
  <c r="AH1121"/>
  <c r="AI1121"/>
  <c r="AJ1121"/>
  <c r="AK1121"/>
  <c r="C1102"/>
  <c r="H1102"/>
  <c r="I1102"/>
  <c r="J1102"/>
  <c r="K1102"/>
  <c r="M1102"/>
  <c r="P1102"/>
  <c r="R1102"/>
  <c r="S1102"/>
  <c r="T1102"/>
  <c r="U1102"/>
  <c r="X1102"/>
  <c r="Y1102"/>
  <c r="Z1102"/>
  <c r="AA1102"/>
  <c r="AB1102"/>
  <c r="AC1102"/>
  <c r="AD1102"/>
  <c r="AE1102"/>
  <c r="AF1102"/>
  <c r="AG1102"/>
  <c r="AH1102"/>
  <c r="AI1102"/>
  <c r="AJ1102"/>
  <c r="AK1102"/>
  <c r="C1103"/>
  <c r="H1103"/>
  <c r="I1103"/>
  <c r="J1103"/>
  <c r="K1103"/>
  <c r="M1103"/>
  <c r="P1103"/>
  <c r="R1103"/>
  <c r="S1103"/>
  <c r="T1103"/>
  <c r="U1103"/>
  <c r="X1103"/>
  <c r="Y1103"/>
  <c r="Z1103"/>
  <c r="AA1103"/>
  <c r="AB1103"/>
  <c r="AC1103"/>
  <c r="AD1103"/>
  <c r="AE1103"/>
  <c r="AF1103"/>
  <c r="AG1103"/>
  <c r="AH1103"/>
  <c r="AI1103"/>
  <c r="AJ1103"/>
  <c r="AK1103"/>
  <c r="C1104"/>
  <c r="H1104"/>
  <c r="I1104"/>
  <c r="J1104"/>
  <c r="K1104"/>
  <c r="M1104"/>
  <c r="P1104"/>
  <c r="R1104"/>
  <c r="S1104"/>
  <c r="T1104"/>
  <c r="U1104"/>
  <c r="X1104"/>
  <c r="Y1104"/>
  <c r="Z1104"/>
  <c r="AA1104"/>
  <c r="AB1104"/>
  <c r="AC1104"/>
  <c r="AD1104"/>
  <c r="AE1104"/>
  <c r="AF1104"/>
  <c r="AG1104"/>
  <c r="AH1104"/>
  <c r="AI1104"/>
  <c r="AJ1104"/>
  <c r="AK1104"/>
  <c r="C1105"/>
  <c r="H1105"/>
  <c r="I1105"/>
  <c r="J1105"/>
  <c r="K1105"/>
  <c r="M1105"/>
  <c r="P1105"/>
  <c r="R1105"/>
  <c r="S1105"/>
  <c r="T1105"/>
  <c r="U1105"/>
  <c r="X1105"/>
  <c r="Y1105"/>
  <c r="Z1105"/>
  <c r="AA1105"/>
  <c r="AB1105"/>
  <c r="AC1105"/>
  <c r="AD1105"/>
  <c r="AE1105"/>
  <c r="AF1105"/>
  <c r="AG1105"/>
  <c r="AH1105"/>
  <c r="AI1105"/>
  <c r="AJ1105"/>
  <c r="AK1105"/>
  <c r="C1106"/>
  <c r="H1106"/>
  <c r="I1106"/>
  <c r="J1106"/>
  <c r="K1106"/>
  <c r="M1106"/>
  <c r="P1106"/>
  <c r="R1106"/>
  <c r="S1106"/>
  <c r="T1106"/>
  <c r="U1106"/>
  <c r="X1106"/>
  <c r="Y1106"/>
  <c r="Z1106"/>
  <c r="AA1106"/>
  <c r="AB1106"/>
  <c r="AC1106"/>
  <c r="AD1106"/>
  <c r="AE1106"/>
  <c r="AF1106"/>
  <c r="AG1106"/>
  <c r="AH1106"/>
  <c r="AI1106"/>
  <c r="AJ1106"/>
  <c r="AK1106"/>
  <c r="C1107"/>
  <c r="H1107"/>
  <c r="I1107"/>
  <c r="J1107"/>
  <c r="K1107"/>
  <c r="M1107"/>
  <c r="P1107"/>
  <c r="R1107"/>
  <c r="S1107"/>
  <c r="T1107"/>
  <c r="U1107"/>
  <c r="X1107"/>
  <c r="Y1107"/>
  <c r="Z1107"/>
  <c r="AA1107"/>
  <c r="AB1107"/>
  <c r="AC1107"/>
  <c r="AD1107"/>
  <c r="AE1107"/>
  <c r="AF1107"/>
  <c r="AG1107"/>
  <c r="AH1107"/>
  <c r="AI1107"/>
  <c r="AJ1107"/>
  <c r="AK1107"/>
  <c r="C1108"/>
  <c r="H1108"/>
  <c r="I1108"/>
  <c r="J1108"/>
  <c r="K1108"/>
  <c r="M1108"/>
  <c r="P1108"/>
  <c r="R1108"/>
  <c r="S1108"/>
  <c r="T1108"/>
  <c r="U1108"/>
  <c r="X1108"/>
  <c r="Y1108"/>
  <c r="Z1108"/>
  <c r="AA1108"/>
  <c r="AB1108"/>
  <c r="AC1108"/>
  <c r="AD1108"/>
  <c r="AE1108"/>
  <c r="AF1108"/>
  <c r="AG1108"/>
  <c r="AH1108"/>
  <c r="AI1108"/>
  <c r="AJ1108"/>
  <c r="AK1108"/>
  <c r="C1109"/>
  <c r="H1109"/>
  <c r="I1109"/>
  <c r="J1109"/>
  <c r="K1109"/>
  <c r="M1109"/>
  <c r="P1109"/>
  <c r="R1109"/>
  <c r="S1109"/>
  <c r="T1109"/>
  <c r="U1109"/>
  <c r="X1109"/>
  <c r="Y1109"/>
  <c r="Z1109"/>
  <c r="AA1109"/>
  <c r="AB1109"/>
  <c r="AC1109"/>
  <c r="AD1109"/>
  <c r="AE1109"/>
  <c r="AF1109"/>
  <c r="AG1109"/>
  <c r="AH1109"/>
  <c r="AI1109"/>
  <c r="AJ1109"/>
  <c r="AK1109"/>
  <c r="C1110"/>
  <c r="H1110"/>
  <c r="I1110"/>
  <c r="J1110"/>
  <c r="K1110"/>
  <c r="M1110"/>
  <c r="P1110"/>
  <c r="R1110"/>
  <c r="S1110"/>
  <c r="T1110"/>
  <c r="U1110"/>
  <c r="X1110"/>
  <c r="Y1110"/>
  <c r="Z1110"/>
  <c r="AA1110"/>
  <c r="AB1110"/>
  <c r="AC1110"/>
  <c r="AD1110"/>
  <c r="AE1110"/>
  <c r="AF1110"/>
  <c r="AG1110"/>
  <c r="AH1110"/>
  <c r="AI1110"/>
  <c r="AJ1110"/>
  <c r="AK1110"/>
  <c r="C1111"/>
  <c r="H1111"/>
  <c r="I1111"/>
  <c r="J1111"/>
  <c r="K1111"/>
  <c r="M1111"/>
  <c r="P1111"/>
  <c r="R1111"/>
  <c r="S1111"/>
  <c r="T1111"/>
  <c r="U1111"/>
  <c r="X1111"/>
  <c r="Y1111"/>
  <c r="Z1111"/>
  <c r="AA1111"/>
  <c r="AB1111"/>
  <c r="AC1111"/>
  <c r="AD1111"/>
  <c r="AE1111"/>
  <c r="AF1111"/>
  <c r="AG1111"/>
  <c r="AH1111"/>
  <c r="AI1111"/>
  <c r="AJ1111"/>
  <c r="AK1111"/>
  <c r="C1092"/>
  <c r="H1092"/>
  <c r="I1092"/>
  <c r="J1092"/>
  <c r="K1092"/>
  <c r="M1092"/>
  <c r="P1092"/>
  <c r="R1092"/>
  <c r="S1092"/>
  <c r="T1092"/>
  <c r="U1092"/>
  <c r="X1092"/>
  <c r="Y1092"/>
  <c r="Z1092"/>
  <c r="AA1092"/>
  <c r="AB1092"/>
  <c r="AC1092"/>
  <c r="AD1092"/>
  <c r="AE1092"/>
  <c r="AF1092"/>
  <c r="AG1092"/>
  <c r="AH1092"/>
  <c r="AI1092"/>
  <c r="AJ1092"/>
  <c r="AK1092"/>
  <c r="C1093"/>
  <c r="H1093"/>
  <c r="I1093"/>
  <c r="J1093"/>
  <c r="K1093"/>
  <c r="M1093"/>
  <c r="P1093"/>
  <c r="R1093"/>
  <c r="S1093"/>
  <c r="T1093"/>
  <c r="U1093"/>
  <c r="X1093"/>
  <c r="Y1093"/>
  <c r="Z1093"/>
  <c r="AA1093"/>
  <c r="AB1093"/>
  <c r="AC1093"/>
  <c r="AD1093"/>
  <c r="AE1093"/>
  <c r="AF1093"/>
  <c r="AG1093"/>
  <c r="AH1093"/>
  <c r="AI1093"/>
  <c r="AJ1093"/>
  <c r="AK1093"/>
  <c r="C1094"/>
  <c r="H1094"/>
  <c r="I1094"/>
  <c r="J1094"/>
  <c r="K1094"/>
  <c r="M1094"/>
  <c r="P1094"/>
  <c r="R1094"/>
  <c r="S1094"/>
  <c r="T1094"/>
  <c r="U1094"/>
  <c r="X1094"/>
  <c r="Y1094"/>
  <c r="Z1094"/>
  <c r="AA1094"/>
  <c r="AB1094"/>
  <c r="AC1094"/>
  <c r="AD1094"/>
  <c r="AE1094"/>
  <c r="AF1094"/>
  <c r="AG1094"/>
  <c r="AH1094"/>
  <c r="AI1094"/>
  <c r="AJ1094"/>
  <c r="AK1094"/>
  <c r="C1095"/>
  <c r="H1095"/>
  <c r="I1095"/>
  <c r="J1095"/>
  <c r="K1095"/>
  <c r="M1095"/>
  <c r="P1095"/>
  <c r="R1095"/>
  <c r="S1095"/>
  <c r="T1095"/>
  <c r="U1095"/>
  <c r="X1095"/>
  <c r="Y1095"/>
  <c r="Z1095"/>
  <c r="AA1095"/>
  <c r="AB1095"/>
  <c r="AC1095"/>
  <c r="AD1095"/>
  <c r="AE1095"/>
  <c r="AF1095"/>
  <c r="AG1095"/>
  <c r="AH1095"/>
  <c r="AI1095"/>
  <c r="AJ1095"/>
  <c r="AK1095"/>
  <c r="C1096"/>
  <c r="H1096"/>
  <c r="I1096"/>
  <c r="J1096"/>
  <c r="K1096"/>
  <c r="M1096"/>
  <c r="P1096"/>
  <c r="R1096"/>
  <c r="S1096"/>
  <c r="T1096"/>
  <c r="U1096"/>
  <c r="X1096"/>
  <c r="Y1096"/>
  <c r="Z1096"/>
  <c r="AA1096"/>
  <c r="AB1096"/>
  <c r="AC1096"/>
  <c r="AD1096"/>
  <c r="AE1096"/>
  <c r="AF1096"/>
  <c r="AG1096"/>
  <c r="AH1096"/>
  <c r="AI1096"/>
  <c r="AJ1096"/>
  <c r="AK1096"/>
  <c r="C1097"/>
  <c r="H1097"/>
  <c r="I1097"/>
  <c r="J1097"/>
  <c r="K1097"/>
  <c r="M1097"/>
  <c r="P1097"/>
  <c r="R1097"/>
  <c r="S1097"/>
  <c r="T1097"/>
  <c r="U1097"/>
  <c r="X1097"/>
  <c r="Y1097"/>
  <c r="Z1097"/>
  <c r="AA1097"/>
  <c r="AB1097"/>
  <c r="AC1097"/>
  <c r="AD1097"/>
  <c r="AE1097"/>
  <c r="AF1097"/>
  <c r="AG1097"/>
  <c r="AH1097"/>
  <c r="AI1097"/>
  <c r="AJ1097"/>
  <c r="AK1097"/>
  <c r="C1098"/>
  <c r="H1098"/>
  <c r="I1098"/>
  <c r="J1098"/>
  <c r="K1098"/>
  <c r="M1098"/>
  <c r="P1098"/>
  <c r="R1098"/>
  <c r="S1098"/>
  <c r="T1098"/>
  <c r="U1098"/>
  <c r="X1098"/>
  <c r="Y1098"/>
  <c r="Z1098"/>
  <c r="AA1098"/>
  <c r="AB1098"/>
  <c r="AC1098"/>
  <c r="AD1098"/>
  <c r="AE1098"/>
  <c r="AF1098"/>
  <c r="AG1098"/>
  <c r="AH1098"/>
  <c r="AI1098"/>
  <c r="AJ1098"/>
  <c r="AK1098"/>
  <c r="C1099"/>
  <c r="H1099"/>
  <c r="I1099"/>
  <c r="J1099"/>
  <c r="K1099"/>
  <c r="M1099"/>
  <c r="P1099"/>
  <c r="R1099"/>
  <c r="S1099"/>
  <c r="T1099"/>
  <c r="U1099"/>
  <c r="X1099"/>
  <c r="Y1099"/>
  <c r="Z1099"/>
  <c r="AA1099"/>
  <c r="AB1099"/>
  <c r="AC1099"/>
  <c r="AD1099"/>
  <c r="AE1099"/>
  <c r="AF1099"/>
  <c r="AG1099"/>
  <c r="AH1099"/>
  <c r="AI1099"/>
  <c r="AJ1099"/>
  <c r="AK1099"/>
  <c r="C1100"/>
  <c r="H1100"/>
  <c r="I1100"/>
  <c r="J1100"/>
  <c r="K1100"/>
  <c r="M1100"/>
  <c r="P1100"/>
  <c r="R1100"/>
  <c r="S1100"/>
  <c r="T1100"/>
  <c r="U1100"/>
  <c r="X1100"/>
  <c r="Y1100"/>
  <c r="Z1100"/>
  <c r="AA1100"/>
  <c r="AB1100"/>
  <c r="AC1100"/>
  <c r="AD1100"/>
  <c r="AE1100"/>
  <c r="AF1100"/>
  <c r="AG1100"/>
  <c r="AH1100"/>
  <c r="AI1100"/>
  <c r="AJ1100"/>
  <c r="AK1100"/>
  <c r="C1101"/>
  <c r="H1101"/>
  <c r="I1101"/>
  <c r="J1101"/>
  <c r="K1101"/>
  <c r="M1101"/>
  <c r="P1101"/>
  <c r="R1101"/>
  <c r="S1101"/>
  <c r="T1101"/>
  <c r="U1101"/>
  <c r="X1101"/>
  <c r="Y1101"/>
  <c r="Z1101"/>
  <c r="AA1101"/>
  <c r="AB1101"/>
  <c r="AC1101"/>
  <c r="AD1101"/>
  <c r="AE1101"/>
  <c r="AF1101"/>
  <c r="AG1101"/>
  <c r="AH1101"/>
  <c r="AI1101"/>
  <c r="AJ1101"/>
  <c r="AK1101"/>
  <c r="C1082"/>
  <c r="H1082"/>
  <c r="I1082"/>
  <c r="J1082"/>
  <c r="K1082"/>
  <c r="M1082"/>
  <c r="P1082"/>
  <c r="R1082"/>
  <c r="S1082"/>
  <c r="T1082"/>
  <c r="U1082"/>
  <c r="X1082"/>
  <c r="Y1082"/>
  <c r="Z1082"/>
  <c r="AA1082"/>
  <c r="AB1082"/>
  <c r="AC1082"/>
  <c r="AD1082"/>
  <c r="AE1082"/>
  <c r="AF1082"/>
  <c r="AG1082"/>
  <c r="AH1082"/>
  <c r="AI1082"/>
  <c r="AJ1082"/>
  <c r="AK1082"/>
  <c r="C1083"/>
  <c r="H1083"/>
  <c r="I1083"/>
  <c r="J1083"/>
  <c r="K1083"/>
  <c r="M1083"/>
  <c r="P1083"/>
  <c r="R1083"/>
  <c r="S1083"/>
  <c r="T1083"/>
  <c r="U1083"/>
  <c r="X1083"/>
  <c r="Y1083"/>
  <c r="Z1083"/>
  <c r="AA1083"/>
  <c r="AB1083"/>
  <c r="AC1083"/>
  <c r="AD1083"/>
  <c r="AE1083"/>
  <c r="AF1083"/>
  <c r="AG1083"/>
  <c r="AH1083"/>
  <c r="AI1083"/>
  <c r="AJ1083"/>
  <c r="AK1083"/>
  <c r="C1084"/>
  <c r="H1084"/>
  <c r="I1084"/>
  <c r="J1084"/>
  <c r="K1084"/>
  <c r="M1084"/>
  <c r="P1084"/>
  <c r="R1084"/>
  <c r="S1084"/>
  <c r="T1084"/>
  <c r="U1084"/>
  <c r="X1084"/>
  <c r="Y1084"/>
  <c r="Z1084"/>
  <c r="AA1084"/>
  <c r="AB1084"/>
  <c r="AC1084"/>
  <c r="AD1084"/>
  <c r="AE1084"/>
  <c r="AF1084"/>
  <c r="AG1084"/>
  <c r="AH1084"/>
  <c r="AI1084"/>
  <c r="AJ1084"/>
  <c r="AK1084"/>
  <c r="C1085"/>
  <c r="H1085"/>
  <c r="I1085"/>
  <c r="J1085"/>
  <c r="K1085"/>
  <c r="M1085"/>
  <c r="P1085"/>
  <c r="R1085"/>
  <c r="S1085"/>
  <c r="T1085"/>
  <c r="U1085"/>
  <c r="X1085"/>
  <c r="Y1085"/>
  <c r="Z1085"/>
  <c r="AA1085"/>
  <c r="AB1085"/>
  <c r="AC1085"/>
  <c r="AD1085"/>
  <c r="AE1085"/>
  <c r="AF1085"/>
  <c r="AG1085"/>
  <c r="AH1085"/>
  <c r="AI1085"/>
  <c r="AJ1085"/>
  <c r="AK1085"/>
  <c r="C1086"/>
  <c r="H1086"/>
  <c r="I1086"/>
  <c r="J1086"/>
  <c r="K1086"/>
  <c r="M1086"/>
  <c r="P1086"/>
  <c r="R1086"/>
  <c r="S1086"/>
  <c r="T1086"/>
  <c r="U1086"/>
  <c r="X1086"/>
  <c r="Y1086"/>
  <c r="Z1086"/>
  <c r="AA1086"/>
  <c r="AB1086"/>
  <c r="AC1086"/>
  <c r="AD1086"/>
  <c r="AE1086"/>
  <c r="AF1086"/>
  <c r="AG1086"/>
  <c r="AH1086"/>
  <c r="AI1086"/>
  <c r="AJ1086"/>
  <c r="AK1086"/>
  <c r="C1087"/>
  <c r="H1087"/>
  <c r="I1087"/>
  <c r="J1087"/>
  <c r="K1087"/>
  <c r="M1087"/>
  <c r="P1087"/>
  <c r="R1087"/>
  <c r="S1087"/>
  <c r="T1087"/>
  <c r="U1087"/>
  <c r="X1087"/>
  <c r="Y1087"/>
  <c r="Z1087"/>
  <c r="AA1087"/>
  <c r="AB1087"/>
  <c r="AC1087"/>
  <c r="AD1087"/>
  <c r="AE1087"/>
  <c r="AF1087"/>
  <c r="AG1087"/>
  <c r="AH1087"/>
  <c r="AI1087"/>
  <c r="AJ1087"/>
  <c r="AK1087"/>
  <c r="C1088"/>
  <c r="H1088"/>
  <c r="I1088"/>
  <c r="J1088"/>
  <c r="K1088"/>
  <c r="M1088"/>
  <c r="P1088"/>
  <c r="R1088"/>
  <c r="S1088"/>
  <c r="T1088"/>
  <c r="U1088"/>
  <c r="X1088"/>
  <c r="Y1088"/>
  <c r="Z1088"/>
  <c r="AA1088"/>
  <c r="AB1088"/>
  <c r="AC1088"/>
  <c r="AD1088"/>
  <c r="AE1088"/>
  <c r="AF1088"/>
  <c r="AG1088"/>
  <c r="AH1088"/>
  <c r="AI1088"/>
  <c r="AJ1088"/>
  <c r="AK1088"/>
  <c r="C1089"/>
  <c r="H1089"/>
  <c r="I1089"/>
  <c r="J1089"/>
  <c r="K1089"/>
  <c r="M1089"/>
  <c r="P1089"/>
  <c r="R1089"/>
  <c r="S1089"/>
  <c r="T1089"/>
  <c r="U1089"/>
  <c r="X1089"/>
  <c r="Y1089"/>
  <c r="Z1089"/>
  <c r="AA1089"/>
  <c r="AB1089"/>
  <c r="AC1089"/>
  <c r="AD1089"/>
  <c r="AE1089"/>
  <c r="AF1089"/>
  <c r="AG1089"/>
  <c r="AH1089"/>
  <c r="AI1089"/>
  <c r="AJ1089"/>
  <c r="AK1089"/>
  <c r="C1090"/>
  <c r="H1090"/>
  <c r="I1090"/>
  <c r="J1090"/>
  <c r="K1090"/>
  <c r="M1090"/>
  <c r="P1090"/>
  <c r="R1090"/>
  <c r="S1090"/>
  <c r="T1090"/>
  <c r="U1090"/>
  <c r="X1090"/>
  <c r="Y1090"/>
  <c r="Z1090"/>
  <c r="AA1090"/>
  <c r="AB1090"/>
  <c r="AC1090"/>
  <c r="AD1090"/>
  <c r="AE1090"/>
  <c r="AF1090"/>
  <c r="AG1090"/>
  <c r="AH1090"/>
  <c r="AI1090"/>
  <c r="AJ1090"/>
  <c r="AK1090"/>
  <c r="C1091"/>
  <c r="H1091"/>
  <c r="I1091"/>
  <c r="J1091"/>
  <c r="K1091"/>
  <c r="M1091"/>
  <c r="P1091"/>
  <c r="R1091"/>
  <c r="S1091"/>
  <c r="T1091"/>
  <c r="U1091"/>
  <c r="X1091"/>
  <c r="Y1091"/>
  <c r="Z1091"/>
  <c r="AA1091"/>
  <c r="AB1091"/>
  <c r="AC1091"/>
  <c r="AD1091"/>
  <c r="AE1091"/>
  <c r="AF1091"/>
  <c r="AG1091"/>
  <c r="AH1091"/>
  <c r="AI1091"/>
  <c r="AJ1091"/>
  <c r="AK1091"/>
  <c r="C1072"/>
  <c r="H1072"/>
  <c r="I1072"/>
  <c r="J1072"/>
  <c r="K1072"/>
  <c r="M1072"/>
  <c r="P1072"/>
  <c r="R1072"/>
  <c r="S1072"/>
  <c r="T1072"/>
  <c r="U1072"/>
  <c r="X1072"/>
  <c r="Y1072"/>
  <c r="Z1072"/>
  <c r="AA1072"/>
  <c r="AB1072"/>
  <c r="AC1072"/>
  <c r="AD1072"/>
  <c r="AE1072"/>
  <c r="AF1072"/>
  <c r="AG1072"/>
  <c r="AH1072"/>
  <c r="AI1072"/>
  <c r="AJ1072"/>
  <c r="AK1072"/>
  <c r="C1073"/>
  <c r="H1073"/>
  <c r="I1073"/>
  <c r="J1073"/>
  <c r="K1073"/>
  <c r="M1073"/>
  <c r="P1073"/>
  <c r="R1073"/>
  <c r="S1073"/>
  <c r="T1073"/>
  <c r="U1073"/>
  <c r="X1073"/>
  <c r="Y1073"/>
  <c r="Z1073"/>
  <c r="AA1073"/>
  <c r="AB1073"/>
  <c r="AC1073"/>
  <c r="AD1073"/>
  <c r="AE1073"/>
  <c r="AF1073"/>
  <c r="AG1073"/>
  <c r="AH1073"/>
  <c r="AI1073"/>
  <c r="AJ1073"/>
  <c r="AK1073"/>
  <c r="C1074"/>
  <c r="H1074"/>
  <c r="I1074"/>
  <c r="J1074"/>
  <c r="K1074"/>
  <c r="M1074"/>
  <c r="P1074"/>
  <c r="R1074"/>
  <c r="S1074"/>
  <c r="T1074"/>
  <c r="U1074"/>
  <c r="X1074"/>
  <c r="Y1074"/>
  <c r="Z1074"/>
  <c r="AA1074"/>
  <c r="AB1074"/>
  <c r="AC1074"/>
  <c r="AD1074"/>
  <c r="AE1074"/>
  <c r="AF1074"/>
  <c r="AG1074"/>
  <c r="AH1074"/>
  <c r="AI1074"/>
  <c r="AJ1074"/>
  <c r="AK1074"/>
  <c r="C1075"/>
  <c r="H1075"/>
  <c r="I1075"/>
  <c r="J1075"/>
  <c r="K1075"/>
  <c r="M1075"/>
  <c r="P1075"/>
  <c r="R1075"/>
  <c r="S1075"/>
  <c r="T1075"/>
  <c r="U1075"/>
  <c r="X1075"/>
  <c r="Y1075"/>
  <c r="Z1075"/>
  <c r="AA1075"/>
  <c r="AB1075"/>
  <c r="AC1075"/>
  <c r="AD1075"/>
  <c r="AE1075"/>
  <c r="AF1075"/>
  <c r="AG1075"/>
  <c r="AH1075"/>
  <c r="AI1075"/>
  <c r="AJ1075"/>
  <c r="AK1075"/>
  <c r="C1076"/>
  <c r="H1076"/>
  <c r="I1076"/>
  <c r="J1076"/>
  <c r="K1076"/>
  <c r="M1076"/>
  <c r="P1076"/>
  <c r="R1076"/>
  <c r="S1076"/>
  <c r="T1076"/>
  <c r="U1076"/>
  <c r="X1076"/>
  <c r="Y1076"/>
  <c r="Z1076"/>
  <c r="AA1076"/>
  <c r="AB1076"/>
  <c r="AC1076"/>
  <c r="AD1076"/>
  <c r="AE1076"/>
  <c r="AF1076"/>
  <c r="AG1076"/>
  <c r="AH1076"/>
  <c r="AI1076"/>
  <c r="AJ1076"/>
  <c r="AK1076"/>
  <c r="C1077"/>
  <c r="H1077"/>
  <c r="I1077"/>
  <c r="J1077"/>
  <c r="K1077"/>
  <c r="M1077"/>
  <c r="P1077"/>
  <c r="R1077"/>
  <c r="S1077"/>
  <c r="T1077"/>
  <c r="U1077"/>
  <c r="X1077"/>
  <c r="Y1077"/>
  <c r="Z1077"/>
  <c r="AA1077"/>
  <c r="AB1077"/>
  <c r="AC1077"/>
  <c r="AD1077"/>
  <c r="AE1077"/>
  <c r="AF1077"/>
  <c r="AG1077"/>
  <c r="AH1077"/>
  <c r="AI1077"/>
  <c r="AJ1077"/>
  <c r="AK1077"/>
  <c r="C1078"/>
  <c r="H1078"/>
  <c r="I1078"/>
  <c r="J1078"/>
  <c r="K1078"/>
  <c r="M1078"/>
  <c r="P1078"/>
  <c r="R1078"/>
  <c r="S1078"/>
  <c r="T1078"/>
  <c r="U1078"/>
  <c r="X1078"/>
  <c r="Y1078"/>
  <c r="Z1078"/>
  <c r="AA1078"/>
  <c r="AB1078"/>
  <c r="AC1078"/>
  <c r="AD1078"/>
  <c r="AE1078"/>
  <c r="AF1078"/>
  <c r="AG1078"/>
  <c r="AH1078"/>
  <c r="AI1078"/>
  <c r="AJ1078"/>
  <c r="AK1078"/>
  <c r="C1079"/>
  <c r="H1079"/>
  <c r="I1079"/>
  <c r="J1079"/>
  <c r="K1079"/>
  <c r="M1079"/>
  <c r="P1079"/>
  <c r="R1079"/>
  <c r="S1079"/>
  <c r="T1079"/>
  <c r="U1079"/>
  <c r="X1079"/>
  <c r="Y1079"/>
  <c r="Z1079"/>
  <c r="AA1079"/>
  <c r="AB1079"/>
  <c r="AC1079"/>
  <c r="AD1079"/>
  <c r="AE1079"/>
  <c r="AF1079"/>
  <c r="AG1079"/>
  <c r="AH1079"/>
  <c r="AI1079"/>
  <c r="AJ1079"/>
  <c r="AK1079"/>
  <c r="C1080"/>
  <c r="H1080"/>
  <c r="I1080"/>
  <c r="J1080"/>
  <c r="K1080"/>
  <c r="M1080"/>
  <c r="P1080"/>
  <c r="R1080"/>
  <c r="S1080"/>
  <c r="T1080"/>
  <c r="U1080"/>
  <c r="X1080"/>
  <c r="Y1080"/>
  <c r="Z1080"/>
  <c r="AA1080"/>
  <c r="AB1080"/>
  <c r="AC1080"/>
  <c r="AD1080"/>
  <c r="AE1080"/>
  <c r="AF1080"/>
  <c r="AG1080"/>
  <c r="AH1080"/>
  <c r="AI1080"/>
  <c r="AJ1080"/>
  <c r="AK1080"/>
  <c r="C1081"/>
  <c r="H1081"/>
  <c r="I1081"/>
  <c r="J1081"/>
  <c r="K1081"/>
  <c r="M1081"/>
  <c r="P1081"/>
  <c r="R1081"/>
  <c r="S1081"/>
  <c r="T1081"/>
  <c r="U1081"/>
  <c r="X1081"/>
  <c r="Y1081"/>
  <c r="Z1081"/>
  <c r="AA1081"/>
  <c r="AB1081"/>
  <c r="AC1081"/>
  <c r="AD1081"/>
  <c r="AE1081"/>
  <c r="AF1081"/>
  <c r="AG1081"/>
  <c r="AH1081"/>
  <c r="AI1081"/>
  <c r="AJ1081"/>
  <c r="AK1081"/>
  <c r="C1062"/>
  <c r="H1062"/>
  <c r="I1062"/>
  <c r="J1062"/>
  <c r="K1062"/>
  <c r="M1062"/>
  <c r="P1062"/>
  <c r="R1062"/>
  <c r="S1062"/>
  <c r="T1062"/>
  <c r="U1062"/>
  <c r="X1062"/>
  <c r="Y1062"/>
  <c r="Z1062"/>
  <c r="AA1062"/>
  <c r="AB1062"/>
  <c r="AC1062"/>
  <c r="AD1062"/>
  <c r="AE1062"/>
  <c r="AF1062"/>
  <c r="AG1062"/>
  <c r="AH1062"/>
  <c r="AI1062"/>
  <c r="AJ1062"/>
  <c r="AK1062"/>
  <c r="C1063"/>
  <c r="H1063"/>
  <c r="I1063"/>
  <c r="J1063"/>
  <c r="K1063"/>
  <c r="M1063"/>
  <c r="P1063"/>
  <c r="R1063"/>
  <c r="S1063"/>
  <c r="T1063"/>
  <c r="U1063"/>
  <c r="X1063"/>
  <c r="Y1063"/>
  <c r="Z1063"/>
  <c r="AA1063"/>
  <c r="AB1063"/>
  <c r="AC1063"/>
  <c r="AD1063"/>
  <c r="AE1063"/>
  <c r="AF1063"/>
  <c r="AG1063"/>
  <c r="AH1063"/>
  <c r="AI1063"/>
  <c r="AJ1063"/>
  <c r="AK1063"/>
  <c r="C1064"/>
  <c r="H1064"/>
  <c r="I1064"/>
  <c r="J1064"/>
  <c r="K1064"/>
  <c r="M1064"/>
  <c r="P1064"/>
  <c r="R1064"/>
  <c r="S1064"/>
  <c r="T1064"/>
  <c r="U1064"/>
  <c r="X1064"/>
  <c r="Y1064"/>
  <c r="Z1064"/>
  <c r="AA1064"/>
  <c r="AB1064"/>
  <c r="AC1064"/>
  <c r="AD1064"/>
  <c r="AE1064"/>
  <c r="AF1064"/>
  <c r="AG1064"/>
  <c r="AH1064"/>
  <c r="AI1064"/>
  <c r="AJ1064"/>
  <c r="AK1064"/>
  <c r="C1065"/>
  <c r="H1065"/>
  <c r="I1065"/>
  <c r="J1065"/>
  <c r="K1065"/>
  <c r="M1065"/>
  <c r="P1065"/>
  <c r="R1065"/>
  <c r="S1065"/>
  <c r="T1065"/>
  <c r="U1065"/>
  <c r="X1065"/>
  <c r="Y1065"/>
  <c r="Z1065"/>
  <c r="AA1065"/>
  <c r="AB1065"/>
  <c r="AC1065"/>
  <c r="AD1065"/>
  <c r="AE1065"/>
  <c r="AF1065"/>
  <c r="AG1065"/>
  <c r="AH1065"/>
  <c r="AI1065"/>
  <c r="AJ1065"/>
  <c r="AK1065"/>
  <c r="C1066"/>
  <c r="H1066"/>
  <c r="I1066"/>
  <c r="J1066"/>
  <c r="K1066"/>
  <c r="M1066"/>
  <c r="P1066"/>
  <c r="R1066"/>
  <c r="S1066"/>
  <c r="T1066"/>
  <c r="U1066"/>
  <c r="X1066"/>
  <c r="Y1066"/>
  <c r="Z1066"/>
  <c r="AA1066"/>
  <c r="AB1066"/>
  <c r="AC1066"/>
  <c r="AD1066"/>
  <c r="AE1066"/>
  <c r="AF1066"/>
  <c r="AG1066"/>
  <c r="AH1066"/>
  <c r="AI1066"/>
  <c r="AJ1066"/>
  <c r="AK1066"/>
  <c r="C1067"/>
  <c r="H1067"/>
  <c r="I1067"/>
  <c r="J1067"/>
  <c r="K1067"/>
  <c r="M1067"/>
  <c r="P1067"/>
  <c r="R1067"/>
  <c r="S1067"/>
  <c r="T1067"/>
  <c r="U1067"/>
  <c r="X1067"/>
  <c r="Y1067"/>
  <c r="Z1067"/>
  <c r="AA1067"/>
  <c r="AB1067"/>
  <c r="AC1067"/>
  <c r="AD1067"/>
  <c r="AE1067"/>
  <c r="AF1067"/>
  <c r="AG1067"/>
  <c r="AH1067"/>
  <c r="AI1067"/>
  <c r="AJ1067"/>
  <c r="AK1067"/>
  <c r="C1068"/>
  <c r="H1068"/>
  <c r="I1068"/>
  <c r="J1068"/>
  <c r="K1068"/>
  <c r="M1068"/>
  <c r="P1068"/>
  <c r="R1068"/>
  <c r="S1068"/>
  <c r="T1068"/>
  <c r="U1068"/>
  <c r="X1068"/>
  <c r="Y1068"/>
  <c r="Z1068"/>
  <c r="AA1068"/>
  <c r="AB1068"/>
  <c r="AC1068"/>
  <c r="AD1068"/>
  <c r="AE1068"/>
  <c r="AF1068"/>
  <c r="AG1068"/>
  <c r="AH1068"/>
  <c r="AI1068"/>
  <c r="AJ1068"/>
  <c r="AK1068"/>
  <c r="C1069"/>
  <c r="H1069"/>
  <c r="I1069"/>
  <c r="J1069"/>
  <c r="K1069"/>
  <c r="M1069"/>
  <c r="P1069"/>
  <c r="R1069"/>
  <c r="S1069"/>
  <c r="T1069"/>
  <c r="U1069"/>
  <c r="X1069"/>
  <c r="Y1069"/>
  <c r="Z1069"/>
  <c r="AA1069"/>
  <c r="AB1069"/>
  <c r="AC1069"/>
  <c r="AD1069"/>
  <c r="AE1069"/>
  <c r="AF1069"/>
  <c r="AG1069"/>
  <c r="AH1069"/>
  <c r="AI1069"/>
  <c r="AJ1069"/>
  <c r="AK1069"/>
  <c r="C1070"/>
  <c r="H1070"/>
  <c r="I1070"/>
  <c r="J1070"/>
  <c r="K1070"/>
  <c r="M1070"/>
  <c r="P1070"/>
  <c r="R1070"/>
  <c r="S1070"/>
  <c r="T1070"/>
  <c r="U1070"/>
  <c r="X1070"/>
  <c r="Y1070"/>
  <c r="Z1070"/>
  <c r="AA1070"/>
  <c r="AB1070"/>
  <c r="AC1070"/>
  <c r="AD1070"/>
  <c r="AE1070"/>
  <c r="AF1070"/>
  <c r="AG1070"/>
  <c r="AH1070"/>
  <c r="AI1070"/>
  <c r="AJ1070"/>
  <c r="AK1070"/>
  <c r="C1071"/>
  <c r="H1071"/>
  <c r="I1071"/>
  <c r="J1071"/>
  <c r="K1071"/>
  <c r="M1071"/>
  <c r="P1071"/>
  <c r="R1071"/>
  <c r="S1071"/>
  <c r="T1071"/>
  <c r="U1071"/>
  <c r="X1071"/>
  <c r="Y1071"/>
  <c r="Z1071"/>
  <c r="AA1071"/>
  <c r="AB1071"/>
  <c r="AC1071"/>
  <c r="AD1071"/>
  <c r="AE1071"/>
  <c r="AF1071"/>
  <c r="AG1071"/>
  <c r="AH1071"/>
  <c r="AI1071"/>
  <c r="AJ1071"/>
  <c r="AK1071"/>
  <c r="C1052"/>
  <c r="H1052"/>
  <c r="I1052"/>
  <c r="J1052"/>
  <c r="K1052"/>
  <c r="M1052"/>
  <c r="P1052"/>
  <c r="R1052"/>
  <c r="S1052"/>
  <c r="T1052"/>
  <c r="U1052"/>
  <c r="X1052"/>
  <c r="Y1052"/>
  <c r="Z1052"/>
  <c r="AA1052"/>
  <c r="AB1052"/>
  <c r="AC1052"/>
  <c r="AD1052"/>
  <c r="AE1052"/>
  <c r="AF1052"/>
  <c r="AG1052"/>
  <c r="AH1052"/>
  <c r="AI1052"/>
  <c r="AJ1052"/>
  <c r="AK1052"/>
  <c r="C1053"/>
  <c r="H1053"/>
  <c r="I1053"/>
  <c r="J1053"/>
  <c r="K1053"/>
  <c r="M1053"/>
  <c r="P1053"/>
  <c r="R1053"/>
  <c r="S1053"/>
  <c r="T1053"/>
  <c r="U1053"/>
  <c r="X1053"/>
  <c r="Y1053"/>
  <c r="Z1053"/>
  <c r="AA1053"/>
  <c r="AB1053"/>
  <c r="AC1053"/>
  <c r="AD1053"/>
  <c r="AE1053"/>
  <c r="AF1053"/>
  <c r="AG1053"/>
  <c r="AH1053"/>
  <c r="AI1053"/>
  <c r="AJ1053"/>
  <c r="AK1053"/>
  <c r="C1054"/>
  <c r="H1054"/>
  <c r="I1054"/>
  <c r="J1054"/>
  <c r="K1054"/>
  <c r="M1054"/>
  <c r="P1054"/>
  <c r="R1054"/>
  <c r="S1054"/>
  <c r="T1054"/>
  <c r="U1054"/>
  <c r="X1054"/>
  <c r="Y1054"/>
  <c r="Z1054"/>
  <c r="AA1054"/>
  <c r="AB1054"/>
  <c r="AC1054"/>
  <c r="AD1054"/>
  <c r="AE1054"/>
  <c r="AF1054"/>
  <c r="AG1054"/>
  <c r="AH1054"/>
  <c r="AI1054"/>
  <c r="AJ1054"/>
  <c r="AK1054"/>
  <c r="C1055"/>
  <c r="H1055"/>
  <c r="I1055"/>
  <c r="J1055"/>
  <c r="K1055"/>
  <c r="M1055"/>
  <c r="P1055"/>
  <c r="R1055"/>
  <c r="S1055"/>
  <c r="T1055"/>
  <c r="U1055"/>
  <c r="X1055"/>
  <c r="Y1055"/>
  <c r="Z1055"/>
  <c r="AA1055"/>
  <c r="AB1055"/>
  <c r="AC1055"/>
  <c r="AD1055"/>
  <c r="AE1055"/>
  <c r="AF1055"/>
  <c r="AG1055"/>
  <c r="AH1055"/>
  <c r="AI1055"/>
  <c r="AJ1055"/>
  <c r="AK1055"/>
  <c r="C1056"/>
  <c r="H1056"/>
  <c r="I1056"/>
  <c r="J1056"/>
  <c r="K1056"/>
  <c r="M1056"/>
  <c r="P1056"/>
  <c r="R1056"/>
  <c r="S1056"/>
  <c r="T1056"/>
  <c r="U1056"/>
  <c r="X1056"/>
  <c r="Y1056"/>
  <c r="Z1056"/>
  <c r="AA1056"/>
  <c r="AB1056"/>
  <c r="AC1056"/>
  <c r="AD1056"/>
  <c r="AE1056"/>
  <c r="AF1056"/>
  <c r="AG1056"/>
  <c r="AH1056"/>
  <c r="AI1056"/>
  <c r="AJ1056"/>
  <c r="AK1056"/>
  <c r="C1057"/>
  <c r="H1057"/>
  <c r="I1057"/>
  <c r="J1057"/>
  <c r="K1057"/>
  <c r="M1057"/>
  <c r="P1057"/>
  <c r="R1057"/>
  <c r="S1057"/>
  <c r="T1057"/>
  <c r="U1057"/>
  <c r="X1057"/>
  <c r="Y1057"/>
  <c r="Z1057"/>
  <c r="AA1057"/>
  <c r="AB1057"/>
  <c r="AC1057"/>
  <c r="AD1057"/>
  <c r="AE1057"/>
  <c r="AF1057"/>
  <c r="AG1057"/>
  <c r="AH1057"/>
  <c r="AI1057"/>
  <c r="AJ1057"/>
  <c r="AK1057"/>
  <c r="C1058"/>
  <c r="H1058"/>
  <c r="I1058"/>
  <c r="J1058"/>
  <c r="K1058"/>
  <c r="M1058"/>
  <c r="P1058"/>
  <c r="R1058"/>
  <c r="S1058"/>
  <c r="T1058"/>
  <c r="U1058"/>
  <c r="X1058"/>
  <c r="Y1058"/>
  <c r="Z1058"/>
  <c r="AA1058"/>
  <c r="AB1058"/>
  <c r="AC1058"/>
  <c r="AD1058"/>
  <c r="AE1058"/>
  <c r="AF1058"/>
  <c r="AG1058"/>
  <c r="AH1058"/>
  <c r="AI1058"/>
  <c r="AJ1058"/>
  <c r="AK1058"/>
  <c r="C1059"/>
  <c r="H1059"/>
  <c r="I1059"/>
  <c r="J1059"/>
  <c r="K1059"/>
  <c r="M1059"/>
  <c r="P1059"/>
  <c r="R1059"/>
  <c r="S1059"/>
  <c r="T1059"/>
  <c r="U1059"/>
  <c r="X1059"/>
  <c r="Y1059"/>
  <c r="Z1059"/>
  <c r="AA1059"/>
  <c r="AB1059"/>
  <c r="AC1059"/>
  <c r="AD1059"/>
  <c r="AE1059"/>
  <c r="AF1059"/>
  <c r="AG1059"/>
  <c r="AH1059"/>
  <c r="AI1059"/>
  <c r="AJ1059"/>
  <c r="AK1059"/>
  <c r="C1060"/>
  <c r="H1060"/>
  <c r="I1060"/>
  <c r="J1060"/>
  <c r="K1060"/>
  <c r="M1060"/>
  <c r="P1060"/>
  <c r="R1060"/>
  <c r="S1060"/>
  <c r="T1060"/>
  <c r="U1060"/>
  <c r="X1060"/>
  <c r="Y1060"/>
  <c r="Z1060"/>
  <c r="AA1060"/>
  <c r="AB1060"/>
  <c r="AC1060"/>
  <c r="AD1060"/>
  <c r="AE1060"/>
  <c r="AF1060"/>
  <c r="AG1060"/>
  <c r="AH1060"/>
  <c r="AI1060"/>
  <c r="AJ1060"/>
  <c r="AK1060"/>
  <c r="C1061"/>
  <c r="H1061"/>
  <c r="I1061"/>
  <c r="J1061"/>
  <c r="K1061"/>
  <c r="M1061"/>
  <c r="P1061"/>
  <c r="R1061"/>
  <c r="S1061"/>
  <c r="T1061"/>
  <c r="U1061"/>
  <c r="X1061"/>
  <c r="Y1061"/>
  <c r="Z1061"/>
  <c r="AA1061"/>
  <c r="AB1061"/>
  <c r="AC1061"/>
  <c r="AD1061"/>
  <c r="AE1061"/>
  <c r="AF1061"/>
  <c r="AG1061"/>
  <c r="AH1061"/>
  <c r="AI1061"/>
  <c r="AJ1061"/>
  <c r="AK1061"/>
  <c r="C1042"/>
  <c r="H1042"/>
  <c r="I1042"/>
  <c r="J1042"/>
  <c r="K1042"/>
  <c r="M1042"/>
  <c r="P1042"/>
  <c r="R1042"/>
  <c r="S1042"/>
  <c r="T1042"/>
  <c r="U1042"/>
  <c r="X1042"/>
  <c r="Y1042"/>
  <c r="Z1042"/>
  <c r="AA1042"/>
  <c r="AB1042"/>
  <c r="AC1042"/>
  <c r="AD1042"/>
  <c r="AE1042"/>
  <c r="AF1042"/>
  <c r="AG1042"/>
  <c r="AH1042"/>
  <c r="AI1042"/>
  <c r="AJ1042"/>
  <c r="AK1042"/>
  <c r="C1043"/>
  <c r="H1043"/>
  <c r="I1043"/>
  <c r="J1043"/>
  <c r="K1043"/>
  <c r="M1043"/>
  <c r="P1043"/>
  <c r="R1043"/>
  <c r="S1043"/>
  <c r="T1043"/>
  <c r="U1043"/>
  <c r="X1043"/>
  <c r="Y1043"/>
  <c r="Z1043"/>
  <c r="AA1043"/>
  <c r="AB1043"/>
  <c r="AC1043"/>
  <c r="AD1043"/>
  <c r="AE1043"/>
  <c r="AF1043"/>
  <c r="AG1043"/>
  <c r="AH1043"/>
  <c r="AI1043"/>
  <c r="AJ1043"/>
  <c r="AK1043"/>
  <c r="C1044"/>
  <c r="H1044"/>
  <c r="I1044"/>
  <c r="J1044"/>
  <c r="K1044"/>
  <c r="M1044"/>
  <c r="P1044"/>
  <c r="R1044"/>
  <c r="S1044"/>
  <c r="T1044"/>
  <c r="U1044"/>
  <c r="X1044"/>
  <c r="Y1044"/>
  <c r="Z1044"/>
  <c r="AA1044"/>
  <c r="AB1044"/>
  <c r="AC1044"/>
  <c r="AD1044"/>
  <c r="AE1044"/>
  <c r="AF1044"/>
  <c r="AG1044"/>
  <c r="AH1044"/>
  <c r="AI1044"/>
  <c r="AJ1044"/>
  <c r="AK1044"/>
  <c r="C1045"/>
  <c r="H1045"/>
  <c r="I1045"/>
  <c r="J1045"/>
  <c r="K1045"/>
  <c r="M1045"/>
  <c r="P1045"/>
  <c r="R1045"/>
  <c r="S1045"/>
  <c r="T1045"/>
  <c r="U1045"/>
  <c r="X1045"/>
  <c r="Y1045"/>
  <c r="Z1045"/>
  <c r="AA1045"/>
  <c r="AB1045"/>
  <c r="AC1045"/>
  <c r="AD1045"/>
  <c r="AE1045"/>
  <c r="AF1045"/>
  <c r="AG1045"/>
  <c r="AH1045"/>
  <c r="AI1045"/>
  <c r="AJ1045"/>
  <c r="AK1045"/>
  <c r="C1046"/>
  <c r="H1046"/>
  <c r="I1046"/>
  <c r="J1046"/>
  <c r="K1046"/>
  <c r="M1046"/>
  <c r="P1046"/>
  <c r="R1046"/>
  <c r="S1046"/>
  <c r="T1046"/>
  <c r="U1046"/>
  <c r="X1046"/>
  <c r="Y1046"/>
  <c r="Z1046"/>
  <c r="AA1046"/>
  <c r="AB1046"/>
  <c r="AC1046"/>
  <c r="AD1046"/>
  <c r="AE1046"/>
  <c r="AF1046"/>
  <c r="AG1046"/>
  <c r="AH1046"/>
  <c r="AI1046"/>
  <c r="AJ1046"/>
  <c r="AK1046"/>
  <c r="C1047"/>
  <c r="H1047"/>
  <c r="I1047"/>
  <c r="J1047"/>
  <c r="K1047"/>
  <c r="M1047"/>
  <c r="P1047"/>
  <c r="R1047"/>
  <c r="S1047"/>
  <c r="T1047"/>
  <c r="U1047"/>
  <c r="X1047"/>
  <c r="Y1047"/>
  <c r="Z1047"/>
  <c r="AA1047"/>
  <c r="AB1047"/>
  <c r="AC1047"/>
  <c r="AD1047"/>
  <c r="AE1047"/>
  <c r="AF1047"/>
  <c r="AG1047"/>
  <c r="AH1047"/>
  <c r="AI1047"/>
  <c r="AJ1047"/>
  <c r="AK1047"/>
  <c r="C1048"/>
  <c r="H1048"/>
  <c r="I1048"/>
  <c r="J1048"/>
  <c r="K1048"/>
  <c r="M1048"/>
  <c r="P1048"/>
  <c r="R1048"/>
  <c r="S1048"/>
  <c r="T1048"/>
  <c r="U1048"/>
  <c r="X1048"/>
  <c r="Y1048"/>
  <c r="Z1048"/>
  <c r="AA1048"/>
  <c r="AB1048"/>
  <c r="AC1048"/>
  <c r="AD1048"/>
  <c r="AE1048"/>
  <c r="AF1048"/>
  <c r="AG1048"/>
  <c r="AH1048"/>
  <c r="AI1048"/>
  <c r="AJ1048"/>
  <c r="AK1048"/>
  <c r="C1049"/>
  <c r="H1049"/>
  <c r="I1049"/>
  <c r="J1049"/>
  <c r="K1049"/>
  <c r="M1049"/>
  <c r="P1049"/>
  <c r="R1049"/>
  <c r="S1049"/>
  <c r="T1049"/>
  <c r="U1049"/>
  <c r="X1049"/>
  <c r="Y1049"/>
  <c r="Z1049"/>
  <c r="AA1049"/>
  <c r="AB1049"/>
  <c r="AC1049"/>
  <c r="AD1049"/>
  <c r="AE1049"/>
  <c r="AF1049"/>
  <c r="AG1049"/>
  <c r="AH1049"/>
  <c r="AI1049"/>
  <c r="AJ1049"/>
  <c r="AK1049"/>
  <c r="C1050"/>
  <c r="H1050"/>
  <c r="I1050"/>
  <c r="J1050"/>
  <c r="K1050"/>
  <c r="M1050"/>
  <c r="P1050"/>
  <c r="R1050"/>
  <c r="S1050"/>
  <c r="T1050"/>
  <c r="U1050"/>
  <c r="X1050"/>
  <c r="Y1050"/>
  <c r="Z1050"/>
  <c r="AA1050"/>
  <c r="AB1050"/>
  <c r="AC1050"/>
  <c r="AD1050"/>
  <c r="AE1050"/>
  <c r="AF1050"/>
  <c r="AG1050"/>
  <c r="AH1050"/>
  <c r="AI1050"/>
  <c r="AJ1050"/>
  <c r="AK1050"/>
  <c r="C1051"/>
  <c r="H1051"/>
  <c r="I1051"/>
  <c r="J1051"/>
  <c r="K1051"/>
  <c r="M1051"/>
  <c r="P1051"/>
  <c r="R1051"/>
  <c r="S1051"/>
  <c r="T1051"/>
  <c r="U1051"/>
  <c r="X1051"/>
  <c r="Y1051"/>
  <c r="Z1051"/>
  <c r="AA1051"/>
  <c r="AB1051"/>
  <c r="AC1051"/>
  <c r="AD1051"/>
  <c r="AE1051"/>
  <c r="AF1051"/>
  <c r="AG1051"/>
  <c r="AH1051"/>
  <c r="AI1051"/>
  <c r="AJ1051"/>
  <c r="AK1051"/>
  <c r="C1032"/>
  <c r="H1032"/>
  <c r="I1032"/>
  <c r="J1032"/>
  <c r="K1032"/>
  <c r="M1032"/>
  <c r="P1032"/>
  <c r="R1032"/>
  <c r="S1032"/>
  <c r="T1032"/>
  <c r="U1032"/>
  <c r="X1032"/>
  <c r="Y1032"/>
  <c r="Z1032"/>
  <c r="AA1032"/>
  <c r="AB1032"/>
  <c r="AC1032"/>
  <c r="AD1032"/>
  <c r="AE1032"/>
  <c r="AF1032"/>
  <c r="AG1032"/>
  <c r="AH1032"/>
  <c r="AI1032"/>
  <c r="AJ1032"/>
  <c r="AK1032"/>
  <c r="C1033"/>
  <c r="H1033"/>
  <c r="I1033"/>
  <c r="J1033"/>
  <c r="K1033"/>
  <c r="M1033"/>
  <c r="P1033"/>
  <c r="R1033"/>
  <c r="S1033"/>
  <c r="T1033"/>
  <c r="U1033"/>
  <c r="X1033"/>
  <c r="Y1033"/>
  <c r="Z1033"/>
  <c r="AA1033"/>
  <c r="AB1033"/>
  <c r="AC1033"/>
  <c r="AD1033"/>
  <c r="AE1033"/>
  <c r="AF1033"/>
  <c r="AG1033"/>
  <c r="AH1033"/>
  <c r="AI1033"/>
  <c r="AJ1033"/>
  <c r="AK1033"/>
  <c r="C1034"/>
  <c r="H1034"/>
  <c r="I1034"/>
  <c r="J1034"/>
  <c r="K1034"/>
  <c r="M1034"/>
  <c r="P1034"/>
  <c r="R1034"/>
  <c r="S1034"/>
  <c r="T1034"/>
  <c r="U1034"/>
  <c r="X1034"/>
  <c r="Y1034"/>
  <c r="Z1034"/>
  <c r="AA1034"/>
  <c r="AB1034"/>
  <c r="AC1034"/>
  <c r="AD1034"/>
  <c r="AE1034"/>
  <c r="AF1034"/>
  <c r="AG1034"/>
  <c r="AH1034"/>
  <c r="AI1034"/>
  <c r="AJ1034"/>
  <c r="AK1034"/>
  <c r="C1035"/>
  <c r="H1035"/>
  <c r="I1035"/>
  <c r="J1035"/>
  <c r="K1035"/>
  <c r="M1035"/>
  <c r="P1035"/>
  <c r="R1035"/>
  <c r="S1035"/>
  <c r="T1035"/>
  <c r="U1035"/>
  <c r="X1035"/>
  <c r="Y1035"/>
  <c r="Z1035"/>
  <c r="AA1035"/>
  <c r="AB1035"/>
  <c r="AC1035"/>
  <c r="AD1035"/>
  <c r="AE1035"/>
  <c r="AF1035"/>
  <c r="AG1035"/>
  <c r="AH1035"/>
  <c r="AI1035"/>
  <c r="AJ1035"/>
  <c r="AK1035"/>
  <c r="C1036"/>
  <c r="H1036"/>
  <c r="I1036"/>
  <c r="J1036"/>
  <c r="K1036"/>
  <c r="M1036"/>
  <c r="P1036"/>
  <c r="R1036"/>
  <c r="S1036"/>
  <c r="T1036"/>
  <c r="U1036"/>
  <c r="X1036"/>
  <c r="Y1036"/>
  <c r="Z1036"/>
  <c r="AA1036"/>
  <c r="AB1036"/>
  <c r="AC1036"/>
  <c r="AD1036"/>
  <c r="AE1036"/>
  <c r="AF1036"/>
  <c r="AG1036"/>
  <c r="AH1036"/>
  <c r="AI1036"/>
  <c r="AJ1036"/>
  <c r="AK1036"/>
  <c r="C1037"/>
  <c r="H1037"/>
  <c r="I1037"/>
  <c r="J1037"/>
  <c r="K1037"/>
  <c r="M1037"/>
  <c r="P1037"/>
  <c r="R1037"/>
  <c r="S1037"/>
  <c r="T1037"/>
  <c r="U1037"/>
  <c r="X1037"/>
  <c r="Y1037"/>
  <c r="Z1037"/>
  <c r="AA1037"/>
  <c r="AB1037"/>
  <c r="AC1037"/>
  <c r="AD1037"/>
  <c r="AE1037"/>
  <c r="AF1037"/>
  <c r="AG1037"/>
  <c r="AH1037"/>
  <c r="AI1037"/>
  <c r="AJ1037"/>
  <c r="AK1037"/>
  <c r="C1038"/>
  <c r="H1038"/>
  <c r="I1038"/>
  <c r="J1038"/>
  <c r="K1038"/>
  <c r="M1038"/>
  <c r="P1038"/>
  <c r="R1038"/>
  <c r="S1038"/>
  <c r="T1038"/>
  <c r="U1038"/>
  <c r="X1038"/>
  <c r="Y1038"/>
  <c r="Z1038"/>
  <c r="AA1038"/>
  <c r="AB1038"/>
  <c r="AC1038"/>
  <c r="AD1038"/>
  <c r="AE1038"/>
  <c r="AF1038"/>
  <c r="AG1038"/>
  <c r="AH1038"/>
  <c r="AI1038"/>
  <c r="AJ1038"/>
  <c r="AK1038"/>
  <c r="C1039"/>
  <c r="H1039"/>
  <c r="I1039"/>
  <c r="J1039"/>
  <c r="K1039"/>
  <c r="M1039"/>
  <c r="P1039"/>
  <c r="R1039"/>
  <c r="S1039"/>
  <c r="T1039"/>
  <c r="U1039"/>
  <c r="X1039"/>
  <c r="Y1039"/>
  <c r="Z1039"/>
  <c r="AA1039"/>
  <c r="AB1039"/>
  <c r="AC1039"/>
  <c r="AD1039"/>
  <c r="AE1039"/>
  <c r="AF1039"/>
  <c r="AG1039"/>
  <c r="AH1039"/>
  <c r="AI1039"/>
  <c r="AJ1039"/>
  <c r="AK1039"/>
  <c r="C1040"/>
  <c r="H1040"/>
  <c r="I1040"/>
  <c r="J1040"/>
  <c r="K1040"/>
  <c r="M1040"/>
  <c r="P1040"/>
  <c r="R1040"/>
  <c r="S1040"/>
  <c r="T1040"/>
  <c r="U1040"/>
  <c r="X1040"/>
  <c r="Y1040"/>
  <c r="Z1040"/>
  <c r="AA1040"/>
  <c r="AB1040"/>
  <c r="AC1040"/>
  <c r="AD1040"/>
  <c r="AE1040"/>
  <c r="AF1040"/>
  <c r="AG1040"/>
  <c r="AH1040"/>
  <c r="AI1040"/>
  <c r="AJ1040"/>
  <c r="AK1040"/>
  <c r="C1041"/>
  <c r="H1041"/>
  <c r="I1041"/>
  <c r="J1041"/>
  <c r="K1041"/>
  <c r="M1041"/>
  <c r="P1041"/>
  <c r="R1041"/>
  <c r="S1041"/>
  <c r="T1041"/>
  <c r="U1041"/>
  <c r="X1041"/>
  <c r="Y1041"/>
  <c r="Z1041"/>
  <c r="AA1041"/>
  <c r="AB1041"/>
  <c r="AC1041"/>
  <c r="AD1041"/>
  <c r="AE1041"/>
  <c r="AF1041"/>
  <c r="AG1041"/>
  <c r="AH1041"/>
  <c r="AI1041"/>
  <c r="AJ1041"/>
  <c r="AK1041"/>
  <c r="C1022"/>
  <c r="H1022"/>
  <c r="I1022"/>
  <c r="J1022"/>
  <c r="K1022"/>
  <c r="M1022"/>
  <c r="P1022"/>
  <c r="R1022"/>
  <c r="S1022"/>
  <c r="T1022"/>
  <c r="U1022"/>
  <c r="X1022"/>
  <c r="Y1022"/>
  <c r="Z1022"/>
  <c r="AA1022"/>
  <c r="AB1022"/>
  <c r="AC1022"/>
  <c r="AD1022"/>
  <c r="AE1022"/>
  <c r="AF1022"/>
  <c r="AG1022"/>
  <c r="AH1022"/>
  <c r="AI1022"/>
  <c r="AJ1022"/>
  <c r="AK1022"/>
  <c r="C1023"/>
  <c r="H1023"/>
  <c r="I1023"/>
  <c r="J1023"/>
  <c r="K1023"/>
  <c r="M1023"/>
  <c r="P1023"/>
  <c r="R1023"/>
  <c r="S1023"/>
  <c r="T1023"/>
  <c r="U1023"/>
  <c r="X1023"/>
  <c r="Y1023"/>
  <c r="Z1023"/>
  <c r="AA1023"/>
  <c r="AB1023"/>
  <c r="AC1023"/>
  <c r="AD1023"/>
  <c r="AE1023"/>
  <c r="AF1023"/>
  <c r="AG1023"/>
  <c r="AH1023"/>
  <c r="AI1023"/>
  <c r="AJ1023"/>
  <c r="AK1023"/>
  <c r="C1024"/>
  <c r="H1024"/>
  <c r="I1024"/>
  <c r="J1024"/>
  <c r="K1024"/>
  <c r="M1024"/>
  <c r="P1024"/>
  <c r="R1024"/>
  <c r="S1024"/>
  <c r="T1024"/>
  <c r="U1024"/>
  <c r="X1024"/>
  <c r="Y1024"/>
  <c r="Z1024"/>
  <c r="AA1024"/>
  <c r="AB1024"/>
  <c r="AC1024"/>
  <c r="AD1024"/>
  <c r="AE1024"/>
  <c r="AF1024"/>
  <c r="AG1024"/>
  <c r="AH1024"/>
  <c r="AI1024"/>
  <c r="AJ1024"/>
  <c r="AK1024"/>
  <c r="C1025"/>
  <c r="H1025"/>
  <c r="I1025"/>
  <c r="J1025"/>
  <c r="K1025"/>
  <c r="M1025"/>
  <c r="P1025"/>
  <c r="R1025"/>
  <c r="S1025"/>
  <c r="T1025"/>
  <c r="U1025"/>
  <c r="X1025"/>
  <c r="Y1025"/>
  <c r="Z1025"/>
  <c r="AA1025"/>
  <c r="AB1025"/>
  <c r="AC1025"/>
  <c r="AD1025"/>
  <c r="AE1025"/>
  <c r="AF1025"/>
  <c r="AG1025"/>
  <c r="AH1025"/>
  <c r="AI1025"/>
  <c r="AJ1025"/>
  <c r="AK1025"/>
  <c r="C1026"/>
  <c r="H1026"/>
  <c r="I1026"/>
  <c r="J1026"/>
  <c r="K1026"/>
  <c r="M1026"/>
  <c r="P1026"/>
  <c r="R1026"/>
  <c r="S1026"/>
  <c r="T1026"/>
  <c r="U1026"/>
  <c r="X1026"/>
  <c r="Y1026"/>
  <c r="Z1026"/>
  <c r="AA1026"/>
  <c r="AB1026"/>
  <c r="AC1026"/>
  <c r="AD1026"/>
  <c r="AE1026"/>
  <c r="AF1026"/>
  <c r="AG1026"/>
  <c r="AH1026"/>
  <c r="AI1026"/>
  <c r="AJ1026"/>
  <c r="AK1026"/>
  <c r="C1027"/>
  <c r="H1027"/>
  <c r="I1027"/>
  <c r="J1027"/>
  <c r="K1027"/>
  <c r="M1027"/>
  <c r="P1027"/>
  <c r="R1027"/>
  <c r="S1027"/>
  <c r="T1027"/>
  <c r="U1027"/>
  <c r="X1027"/>
  <c r="Y1027"/>
  <c r="Z1027"/>
  <c r="AA1027"/>
  <c r="AB1027"/>
  <c r="AC1027"/>
  <c r="AD1027"/>
  <c r="AE1027"/>
  <c r="AF1027"/>
  <c r="AG1027"/>
  <c r="AH1027"/>
  <c r="AI1027"/>
  <c r="AJ1027"/>
  <c r="AK1027"/>
  <c r="C1028"/>
  <c r="H1028"/>
  <c r="I1028"/>
  <c r="J1028"/>
  <c r="K1028"/>
  <c r="M1028"/>
  <c r="P1028"/>
  <c r="R1028"/>
  <c r="S1028"/>
  <c r="T1028"/>
  <c r="U1028"/>
  <c r="X1028"/>
  <c r="Y1028"/>
  <c r="Z1028"/>
  <c r="AA1028"/>
  <c r="AB1028"/>
  <c r="AC1028"/>
  <c r="AD1028"/>
  <c r="AE1028"/>
  <c r="AF1028"/>
  <c r="AG1028"/>
  <c r="AH1028"/>
  <c r="AI1028"/>
  <c r="AJ1028"/>
  <c r="AK1028"/>
  <c r="C1029"/>
  <c r="H1029"/>
  <c r="I1029"/>
  <c r="J1029"/>
  <c r="K1029"/>
  <c r="M1029"/>
  <c r="P1029"/>
  <c r="R1029"/>
  <c r="S1029"/>
  <c r="T1029"/>
  <c r="U1029"/>
  <c r="X1029"/>
  <c r="Y1029"/>
  <c r="Z1029"/>
  <c r="AA1029"/>
  <c r="AB1029"/>
  <c r="AC1029"/>
  <c r="AD1029"/>
  <c r="AE1029"/>
  <c r="AF1029"/>
  <c r="AG1029"/>
  <c r="AH1029"/>
  <c r="AI1029"/>
  <c r="AJ1029"/>
  <c r="AK1029"/>
  <c r="C1030"/>
  <c r="H1030"/>
  <c r="I1030"/>
  <c r="J1030"/>
  <c r="K1030"/>
  <c r="M1030"/>
  <c r="P1030"/>
  <c r="R1030"/>
  <c r="S1030"/>
  <c r="T1030"/>
  <c r="U1030"/>
  <c r="X1030"/>
  <c r="Y1030"/>
  <c r="Z1030"/>
  <c r="AA1030"/>
  <c r="AB1030"/>
  <c r="AC1030"/>
  <c r="AD1030"/>
  <c r="AE1030"/>
  <c r="AF1030"/>
  <c r="AG1030"/>
  <c r="AH1030"/>
  <c r="AI1030"/>
  <c r="AJ1030"/>
  <c r="AK1030"/>
  <c r="C1031"/>
  <c r="H1031"/>
  <c r="I1031"/>
  <c r="J1031"/>
  <c r="K1031"/>
  <c r="M1031"/>
  <c r="P1031"/>
  <c r="R1031"/>
  <c r="S1031"/>
  <c r="T1031"/>
  <c r="U1031"/>
  <c r="X1031"/>
  <c r="Y1031"/>
  <c r="Z1031"/>
  <c r="AA1031"/>
  <c r="AB1031"/>
  <c r="AC1031"/>
  <c r="AD1031"/>
  <c r="AE1031"/>
  <c r="AF1031"/>
  <c r="AG1031"/>
  <c r="AH1031"/>
  <c r="AI1031"/>
  <c r="AJ1031"/>
  <c r="AK1031"/>
  <c r="C1012"/>
  <c r="H1012"/>
  <c r="I1012"/>
  <c r="J1012"/>
  <c r="K1012"/>
  <c r="M1012"/>
  <c r="P1012"/>
  <c r="R1012"/>
  <c r="S1012"/>
  <c r="T1012"/>
  <c r="U1012"/>
  <c r="X1012"/>
  <c r="Y1012"/>
  <c r="Z1012"/>
  <c r="AA1012"/>
  <c r="AB1012"/>
  <c r="AC1012"/>
  <c r="AD1012"/>
  <c r="AE1012"/>
  <c r="AF1012"/>
  <c r="AG1012"/>
  <c r="AH1012"/>
  <c r="AI1012"/>
  <c r="AJ1012"/>
  <c r="AK1012"/>
  <c r="C1013"/>
  <c r="H1013"/>
  <c r="I1013"/>
  <c r="J1013"/>
  <c r="K1013"/>
  <c r="M1013"/>
  <c r="P1013"/>
  <c r="R1013"/>
  <c r="S1013"/>
  <c r="T1013"/>
  <c r="U1013"/>
  <c r="X1013"/>
  <c r="Y1013"/>
  <c r="Z1013"/>
  <c r="AA1013"/>
  <c r="AB1013"/>
  <c r="AC1013"/>
  <c r="AD1013"/>
  <c r="AE1013"/>
  <c r="AF1013"/>
  <c r="AG1013"/>
  <c r="AH1013"/>
  <c r="AI1013"/>
  <c r="AJ1013"/>
  <c r="AK1013"/>
  <c r="C1014"/>
  <c r="H1014"/>
  <c r="I1014"/>
  <c r="J1014"/>
  <c r="K1014"/>
  <c r="M1014"/>
  <c r="P1014"/>
  <c r="R1014"/>
  <c r="S1014"/>
  <c r="T1014"/>
  <c r="U1014"/>
  <c r="X1014"/>
  <c r="Y1014"/>
  <c r="Z1014"/>
  <c r="AA1014"/>
  <c r="AB1014"/>
  <c r="AC1014"/>
  <c r="AD1014"/>
  <c r="AE1014"/>
  <c r="AF1014"/>
  <c r="AG1014"/>
  <c r="AH1014"/>
  <c r="AI1014"/>
  <c r="AJ1014"/>
  <c r="AK1014"/>
  <c r="C1015"/>
  <c r="H1015"/>
  <c r="I1015"/>
  <c r="J1015"/>
  <c r="K1015"/>
  <c r="M1015"/>
  <c r="P1015"/>
  <c r="R1015"/>
  <c r="S1015"/>
  <c r="T1015"/>
  <c r="U1015"/>
  <c r="X1015"/>
  <c r="Y1015"/>
  <c r="Z1015"/>
  <c r="AA1015"/>
  <c r="AB1015"/>
  <c r="AC1015"/>
  <c r="AD1015"/>
  <c r="AE1015"/>
  <c r="AF1015"/>
  <c r="AG1015"/>
  <c r="AH1015"/>
  <c r="AI1015"/>
  <c r="AJ1015"/>
  <c r="AK1015"/>
  <c r="C1016"/>
  <c r="H1016"/>
  <c r="I1016"/>
  <c r="J1016"/>
  <c r="K1016"/>
  <c r="M1016"/>
  <c r="P1016"/>
  <c r="R1016"/>
  <c r="S1016"/>
  <c r="T1016"/>
  <c r="U1016"/>
  <c r="X1016"/>
  <c r="Y1016"/>
  <c r="Z1016"/>
  <c r="AA1016"/>
  <c r="AB1016"/>
  <c r="AC1016"/>
  <c r="AD1016"/>
  <c r="AE1016"/>
  <c r="AF1016"/>
  <c r="AG1016"/>
  <c r="AH1016"/>
  <c r="AI1016"/>
  <c r="AJ1016"/>
  <c r="AK1016"/>
  <c r="C1017"/>
  <c r="H1017"/>
  <c r="I1017"/>
  <c r="J1017"/>
  <c r="K1017"/>
  <c r="M1017"/>
  <c r="P1017"/>
  <c r="R1017"/>
  <c r="S1017"/>
  <c r="T1017"/>
  <c r="U1017"/>
  <c r="X1017"/>
  <c r="Y1017"/>
  <c r="Z1017"/>
  <c r="AA1017"/>
  <c r="AB1017"/>
  <c r="AC1017"/>
  <c r="AD1017"/>
  <c r="AE1017"/>
  <c r="AF1017"/>
  <c r="AG1017"/>
  <c r="AH1017"/>
  <c r="AI1017"/>
  <c r="AJ1017"/>
  <c r="AK1017"/>
  <c r="C1018"/>
  <c r="H1018"/>
  <c r="I1018"/>
  <c r="J1018"/>
  <c r="K1018"/>
  <c r="M1018"/>
  <c r="P1018"/>
  <c r="R1018"/>
  <c r="S1018"/>
  <c r="T1018"/>
  <c r="U1018"/>
  <c r="X1018"/>
  <c r="Y1018"/>
  <c r="Z1018"/>
  <c r="AA1018"/>
  <c r="AB1018"/>
  <c r="AC1018"/>
  <c r="AD1018"/>
  <c r="AE1018"/>
  <c r="AF1018"/>
  <c r="AG1018"/>
  <c r="AH1018"/>
  <c r="AI1018"/>
  <c r="AJ1018"/>
  <c r="AK1018"/>
  <c r="C1019"/>
  <c r="H1019"/>
  <c r="I1019"/>
  <c r="J1019"/>
  <c r="K1019"/>
  <c r="M1019"/>
  <c r="P1019"/>
  <c r="R1019"/>
  <c r="S1019"/>
  <c r="T1019"/>
  <c r="U1019"/>
  <c r="X1019"/>
  <c r="Y1019"/>
  <c r="Z1019"/>
  <c r="AA1019"/>
  <c r="AB1019"/>
  <c r="AC1019"/>
  <c r="AD1019"/>
  <c r="AE1019"/>
  <c r="AF1019"/>
  <c r="AG1019"/>
  <c r="AH1019"/>
  <c r="AI1019"/>
  <c r="AJ1019"/>
  <c r="AK1019"/>
  <c r="C1020"/>
  <c r="H1020"/>
  <c r="I1020"/>
  <c r="J1020"/>
  <c r="K1020"/>
  <c r="M1020"/>
  <c r="P1020"/>
  <c r="R1020"/>
  <c r="S1020"/>
  <c r="T1020"/>
  <c r="U1020"/>
  <c r="X1020"/>
  <c r="Y1020"/>
  <c r="Z1020"/>
  <c r="AA1020"/>
  <c r="AB1020"/>
  <c r="AC1020"/>
  <c r="AD1020"/>
  <c r="AE1020"/>
  <c r="AF1020"/>
  <c r="AG1020"/>
  <c r="AH1020"/>
  <c r="AI1020"/>
  <c r="AJ1020"/>
  <c r="AK1020"/>
  <c r="C1021"/>
  <c r="H1021"/>
  <c r="I1021"/>
  <c r="J1021"/>
  <c r="K1021"/>
  <c r="M1021"/>
  <c r="P1021"/>
  <c r="R1021"/>
  <c r="S1021"/>
  <c r="T1021"/>
  <c r="U1021"/>
  <c r="X1021"/>
  <c r="Y1021"/>
  <c r="Z1021"/>
  <c r="AA1021"/>
  <c r="AB1021"/>
  <c r="AC1021"/>
  <c r="AD1021"/>
  <c r="AE1021"/>
  <c r="AF1021"/>
  <c r="AG1021"/>
  <c r="AH1021"/>
  <c r="AI1021"/>
  <c r="AJ1021"/>
  <c r="AK1021"/>
  <c r="C1002"/>
  <c r="H1002"/>
  <c r="I1002"/>
  <c r="J1002"/>
  <c r="K1002"/>
  <c r="M1002"/>
  <c r="P1002"/>
  <c r="R1002"/>
  <c r="S1002"/>
  <c r="T1002"/>
  <c r="U1002"/>
  <c r="X1002"/>
  <c r="Y1002"/>
  <c r="Z1002"/>
  <c r="AA1002"/>
  <c r="AB1002"/>
  <c r="AC1002"/>
  <c r="AD1002"/>
  <c r="AE1002"/>
  <c r="AF1002"/>
  <c r="AG1002"/>
  <c r="AH1002"/>
  <c r="AI1002"/>
  <c r="AJ1002"/>
  <c r="AK1002"/>
  <c r="C1003"/>
  <c r="H1003"/>
  <c r="I1003"/>
  <c r="J1003"/>
  <c r="K1003"/>
  <c r="M1003"/>
  <c r="P1003"/>
  <c r="R1003"/>
  <c r="S1003"/>
  <c r="T1003"/>
  <c r="U1003"/>
  <c r="X1003"/>
  <c r="Y1003"/>
  <c r="Z1003"/>
  <c r="AA1003"/>
  <c r="AB1003"/>
  <c r="AC1003"/>
  <c r="AD1003"/>
  <c r="AE1003"/>
  <c r="AF1003"/>
  <c r="AG1003"/>
  <c r="AH1003"/>
  <c r="AI1003"/>
  <c r="AJ1003"/>
  <c r="AK1003"/>
  <c r="C1004"/>
  <c r="H1004"/>
  <c r="I1004"/>
  <c r="J1004"/>
  <c r="K1004"/>
  <c r="M1004"/>
  <c r="P1004"/>
  <c r="R1004"/>
  <c r="S1004"/>
  <c r="T1004"/>
  <c r="U1004"/>
  <c r="X1004"/>
  <c r="Y1004"/>
  <c r="Z1004"/>
  <c r="AA1004"/>
  <c r="AB1004"/>
  <c r="AC1004"/>
  <c r="AD1004"/>
  <c r="AE1004"/>
  <c r="AF1004"/>
  <c r="AG1004"/>
  <c r="AH1004"/>
  <c r="AI1004"/>
  <c r="AJ1004"/>
  <c r="AK1004"/>
  <c r="C1005"/>
  <c r="H1005"/>
  <c r="I1005"/>
  <c r="J1005"/>
  <c r="K1005"/>
  <c r="M1005"/>
  <c r="P1005"/>
  <c r="R1005"/>
  <c r="S1005"/>
  <c r="T1005"/>
  <c r="U1005"/>
  <c r="X1005"/>
  <c r="Y1005"/>
  <c r="Z1005"/>
  <c r="AA1005"/>
  <c r="AB1005"/>
  <c r="AC1005"/>
  <c r="AD1005"/>
  <c r="AE1005"/>
  <c r="AF1005"/>
  <c r="AG1005"/>
  <c r="AH1005"/>
  <c r="AI1005"/>
  <c r="AJ1005"/>
  <c r="AK1005"/>
  <c r="C1006"/>
  <c r="H1006"/>
  <c r="I1006"/>
  <c r="J1006"/>
  <c r="K1006"/>
  <c r="M1006"/>
  <c r="P1006"/>
  <c r="R1006"/>
  <c r="S1006"/>
  <c r="T1006"/>
  <c r="U1006"/>
  <c r="X1006"/>
  <c r="Y1006"/>
  <c r="Z1006"/>
  <c r="AA1006"/>
  <c r="AB1006"/>
  <c r="AC1006"/>
  <c r="AD1006"/>
  <c r="AE1006"/>
  <c r="AF1006"/>
  <c r="AG1006"/>
  <c r="AH1006"/>
  <c r="AI1006"/>
  <c r="AJ1006"/>
  <c r="AK1006"/>
  <c r="C1007"/>
  <c r="H1007"/>
  <c r="I1007"/>
  <c r="J1007"/>
  <c r="K1007"/>
  <c r="M1007"/>
  <c r="P1007"/>
  <c r="R1007"/>
  <c r="S1007"/>
  <c r="T1007"/>
  <c r="U1007"/>
  <c r="X1007"/>
  <c r="Y1007"/>
  <c r="Z1007"/>
  <c r="AA1007"/>
  <c r="AB1007"/>
  <c r="AC1007"/>
  <c r="AD1007"/>
  <c r="AE1007"/>
  <c r="AF1007"/>
  <c r="AG1007"/>
  <c r="AH1007"/>
  <c r="AI1007"/>
  <c r="AJ1007"/>
  <c r="AK1007"/>
  <c r="C1008"/>
  <c r="H1008"/>
  <c r="I1008"/>
  <c r="J1008"/>
  <c r="K1008"/>
  <c r="M1008"/>
  <c r="P1008"/>
  <c r="R1008"/>
  <c r="S1008"/>
  <c r="T1008"/>
  <c r="U1008"/>
  <c r="X1008"/>
  <c r="Y1008"/>
  <c r="Z1008"/>
  <c r="AA1008"/>
  <c r="AB1008"/>
  <c r="AC1008"/>
  <c r="AD1008"/>
  <c r="AE1008"/>
  <c r="AF1008"/>
  <c r="AG1008"/>
  <c r="AH1008"/>
  <c r="AI1008"/>
  <c r="AJ1008"/>
  <c r="AK1008"/>
  <c r="C1009"/>
  <c r="H1009"/>
  <c r="I1009"/>
  <c r="J1009"/>
  <c r="K1009"/>
  <c r="M1009"/>
  <c r="P1009"/>
  <c r="R1009"/>
  <c r="S1009"/>
  <c r="T1009"/>
  <c r="U1009"/>
  <c r="X1009"/>
  <c r="Y1009"/>
  <c r="Z1009"/>
  <c r="AA1009"/>
  <c r="AB1009"/>
  <c r="AC1009"/>
  <c r="AD1009"/>
  <c r="AE1009"/>
  <c r="AF1009"/>
  <c r="AG1009"/>
  <c r="AH1009"/>
  <c r="AI1009"/>
  <c r="AJ1009"/>
  <c r="AK1009"/>
  <c r="C1010"/>
  <c r="H1010"/>
  <c r="I1010"/>
  <c r="J1010"/>
  <c r="K1010"/>
  <c r="M1010"/>
  <c r="P1010"/>
  <c r="R1010"/>
  <c r="S1010"/>
  <c r="T1010"/>
  <c r="U1010"/>
  <c r="X1010"/>
  <c r="Y1010"/>
  <c r="Z1010"/>
  <c r="AA1010"/>
  <c r="AB1010"/>
  <c r="AC1010"/>
  <c r="AD1010"/>
  <c r="AE1010"/>
  <c r="AF1010"/>
  <c r="AG1010"/>
  <c r="AH1010"/>
  <c r="AI1010"/>
  <c r="AJ1010"/>
  <c r="AK1010"/>
  <c r="C1011"/>
  <c r="H1011"/>
  <c r="I1011"/>
  <c r="J1011"/>
  <c r="K1011"/>
  <c r="M1011"/>
  <c r="P1011"/>
  <c r="R1011"/>
  <c r="S1011"/>
  <c r="T1011"/>
  <c r="U1011"/>
  <c r="X1011"/>
  <c r="Y1011"/>
  <c r="Z1011"/>
  <c r="AA1011"/>
  <c r="AB1011"/>
  <c r="AC1011"/>
  <c r="AD1011"/>
  <c r="AE1011"/>
  <c r="AF1011"/>
  <c r="AG1011"/>
  <c r="AH1011"/>
  <c r="AI1011"/>
  <c r="AJ1011"/>
  <c r="AK1011"/>
  <c r="C992"/>
  <c r="H992"/>
  <c r="I992"/>
  <c r="J992"/>
  <c r="K992"/>
  <c r="M992"/>
  <c r="P992"/>
  <c r="R992"/>
  <c r="S992"/>
  <c r="T992"/>
  <c r="U992"/>
  <c r="X992"/>
  <c r="Y992"/>
  <c r="Z992"/>
  <c r="AA992"/>
  <c r="AB992"/>
  <c r="AC992"/>
  <c r="AD992"/>
  <c r="AE992"/>
  <c r="AF992"/>
  <c r="AG992"/>
  <c r="AH992"/>
  <c r="AI992"/>
  <c r="AJ992"/>
  <c r="AK992"/>
  <c r="C993"/>
  <c r="H993"/>
  <c r="I993"/>
  <c r="J993"/>
  <c r="K993"/>
  <c r="M993"/>
  <c r="P993"/>
  <c r="R993"/>
  <c r="S993"/>
  <c r="T993"/>
  <c r="U993"/>
  <c r="X993"/>
  <c r="Y993"/>
  <c r="Z993"/>
  <c r="AA993"/>
  <c r="AB993"/>
  <c r="AC993"/>
  <c r="AD993"/>
  <c r="AE993"/>
  <c r="AF993"/>
  <c r="AG993"/>
  <c r="AH993"/>
  <c r="AI993"/>
  <c r="AJ993"/>
  <c r="AK993"/>
  <c r="C994"/>
  <c r="H994"/>
  <c r="I994"/>
  <c r="J994"/>
  <c r="K994"/>
  <c r="M994"/>
  <c r="P994"/>
  <c r="R994"/>
  <c r="S994"/>
  <c r="T994"/>
  <c r="U994"/>
  <c r="X994"/>
  <c r="Y994"/>
  <c r="Z994"/>
  <c r="AA994"/>
  <c r="AB994"/>
  <c r="AC994"/>
  <c r="AD994"/>
  <c r="AE994"/>
  <c r="AF994"/>
  <c r="AG994"/>
  <c r="AH994"/>
  <c r="AI994"/>
  <c r="AJ994"/>
  <c r="AK994"/>
  <c r="C995"/>
  <c r="H995"/>
  <c r="I995"/>
  <c r="J995"/>
  <c r="K995"/>
  <c r="M995"/>
  <c r="P995"/>
  <c r="R995"/>
  <c r="S995"/>
  <c r="T995"/>
  <c r="U995"/>
  <c r="X995"/>
  <c r="Y995"/>
  <c r="Z995"/>
  <c r="AA995"/>
  <c r="AB995"/>
  <c r="AC995"/>
  <c r="AD995"/>
  <c r="AE995"/>
  <c r="AF995"/>
  <c r="AG995"/>
  <c r="AH995"/>
  <c r="AI995"/>
  <c r="AJ995"/>
  <c r="AK995"/>
  <c r="C996"/>
  <c r="H996"/>
  <c r="I996"/>
  <c r="J996"/>
  <c r="K996"/>
  <c r="M996"/>
  <c r="P996"/>
  <c r="R996"/>
  <c r="S996"/>
  <c r="T996"/>
  <c r="U996"/>
  <c r="X996"/>
  <c r="Y996"/>
  <c r="Z996"/>
  <c r="AA996"/>
  <c r="AB996"/>
  <c r="AC996"/>
  <c r="AD996"/>
  <c r="AE996"/>
  <c r="AF996"/>
  <c r="AG996"/>
  <c r="AH996"/>
  <c r="AI996"/>
  <c r="AJ996"/>
  <c r="AK996"/>
  <c r="C997"/>
  <c r="H997"/>
  <c r="I997"/>
  <c r="J997"/>
  <c r="K997"/>
  <c r="M997"/>
  <c r="P997"/>
  <c r="R997"/>
  <c r="S997"/>
  <c r="T997"/>
  <c r="U997"/>
  <c r="X997"/>
  <c r="Y997"/>
  <c r="Z997"/>
  <c r="AA997"/>
  <c r="AB997"/>
  <c r="AC997"/>
  <c r="AD997"/>
  <c r="AE997"/>
  <c r="AF997"/>
  <c r="AG997"/>
  <c r="AH997"/>
  <c r="AI997"/>
  <c r="AJ997"/>
  <c r="AK997"/>
  <c r="C998"/>
  <c r="H998"/>
  <c r="I998"/>
  <c r="J998"/>
  <c r="K998"/>
  <c r="M998"/>
  <c r="P998"/>
  <c r="R998"/>
  <c r="S998"/>
  <c r="T998"/>
  <c r="U998"/>
  <c r="X998"/>
  <c r="Y998"/>
  <c r="Z998"/>
  <c r="AA998"/>
  <c r="AB998"/>
  <c r="AC998"/>
  <c r="AD998"/>
  <c r="AE998"/>
  <c r="AF998"/>
  <c r="AG998"/>
  <c r="AH998"/>
  <c r="AI998"/>
  <c r="AJ998"/>
  <c r="AK998"/>
  <c r="C999"/>
  <c r="H999"/>
  <c r="I999"/>
  <c r="J999"/>
  <c r="K999"/>
  <c r="M999"/>
  <c r="P999"/>
  <c r="R999"/>
  <c r="S999"/>
  <c r="T999"/>
  <c r="U999"/>
  <c r="X999"/>
  <c r="Y999"/>
  <c r="Z999"/>
  <c r="AA999"/>
  <c r="AB999"/>
  <c r="AC999"/>
  <c r="AD999"/>
  <c r="AE999"/>
  <c r="AF999"/>
  <c r="AG999"/>
  <c r="AH999"/>
  <c r="AI999"/>
  <c r="AJ999"/>
  <c r="AK999"/>
  <c r="C1000"/>
  <c r="H1000"/>
  <c r="I1000"/>
  <c r="J1000"/>
  <c r="K1000"/>
  <c r="M1000"/>
  <c r="P1000"/>
  <c r="R1000"/>
  <c r="S1000"/>
  <c r="T1000"/>
  <c r="U1000"/>
  <c r="X1000"/>
  <c r="Y1000"/>
  <c r="Z1000"/>
  <c r="AA1000"/>
  <c r="AB1000"/>
  <c r="AC1000"/>
  <c r="AD1000"/>
  <c r="AE1000"/>
  <c r="AF1000"/>
  <c r="AG1000"/>
  <c r="AH1000"/>
  <c r="AI1000"/>
  <c r="AJ1000"/>
  <c r="AK1000"/>
  <c r="C1001"/>
  <c r="H1001"/>
  <c r="I1001"/>
  <c r="J1001"/>
  <c r="K1001"/>
  <c r="M1001"/>
  <c r="P1001"/>
  <c r="R1001"/>
  <c r="S1001"/>
  <c r="T1001"/>
  <c r="U1001"/>
  <c r="X1001"/>
  <c r="Y1001"/>
  <c r="Z1001"/>
  <c r="AA1001"/>
  <c r="AB1001"/>
  <c r="AC1001"/>
  <c r="AD1001"/>
  <c r="AE1001"/>
  <c r="AF1001"/>
  <c r="AG1001"/>
  <c r="AH1001"/>
  <c r="AI1001"/>
  <c r="AJ1001"/>
  <c r="AK1001"/>
  <c r="C982"/>
  <c r="H982"/>
  <c r="I982"/>
  <c r="J982"/>
  <c r="K982"/>
  <c r="M982"/>
  <c r="P982"/>
  <c r="R982"/>
  <c r="S982"/>
  <c r="T982"/>
  <c r="U982"/>
  <c r="X982"/>
  <c r="Y982"/>
  <c r="Z982"/>
  <c r="AA982"/>
  <c r="AB982"/>
  <c r="AC982"/>
  <c r="AD982"/>
  <c r="AE982"/>
  <c r="AF982"/>
  <c r="AG982"/>
  <c r="AH982"/>
  <c r="AI982"/>
  <c r="AJ982"/>
  <c r="AK982"/>
  <c r="C983"/>
  <c r="H983"/>
  <c r="I983"/>
  <c r="J983"/>
  <c r="K983"/>
  <c r="M983"/>
  <c r="P983"/>
  <c r="R983"/>
  <c r="S983"/>
  <c r="T983"/>
  <c r="U983"/>
  <c r="X983"/>
  <c r="Y983"/>
  <c r="Z983"/>
  <c r="AA983"/>
  <c r="AB983"/>
  <c r="AC983"/>
  <c r="AD983"/>
  <c r="AE983"/>
  <c r="AF983"/>
  <c r="AG983"/>
  <c r="AH983"/>
  <c r="AI983"/>
  <c r="AJ983"/>
  <c r="AK983"/>
  <c r="C984"/>
  <c r="H984"/>
  <c r="I984"/>
  <c r="J984"/>
  <c r="K984"/>
  <c r="M984"/>
  <c r="P984"/>
  <c r="R984"/>
  <c r="S984"/>
  <c r="T984"/>
  <c r="U984"/>
  <c r="X984"/>
  <c r="Y984"/>
  <c r="Z984"/>
  <c r="AA984"/>
  <c r="AB984"/>
  <c r="AC984"/>
  <c r="AD984"/>
  <c r="AE984"/>
  <c r="AF984"/>
  <c r="AG984"/>
  <c r="AH984"/>
  <c r="AI984"/>
  <c r="AJ984"/>
  <c r="AK984"/>
  <c r="C985"/>
  <c r="H985"/>
  <c r="I985"/>
  <c r="J985"/>
  <c r="K985"/>
  <c r="M985"/>
  <c r="P985"/>
  <c r="R985"/>
  <c r="S985"/>
  <c r="T985"/>
  <c r="U985"/>
  <c r="X985"/>
  <c r="Y985"/>
  <c r="Z985"/>
  <c r="AA985"/>
  <c r="AB985"/>
  <c r="AC985"/>
  <c r="AD985"/>
  <c r="AE985"/>
  <c r="AF985"/>
  <c r="AG985"/>
  <c r="AH985"/>
  <c r="AI985"/>
  <c r="AJ985"/>
  <c r="AK985"/>
  <c r="C986"/>
  <c r="H986"/>
  <c r="I986"/>
  <c r="J986"/>
  <c r="K986"/>
  <c r="M986"/>
  <c r="P986"/>
  <c r="R986"/>
  <c r="S986"/>
  <c r="T986"/>
  <c r="U986"/>
  <c r="X986"/>
  <c r="Y986"/>
  <c r="Z986"/>
  <c r="AA986"/>
  <c r="AB986"/>
  <c r="AC986"/>
  <c r="AD986"/>
  <c r="AE986"/>
  <c r="AF986"/>
  <c r="AG986"/>
  <c r="AH986"/>
  <c r="AI986"/>
  <c r="AJ986"/>
  <c r="AK986"/>
  <c r="C987"/>
  <c r="H987"/>
  <c r="I987"/>
  <c r="J987"/>
  <c r="K987"/>
  <c r="M987"/>
  <c r="P987"/>
  <c r="R987"/>
  <c r="S987"/>
  <c r="T987"/>
  <c r="U987"/>
  <c r="X987"/>
  <c r="Y987"/>
  <c r="Z987"/>
  <c r="AA987"/>
  <c r="AB987"/>
  <c r="AC987"/>
  <c r="AD987"/>
  <c r="AE987"/>
  <c r="AF987"/>
  <c r="AG987"/>
  <c r="AH987"/>
  <c r="AI987"/>
  <c r="AJ987"/>
  <c r="AK987"/>
  <c r="C988"/>
  <c r="H988"/>
  <c r="I988"/>
  <c r="J988"/>
  <c r="K988"/>
  <c r="M988"/>
  <c r="P988"/>
  <c r="R988"/>
  <c r="S988"/>
  <c r="T988"/>
  <c r="U988"/>
  <c r="X988"/>
  <c r="Y988"/>
  <c r="Z988"/>
  <c r="AA988"/>
  <c r="AB988"/>
  <c r="AC988"/>
  <c r="AD988"/>
  <c r="AE988"/>
  <c r="AF988"/>
  <c r="AG988"/>
  <c r="AH988"/>
  <c r="AI988"/>
  <c r="AJ988"/>
  <c r="AK988"/>
  <c r="C989"/>
  <c r="H989"/>
  <c r="I989"/>
  <c r="J989"/>
  <c r="K989"/>
  <c r="M989"/>
  <c r="P989"/>
  <c r="R989"/>
  <c r="S989"/>
  <c r="T989"/>
  <c r="U989"/>
  <c r="X989"/>
  <c r="Y989"/>
  <c r="Z989"/>
  <c r="AA989"/>
  <c r="AB989"/>
  <c r="AC989"/>
  <c r="AD989"/>
  <c r="AE989"/>
  <c r="AF989"/>
  <c r="AG989"/>
  <c r="AH989"/>
  <c r="AI989"/>
  <c r="AJ989"/>
  <c r="AK989"/>
  <c r="C990"/>
  <c r="H990"/>
  <c r="I990"/>
  <c r="J990"/>
  <c r="K990"/>
  <c r="M990"/>
  <c r="P990"/>
  <c r="R990"/>
  <c r="S990"/>
  <c r="T990"/>
  <c r="U990"/>
  <c r="X990"/>
  <c r="Y990"/>
  <c r="Z990"/>
  <c r="AA990"/>
  <c r="AB990"/>
  <c r="AC990"/>
  <c r="AD990"/>
  <c r="AE990"/>
  <c r="AF990"/>
  <c r="AG990"/>
  <c r="AH990"/>
  <c r="AI990"/>
  <c r="AJ990"/>
  <c r="AK990"/>
  <c r="C991"/>
  <c r="H991"/>
  <c r="I991"/>
  <c r="J991"/>
  <c r="K991"/>
  <c r="M991"/>
  <c r="P991"/>
  <c r="R991"/>
  <c r="S991"/>
  <c r="T991"/>
  <c r="U991"/>
  <c r="X991"/>
  <c r="Y991"/>
  <c r="Z991"/>
  <c r="AA991"/>
  <c r="AB991"/>
  <c r="AC991"/>
  <c r="AD991"/>
  <c r="AE991"/>
  <c r="AF991"/>
  <c r="AG991"/>
  <c r="AH991"/>
  <c r="AI991"/>
  <c r="AJ991"/>
  <c r="AK991"/>
  <c r="C972"/>
  <c r="H972"/>
  <c r="I972"/>
  <c r="J972"/>
  <c r="K972"/>
  <c r="M972"/>
  <c r="P972"/>
  <c r="R972"/>
  <c r="S972"/>
  <c r="T972"/>
  <c r="U972"/>
  <c r="X972"/>
  <c r="Y972"/>
  <c r="Z972"/>
  <c r="AA972"/>
  <c r="AB972"/>
  <c r="AC972"/>
  <c r="AD972"/>
  <c r="AE972"/>
  <c r="AF972"/>
  <c r="AG972"/>
  <c r="AH972"/>
  <c r="AI972"/>
  <c r="AJ972"/>
  <c r="AK972"/>
  <c r="C973"/>
  <c r="H973"/>
  <c r="I973"/>
  <c r="J973"/>
  <c r="K973"/>
  <c r="M973"/>
  <c r="P973"/>
  <c r="R973"/>
  <c r="S973"/>
  <c r="T973"/>
  <c r="U973"/>
  <c r="X973"/>
  <c r="Y973"/>
  <c r="Z973"/>
  <c r="AA973"/>
  <c r="AB973"/>
  <c r="AC973"/>
  <c r="AD973"/>
  <c r="AE973"/>
  <c r="AF973"/>
  <c r="AG973"/>
  <c r="AH973"/>
  <c r="AI973"/>
  <c r="AJ973"/>
  <c r="AK973"/>
  <c r="C974"/>
  <c r="H974"/>
  <c r="I974"/>
  <c r="J974"/>
  <c r="K974"/>
  <c r="M974"/>
  <c r="P974"/>
  <c r="R974"/>
  <c r="S974"/>
  <c r="T974"/>
  <c r="U974"/>
  <c r="X974"/>
  <c r="Y974"/>
  <c r="Z974"/>
  <c r="AA974"/>
  <c r="AB974"/>
  <c r="AC974"/>
  <c r="AD974"/>
  <c r="AE974"/>
  <c r="AF974"/>
  <c r="AG974"/>
  <c r="AH974"/>
  <c r="AI974"/>
  <c r="AJ974"/>
  <c r="AK974"/>
  <c r="C975"/>
  <c r="H975"/>
  <c r="I975"/>
  <c r="J975"/>
  <c r="K975"/>
  <c r="M975"/>
  <c r="P975"/>
  <c r="R975"/>
  <c r="S975"/>
  <c r="T975"/>
  <c r="U975"/>
  <c r="X975"/>
  <c r="Y975"/>
  <c r="Z975"/>
  <c r="AA975"/>
  <c r="AB975"/>
  <c r="AC975"/>
  <c r="AD975"/>
  <c r="AE975"/>
  <c r="AF975"/>
  <c r="AG975"/>
  <c r="AH975"/>
  <c r="AI975"/>
  <c r="AJ975"/>
  <c r="AK975"/>
  <c r="C976"/>
  <c r="H976"/>
  <c r="I976"/>
  <c r="J976"/>
  <c r="K976"/>
  <c r="M976"/>
  <c r="P976"/>
  <c r="R976"/>
  <c r="S976"/>
  <c r="T976"/>
  <c r="U976"/>
  <c r="X976"/>
  <c r="Y976"/>
  <c r="Z976"/>
  <c r="AA976"/>
  <c r="AB976"/>
  <c r="AC976"/>
  <c r="AD976"/>
  <c r="AE976"/>
  <c r="AF976"/>
  <c r="AG976"/>
  <c r="AH976"/>
  <c r="AI976"/>
  <c r="AJ976"/>
  <c r="AK976"/>
  <c r="C977"/>
  <c r="H977"/>
  <c r="I977"/>
  <c r="J977"/>
  <c r="K977"/>
  <c r="M977"/>
  <c r="P977"/>
  <c r="R977"/>
  <c r="S977"/>
  <c r="T977"/>
  <c r="U977"/>
  <c r="X977"/>
  <c r="Y977"/>
  <c r="Z977"/>
  <c r="AA977"/>
  <c r="AB977"/>
  <c r="AC977"/>
  <c r="AD977"/>
  <c r="AE977"/>
  <c r="AF977"/>
  <c r="AG977"/>
  <c r="AH977"/>
  <c r="AI977"/>
  <c r="AJ977"/>
  <c r="AK977"/>
  <c r="C978"/>
  <c r="H978"/>
  <c r="I978"/>
  <c r="J978"/>
  <c r="K978"/>
  <c r="M978"/>
  <c r="P978"/>
  <c r="R978"/>
  <c r="S978"/>
  <c r="T978"/>
  <c r="U978"/>
  <c r="X978"/>
  <c r="Y978"/>
  <c r="Z978"/>
  <c r="AA978"/>
  <c r="AB978"/>
  <c r="AC978"/>
  <c r="AD978"/>
  <c r="AE978"/>
  <c r="AF978"/>
  <c r="AG978"/>
  <c r="AH978"/>
  <c r="AI978"/>
  <c r="AJ978"/>
  <c r="AK978"/>
  <c r="C979"/>
  <c r="H979"/>
  <c r="I979"/>
  <c r="J979"/>
  <c r="K979"/>
  <c r="M979"/>
  <c r="P979"/>
  <c r="R979"/>
  <c r="S979"/>
  <c r="T979"/>
  <c r="U979"/>
  <c r="X979"/>
  <c r="Y979"/>
  <c r="Z979"/>
  <c r="AA979"/>
  <c r="AB979"/>
  <c r="AC979"/>
  <c r="AD979"/>
  <c r="AE979"/>
  <c r="AF979"/>
  <c r="AG979"/>
  <c r="AH979"/>
  <c r="AI979"/>
  <c r="AJ979"/>
  <c r="AK979"/>
  <c r="C980"/>
  <c r="H980"/>
  <c r="I980"/>
  <c r="J980"/>
  <c r="K980"/>
  <c r="M980"/>
  <c r="P980"/>
  <c r="R980"/>
  <c r="S980"/>
  <c r="T980"/>
  <c r="U980"/>
  <c r="X980"/>
  <c r="Y980"/>
  <c r="Z980"/>
  <c r="AA980"/>
  <c r="AB980"/>
  <c r="AC980"/>
  <c r="AD980"/>
  <c r="AE980"/>
  <c r="AF980"/>
  <c r="AG980"/>
  <c r="AH980"/>
  <c r="AI980"/>
  <c r="AJ980"/>
  <c r="AK980"/>
  <c r="C981"/>
  <c r="H981"/>
  <c r="I981"/>
  <c r="J981"/>
  <c r="K981"/>
  <c r="M981"/>
  <c r="P981"/>
  <c r="R981"/>
  <c r="S981"/>
  <c r="T981"/>
  <c r="U981"/>
  <c r="X981"/>
  <c r="Y981"/>
  <c r="Z981"/>
  <c r="AA981"/>
  <c r="AB981"/>
  <c r="AC981"/>
  <c r="AD981"/>
  <c r="AE981"/>
  <c r="AF981"/>
  <c r="AG981"/>
  <c r="AH981"/>
  <c r="AI981"/>
  <c r="AJ981"/>
  <c r="AK981"/>
  <c r="C962"/>
  <c r="H962"/>
  <c r="I962"/>
  <c r="J962"/>
  <c r="K962"/>
  <c r="M962"/>
  <c r="P962"/>
  <c r="R962"/>
  <c r="S962"/>
  <c r="T962"/>
  <c r="U962"/>
  <c r="X962"/>
  <c r="Y962"/>
  <c r="Z962"/>
  <c r="AA962"/>
  <c r="AB962"/>
  <c r="AC962"/>
  <c r="AD962"/>
  <c r="AE962"/>
  <c r="AF962"/>
  <c r="AG962"/>
  <c r="AH962"/>
  <c r="AI962"/>
  <c r="AJ962"/>
  <c r="AK962"/>
  <c r="C963"/>
  <c r="H963"/>
  <c r="I963"/>
  <c r="J963"/>
  <c r="K963"/>
  <c r="M963"/>
  <c r="P963"/>
  <c r="R963"/>
  <c r="S963"/>
  <c r="T963"/>
  <c r="U963"/>
  <c r="X963"/>
  <c r="Y963"/>
  <c r="Z963"/>
  <c r="AA963"/>
  <c r="AB963"/>
  <c r="AC963"/>
  <c r="AD963"/>
  <c r="AE963"/>
  <c r="AF963"/>
  <c r="AG963"/>
  <c r="AH963"/>
  <c r="AI963"/>
  <c r="AJ963"/>
  <c r="AK963"/>
  <c r="C964"/>
  <c r="H964"/>
  <c r="I964"/>
  <c r="J964"/>
  <c r="K964"/>
  <c r="M964"/>
  <c r="P964"/>
  <c r="R964"/>
  <c r="S964"/>
  <c r="T964"/>
  <c r="U964"/>
  <c r="X964"/>
  <c r="Y964"/>
  <c r="Z964"/>
  <c r="AA964"/>
  <c r="AB964"/>
  <c r="AC964"/>
  <c r="AD964"/>
  <c r="AE964"/>
  <c r="AF964"/>
  <c r="AG964"/>
  <c r="AH964"/>
  <c r="AI964"/>
  <c r="AJ964"/>
  <c r="AK964"/>
  <c r="C965"/>
  <c r="H965"/>
  <c r="I965"/>
  <c r="J965"/>
  <c r="K965"/>
  <c r="M965"/>
  <c r="P965"/>
  <c r="R965"/>
  <c r="S965"/>
  <c r="T965"/>
  <c r="U965"/>
  <c r="X965"/>
  <c r="Y965"/>
  <c r="Z965"/>
  <c r="AA965"/>
  <c r="AB965"/>
  <c r="AC965"/>
  <c r="AD965"/>
  <c r="AE965"/>
  <c r="AF965"/>
  <c r="AG965"/>
  <c r="AH965"/>
  <c r="AI965"/>
  <c r="AJ965"/>
  <c r="AK965"/>
  <c r="C966"/>
  <c r="H966"/>
  <c r="I966"/>
  <c r="J966"/>
  <c r="K966"/>
  <c r="M966"/>
  <c r="P966"/>
  <c r="R966"/>
  <c r="S966"/>
  <c r="T966"/>
  <c r="U966"/>
  <c r="X966"/>
  <c r="Y966"/>
  <c r="Z966"/>
  <c r="AA966"/>
  <c r="AB966"/>
  <c r="AC966"/>
  <c r="AD966"/>
  <c r="AE966"/>
  <c r="AF966"/>
  <c r="AG966"/>
  <c r="AH966"/>
  <c r="AI966"/>
  <c r="AJ966"/>
  <c r="AK966"/>
  <c r="C967"/>
  <c r="H967"/>
  <c r="I967"/>
  <c r="J967"/>
  <c r="K967"/>
  <c r="M967"/>
  <c r="P967"/>
  <c r="R967"/>
  <c r="S967"/>
  <c r="T967"/>
  <c r="U967"/>
  <c r="X967"/>
  <c r="Y967"/>
  <c r="Z967"/>
  <c r="AA967"/>
  <c r="AB967"/>
  <c r="AC967"/>
  <c r="AD967"/>
  <c r="AE967"/>
  <c r="AF967"/>
  <c r="AG967"/>
  <c r="AH967"/>
  <c r="AI967"/>
  <c r="AJ967"/>
  <c r="AK967"/>
  <c r="C968"/>
  <c r="H968"/>
  <c r="I968"/>
  <c r="J968"/>
  <c r="K968"/>
  <c r="M968"/>
  <c r="P968"/>
  <c r="R968"/>
  <c r="S968"/>
  <c r="T968"/>
  <c r="U968"/>
  <c r="X968"/>
  <c r="Y968"/>
  <c r="Z968"/>
  <c r="AA968"/>
  <c r="AB968"/>
  <c r="AC968"/>
  <c r="AD968"/>
  <c r="AE968"/>
  <c r="AF968"/>
  <c r="AG968"/>
  <c r="AH968"/>
  <c r="AI968"/>
  <c r="AJ968"/>
  <c r="AK968"/>
  <c r="C969"/>
  <c r="H969"/>
  <c r="I969"/>
  <c r="J969"/>
  <c r="K969"/>
  <c r="M969"/>
  <c r="P969"/>
  <c r="R969"/>
  <c r="S969"/>
  <c r="T969"/>
  <c r="U969"/>
  <c r="X969"/>
  <c r="Y969"/>
  <c r="Z969"/>
  <c r="AA969"/>
  <c r="AB969"/>
  <c r="AC969"/>
  <c r="AD969"/>
  <c r="AE969"/>
  <c r="AF969"/>
  <c r="AG969"/>
  <c r="AH969"/>
  <c r="AI969"/>
  <c r="AJ969"/>
  <c r="AK969"/>
  <c r="C970"/>
  <c r="H970"/>
  <c r="I970"/>
  <c r="J970"/>
  <c r="K970"/>
  <c r="M970"/>
  <c r="P970"/>
  <c r="R970"/>
  <c r="S970"/>
  <c r="T970"/>
  <c r="U970"/>
  <c r="X970"/>
  <c r="Y970"/>
  <c r="Z970"/>
  <c r="AA970"/>
  <c r="AB970"/>
  <c r="AC970"/>
  <c r="AD970"/>
  <c r="AE970"/>
  <c r="AF970"/>
  <c r="AG970"/>
  <c r="AH970"/>
  <c r="AI970"/>
  <c r="AJ970"/>
  <c r="AK970"/>
  <c r="C971"/>
  <c r="H971"/>
  <c r="I971"/>
  <c r="J971"/>
  <c r="K971"/>
  <c r="M971"/>
  <c r="P971"/>
  <c r="R971"/>
  <c r="S971"/>
  <c r="T971"/>
  <c r="U971"/>
  <c r="X971"/>
  <c r="Y971"/>
  <c r="Z971"/>
  <c r="AA971"/>
  <c r="AB971"/>
  <c r="AC971"/>
  <c r="AD971"/>
  <c r="AE971"/>
  <c r="AF971"/>
  <c r="AG971"/>
  <c r="AH971"/>
  <c r="AI971"/>
  <c r="AJ971"/>
  <c r="AK971"/>
  <c r="C952"/>
  <c r="H952"/>
  <c r="I952"/>
  <c r="J952"/>
  <c r="K952"/>
  <c r="M952"/>
  <c r="P952"/>
  <c r="R952"/>
  <c r="S952"/>
  <c r="T952"/>
  <c r="U952"/>
  <c r="X952"/>
  <c r="Y952"/>
  <c r="Z952"/>
  <c r="AA952"/>
  <c r="AB952"/>
  <c r="AC952"/>
  <c r="AD952"/>
  <c r="AE952"/>
  <c r="AF952"/>
  <c r="AG952"/>
  <c r="AH952"/>
  <c r="AI952"/>
  <c r="AJ952"/>
  <c r="AK952"/>
  <c r="C953"/>
  <c r="H953"/>
  <c r="I953"/>
  <c r="J953"/>
  <c r="K953"/>
  <c r="M953"/>
  <c r="P953"/>
  <c r="R953"/>
  <c r="S953"/>
  <c r="T953"/>
  <c r="U953"/>
  <c r="X953"/>
  <c r="Y953"/>
  <c r="Z953"/>
  <c r="AA953"/>
  <c r="AB953"/>
  <c r="AC953"/>
  <c r="AD953"/>
  <c r="AE953"/>
  <c r="AF953"/>
  <c r="AG953"/>
  <c r="AH953"/>
  <c r="AI953"/>
  <c r="AJ953"/>
  <c r="AK953"/>
  <c r="C954"/>
  <c r="H954"/>
  <c r="I954"/>
  <c r="J954"/>
  <c r="K954"/>
  <c r="M954"/>
  <c r="P954"/>
  <c r="R954"/>
  <c r="S954"/>
  <c r="T954"/>
  <c r="U954"/>
  <c r="X954"/>
  <c r="Y954"/>
  <c r="Z954"/>
  <c r="AA954"/>
  <c r="AB954"/>
  <c r="AC954"/>
  <c r="AD954"/>
  <c r="AE954"/>
  <c r="AF954"/>
  <c r="AG954"/>
  <c r="AH954"/>
  <c r="AI954"/>
  <c r="AJ954"/>
  <c r="AK954"/>
  <c r="C955"/>
  <c r="H955"/>
  <c r="I955"/>
  <c r="J955"/>
  <c r="K955"/>
  <c r="M955"/>
  <c r="P955"/>
  <c r="R955"/>
  <c r="S955"/>
  <c r="T955"/>
  <c r="U955"/>
  <c r="X955"/>
  <c r="Y955"/>
  <c r="Z955"/>
  <c r="AA955"/>
  <c r="AB955"/>
  <c r="AC955"/>
  <c r="AD955"/>
  <c r="AE955"/>
  <c r="AF955"/>
  <c r="AG955"/>
  <c r="AH955"/>
  <c r="AI955"/>
  <c r="AJ955"/>
  <c r="AK955"/>
  <c r="C956"/>
  <c r="H956"/>
  <c r="I956"/>
  <c r="J956"/>
  <c r="K956"/>
  <c r="M956"/>
  <c r="P956"/>
  <c r="R956"/>
  <c r="S956"/>
  <c r="T956"/>
  <c r="U956"/>
  <c r="X956"/>
  <c r="Y956"/>
  <c r="Z956"/>
  <c r="AA956"/>
  <c r="AB956"/>
  <c r="AC956"/>
  <c r="AD956"/>
  <c r="AE956"/>
  <c r="AF956"/>
  <c r="AG956"/>
  <c r="AH956"/>
  <c r="AI956"/>
  <c r="AJ956"/>
  <c r="AK956"/>
  <c r="C957"/>
  <c r="H957"/>
  <c r="I957"/>
  <c r="J957"/>
  <c r="K957"/>
  <c r="M957"/>
  <c r="P957"/>
  <c r="R957"/>
  <c r="S957"/>
  <c r="T957"/>
  <c r="U957"/>
  <c r="X957"/>
  <c r="Y957"/>
  <c r="Z957"/>
  <c r="AA957"/>
  <c r="AB957"/>
  <c r="AC957"/>
  <c r="AD957"/>
  <c r="AE957"/>
  <c r="AF957"/>
  <c r="AG957"/>
  <c r="AH957"/>
  <c r="AI957"/>
  <c r="AJ957"/>
  <c r="AK957"/>
  <c r="C958"/>
  <c r="H958"/>
  <c r="I958"/>
  <c r="J958"/>
  <c r="K958"/>
  <c r="M958"/>
  <c r="P958"/>
  <c r="R958"/>
  <c r="S958"/>
  <c r="T958"/>
  <c r="U958"/>
  <c r="X958"/>
  <c r="Y958"/>
  <c r="Z958"/>
  <c r="AA958"/>
  <c r="AB958"/>
  <c r="AC958"/>
  <c r="AD958"/>
  <c r="AE958"/>
  <c r="AF958"/>
  <c r="AG958"/>
  <c r="AH958"/>
  <c r="AI958"/>
  <c r="AJ958"/>
  <c r="AK958"/>
  <c r="C959"/>
  <c r="H959"/>
  <c r="I959"/>
  <c r="J959"/>
  <c r="K959"/>
  <c r="M959"/>
  <c r="P959"/>
  <c r="R959"/>
  <c r="S959"/>
  <c r="T959"/>
  <c r="U959"/>
  <c r="X959"/>
  <c r="Y959"/>
  <c r="Z959"/>
  <c r="AA959"/>
  <c r="AB959"/>
  <c r="AC959"/>
  <c r="AD959"/>
  <c r="AE959"/>
  <c r="AF959"/>
  <c r="AG959"/>
  <c r="AH959"/>
  <c r="AI959"/>
  <c r="AJ959"/>
  <c r="AK959"/>
  <c r="C960"/>
  <c r="H960"/>
  <c r="I960"/>
  <c r="J960"/>
  <c r="K960"/>
  <c r="M960"/>
  <c r="P960"/>
  <c r="R960"/>
  <c r="S960"/>
  <c r="T960"/>
  <c r="U960"/>
  <c r="X960"/>
  <c r="Y960"/>
  <c r="Z960"/>
  <c r="AA960"/>
  <c r="AB960"/>
  <c r="AC960"/>
  <c r="AD960"/>
  <c r="AE960"/>
  <c r="AF960"/>
  <c r="AG960"/>
  <c r="AH960"/>
  <c r="AI960"/>
  <c r="AJ960"/>
  <c r="AK960"/>
  <c r="C961"/>
  <c r="H961"/>
  <c r="I961"/>
  <c r="J961"/>
  <c r="K961"/>
  <c r="M961"/>
  <c r="P961"/>
  <c r="R961"/>
  <c r="S961"/>
  <c r="T961"/>
  <c r="U961"/>
  <c r="X961"/>
  <c r="Y961"/>
  <c r="Z961"/>
  <c r="AA961"/>
  <c r="AB961"/>
  <c r="AC961"/>
  <c r="AD961"/>
  <c r="AE961"/>
  <c r="AF961"/>
  <c r="AG961"/>
  <c r="AH961"/>
  <c r="AI961"/>
  <c r="AJ961"/>
  <c r="AK961"/>
  <c r="C942"/>
  <c r="H942"/>
  <c r="I942"/>
  <c r="J942"/>
  <c r="K942"/>
  <c r="M942"/>
  <c r="P942"/>
  <c r="R942"/>
  <c r="S942"/>
  <c r="T942"/>
  <c r="U942"/>
  <c r="X942"/>
  <c r="Y942"/>
  <c r="Z942"/>
  <c r="AA942"/>
  <c r="AB942"/>
  <c r="AC942"/>
  <c r="AD942"/>
  <c r="AE942"/>
  <c r="AF942"/>
  <c r="AG942"/>
  <c r="AH942"/>
  <c r="AI942"/>
  <c r="AJ942"/>
  <c r="AK942"/>
  <c r="C943"/>
  <c r="H943"/>
  <c r="I943"/>
  <c r="J943"/>
  <c r="K943"/>
  <c r="M943"/>
  <c r="P943"/>
  <c r="R943"/>
  <c r="S943"/>
  <c r="T943"/>
  <c r="U943"/>
  <c r="X943"/>
  <c r="Y943"/>
  <c r="Z943"/>
  <c r="AA943"/>
  <c r="AB943"/>
  <c r="AC943"/>
  <c r="AD943"/>
  <c r="AE943"/>
  <c r="AF943"/>
  <c r="AG943"/>
  <c r="AH943"/>
  <c r="AI943"/>
  <c r="AJ943"/>
  <c r="AK943"/>
  <c r="C944"/>
  <c r="H944"/>
  <c r="I944"/>
  <c r="J944"/>
  <c r="K944"/>
  <c r="M944"/>
  <c r="P944"/>
  <c r="R944"/>
  <c r="S944"/>
  <c r="T944"/>
  <c r="U944"/>
  <c r="X944"/>
  <c r="Y944"/>
  <c r="Z944"/>
  <c r="AA944"/>
  <c r="AB944"/>
  <c r="AC944"/>
  <c r="AD944"/>
  <c r="AE944"/>
  <c r="AF944"/>
  <c r="AG944"/>
  <c r="AH944"/>
  <c r="AI944"/>
  <c r="AJ944"/>
  <c r="AK944"/>
  <c r="C945"/>
  <c r="H945"/>
  <c r="I945"/>
  <c r="J945"/>
  <c r="K945"/>
  <c r="M945"/>
  <c r="P945"/>
  <c r="R945"/>
  <c r="S945"/>
  <c r="T945"/>
  <c r="U945"/>
  <c r="X945"/>
  <c r="Y945"/>
  <c r="Z945"/>
  <c r="AA945"/>
  <c r="AB945"/>
  <c r="AC945"/>
  <c r="AD945"/>
  <c r="AE945"/>
  <c r="AF945"/>
  <c r="AG945"/>
  <c r="AH945"/>
  <c r="AI945"/>
  <c r="AJ945"/>
  <c r="AK945"/>
  <c r="C946"/>
  <c r="H946"/>
  <c r="I946"/>
  <c r="J946"/>
  <c r="K946"/>
  <c r="M946"/>
  <c r="P946"/>
  <c r="R946"/>
  <c r="S946"/>
  <c r="T946"/>
  <c r="U946"/>
  <c r="X946"/>
  <c r="Y946"/>
  <c r="Z946"/>
  <c r="AA946"/>
  <c r="AB946"/>
  <c r="AC946"/>
  <c r="AD946"/>
  <c r="AE946"/>
  <c r="AF946"/>
  <c r="AG946"/>
  <c r="AH946"/>
  <c r="AI946"/>
  <c r="AJ946"/>
  <c r="AK946"/>
  <c r="C947"/>
  <c r="H947"/>
  <c r="I947"/>
  <c r="J947"/>
  <c r="K947"/>
  <c r="M947"/>
  <c r="P947"/>
  <c r="R947"/>
  <c r="S947"/>
  <c r="T947"/>
  <c r="U947"/>
  <c r="X947"/>
  <c r="Y947"/>
  <c r="Z947"/>
  <c r="AA947"/>
  <c r="AB947"/>
  <c r="AC947"/>
  <c r="AD947"/>
  <c r="AE947"/>
  <c r="AF947"/>
  <c r="AG947"/>
  <c r="AH947"/>
  <c r="AI947"/>
  <c r="AJ947"/>
  <c r="AK947"/>
  <c r="C948"/>
  <c r="H948"/>
  <c r="I948"/>
  <c r="J948"/>
  <c r="K948"/>
  <c r="M948"/>
  <c r="P948"/>
  <c r="R948"/>
  <c r="S948"/>
  <c r="T948"/>
  <c r="U948"/>
  <c r="X948"/>
  <c r="Y948"/>
  <c r="Z948"/>
  <c r="AA948"/>
  <c r="AB948"/>
  <c r="AC948"/>
  <c r="AD948"/>
  <c r="AE948"/>
  <c r="AF948"/>
  <c r="AG948"/>
  <c r="AH948"/>
  <c r="AI948"/>
  <c r="AJ948"/>
  <c r="AK948"/>
  <c r="C949"/>
  <c r="H949"/>
  <c r="I949"/>
  <c r="J949"/>
  <c r="K949"/>
  <c r="M949"/>
  <c r="P949"/>
  <c r="R949"/>
  <c r="S949"/>
  <c r="T949"/>
  <c r="U949"/>
  <c r="X949"/>
  <c r="Y949"/>
  <c r="Z949"/>
  <c r="AA949"/>
  <c r="AB949"/>
  <c r="AC949"/>
  <c r="AD949"/>
  <c r="AE949"/>
  <c r="AF949"/>
  <c r="AG949"/>
  <c r="AH949"/>
  <c r="AI949"/>
  <c r="AJ949"/>
  <c r="AK949"/>
  <c r="C950"/>
  <c r="H950"/>
  <c r="I950"/>
  <c r="J950"/>
  <c r="K950"/>
  <c r="M950"/>
  <c r="P950"/>
  <c r="R950"/>
  <c r="S950"/>
  <c r="T950"/>
  <c r="U950"/>
  <c r="X950"/>
  <c r="Y950"/>
  <c r="Z950"/>
  <c r="AA950"/>
  <c r="AB950"/>
  <c r="AC950"/>
  <c r="AD950"/>
  <c r="AE950"/>
  <c r="AF950"/>
  <c r="AG950"/>
  <c r="AH950"/>
  <c r="AI950"/>
  <c r="AJ950"/>
  <c r="AK950"/>
  <c r="C951"/>
  <c r="H951"/>
  <c r="I951"/>
  <c r="J951"/>
  <c r="K951"/>
  <c r="M951"/>
  <c r="P951"/>
  <c r="R951"/>
  <c r="S951"/>
  <c r="T951"/>
  <c r="U951"/>
  <c r="X951"/>
  <c r="Y951"/>
  <c r="Z951"/>
  <c r="AA951"/>
  <c r="AB951"/>
  <c r="AC951"/>
  <c r="AD951"/>
  <c r="AE951"/>
  <c r="AF951"/>
  <c r="AG951"/>
  <c r="AH951"/>
  <c r="AI951"/>
  <c r="AJ951"/>
  <c r="AK951"/>
  <c r="C932"/>
  <c r="H932"/>
  <c r="I932"/>
  <c r="J932"/>
  <c r="K932"/>
  <c r="M932"/>
  <c r="P932"/>
  <c r="R932"/>
  <c r="S932"/>
  <c r="T932"/>
  <c r="U932"/>
  <c r="X932"/>
  <c r="Y932"/>
  <c r="Z932"/>
  <c r="AA932"/>
  <c r="AB932"/>
  <c r="AC932"/>
  <c r="AD932"/>
  <c r="AE932"/>
  <c r="AF932"/>
  <c r="AG932"/>
  <c r="AH932"/>
  <c r="AI932"/>
  <c r="AJ932"/>
  <c r="AK932"/>
  <c r="C933"/>
  <c r="H933"/>
  <c r="I933"/>
  <c r="J933"/>
  <c r="K933"/>
  <c r="M933"/>
  <c r="P933"/>
  <c r="R933"/>
  <c r="S933"/>
  <c r="T933"/>
  <c r="U933"/>
  <c r="X933"/>
  <c r="Y933"/>
  <c r="Z933"/>
  <c r="AA933"/>
  <c r="AB933"/>
  <c r="AC933"/>
  <c r="AD933"/>
  <c r="AE933"/>
  <c r="AF933"/>
  <c r="AG933"/>
  <c r="AH933"/>
  <c r="AI933"/>
  <c r="AJ933"/>
  <c r="AK933"/>
  <c r="C934"/>
  <c r="H934"/>
  <c r="I934"/>
  <c r="J934"/>
  <c r="K934"/>
  <c r="M934"/>
  <c r="P934"/>
  <c r="R934"/>
  <c r="S934"/>
  <c r="T934"/>
  <c r="U934"/>
  <c r="X934"/>
  <c r="Y934"/>
  <c r="Z934"/>
  <c r="AA934"/>
  <c r="AB934"/>
  <c r="AC934"/>
  <c r="AD934"/>
  <c r="AE934"/>
  <c r="AF934"/>
  <c r="AG934"/>
  <c r="AH934"/>
  <c r="AI934"/>
  <c r="AJ934"/>
  <c r="AK934"/>
  <c r="C935"/>
  <c r="H935"/>
  <c r="I935"/>
  <c r="J935"/>
  <c r="K935"/>
  <c r="M935"/>
  <c r="P935"/>
  <c r="R935"/>
  <c r="S935"/>
  <c r="T935"/>
  <c r="U935"/>
  <c r="X935"/>
  <c r="Y935"/>
  <c r="Z935"/>
  <c r="AA935"/>
  <c r="AB935"/>
  <c r="AC935"/>
  <c r="AD935"/>
  <c r="AE935"/>
  <c r="AF935"/>
  <c r="AG935"/>
  <c r="AH935"/>
  <c r="AI935"/>
  <c r="AJ935"/>
  <c r="AK935"/>
  <c r="C936"/>
  <c r="H936"/>
  <c r="I936"/>
  <c r="J936"/>
  <c r="K936"/>
  <c r="M936"/>
  <c r="P936"/>
  <c r="R936"/>
  <c r="S936"/>
  <c r="T936"/>
  <c r="U936"/>
  <c r="X936"/>
  <c r="Y936"/>
  <c r="Z936"/>
  <c r="AA936"/>
  <c r="AB936"/>
  <c r="AC936"/>
  <c r="AD936"/>
  <c r="AE936"/>
  <c r="AF936"/>
  <c r="AG936"/>
  <c r="AH936"/>
  <c r="AI936"/>
  <c r="AJ936"/>
  <c r="AK936"/>
  <c r="C937"/>
  <c r="H937"/>
  <c r="I937"/>
  <c r="J937"/>
  <c r="K937"/>
  <c r="M937"/>
  <c r="P937"/>
  <c r="R937"/>
  <c r="S937"/>
  <c r="T937"/>
  <c r="U937"/>
  <c r="X937"/>
  <c r="Y937"/>
  <c r="Z937"/>
  <c r="AA937"/>
  <c r="AB937"/>
  <c r="AC937"/>
  <c r="AD937"/>
  <c r="AE937"/>
  <c r="AF937"/>
  <c r="AG937"/>
  <c r="AH937"/>
  <c r="AI937"/>
  <c r="AJ937"/>
  <c r="AK937"/>
  <c r="C938"/>
  <c r="H938"/>
  <c r="I938"/>
  <c r="J938"/>
  <c r="K938"/>
  <c r="M938"/>
  <c r="P938"/>
  <c r="R938"/>
  <c r="S938"/>
  <c r="T938"/>
  <c r="U938"/>
  <c r="X938"/>
  <c r="Y938"/>
  <c r="Z938"/>
  <c r="AA938"/>
  <c r="AB938"/>
  <c r="AC938"/>
  <c r="AD938"/>
  <c r="AE938"/>
  <c r="AF938"/>
  <c r="AG938"/>
  <c r="AH938"/>
  <c r="AI938"/>
  <c r="AJ938"/>
  <c r="AK938"/>
  <c r="C939"/>
  <c r="H939"/>
  <c r="I939"/>
  <c r="J939"/>
  <c r="K939"/>
  <c r="M939"/>
  <c r="P939"/>
  <c r="R939"/>
  <c r="S939"/>
  <c r="T939"/>
  <c r="U939"/>
  <c r="X939"/>
  <c r="Y939"/>
  <c r="Z939"/>
  <c r="AA939"/>
  <c r="AB939"/>
  <c r="AC939"/>
  <c r="AD939"/>
  <c r="AE939"/>
  <c r="AF939"/>
  <c r="AG939"/>
  <c r="AH939"/>
  <c r="AI939"/>
  <c r="AJ939"/>
  <c r="AK939"/>
  <c r="C940"/>
  <c r="H940"/>
  <c r="I940"/>
  <c r="J940"/>
  <c r="K940"/>
  <c r="M940"/>
  <c r="P940"/>
  <c r="R940"/>
  <c r="S940"/>
  <c r="T940"/>
  <c r="U940"/>
  <c r="X940"/>
  <c r="Y940"/>
  <c r="Z940"/>
  <c r="AA940"/>
  <c r="AB940"/>
  <c r="AC940"/>
  <c r="AD940"/>
  <c r="AE940"/>
  <c r="AF940"/>
  <c r="AG940"/>
  <c r="AH940"/>
  <c r="AI940"/>
  <c r="AJ940"/>
  <c r="AK940"/>
  <c r="C941"/>
  <c r="H941"/>
  <c r="I941"/>
  <c r="J941"/>
  <c r="K941"/>
  <c r="M941"/>
  <c r="P941"/>
  <c r="R941"/>
  <c r="S941"/>
  <c r="T941"/>
  <c r="U941"/>
  <c r="X941"/>
  <c r="Y941"/>
  <c r="Z941"/>
  <c r="AA941"/>
  <c r="AB941"/>
  <c r="AC941"/>
  <c r="AD941"/>
  <c r="AE941"/>
  <c r="AF941"/>
  <c r="AG941"/>
  <c r="AH941"/>
  <c r="AI941"/>
  <c r="AJ941"/>
  <c r="AK941"/>
  <c r="C922"/>
  <c r="H922"/>
  <c r="I922"/>
  <c r="J922"/>
  <c r="K922"/>
  <c r="M922"/>
  <c r="P922"/>
  <c r="R922"/>
  <c r="S922"/>
  <c r="T922"/>
  <c r="U922"/>
  <c r="X922"/>
  <c r="Y922"/>
  <c r="Z922"/>
  <c r="AA922"/>
  <c r="AB922"/>
  <c r="AC922"/>
  <c r="AD922"/>
  <c r="AE922"/>
  <c r="AF922"/>
  <c r="AG922"/>
  <c r="AH922"/>
  <c r="AI922"/>
  <c r="AJ922"/>
  <c r="AK922"/>
  <c r="C923"/>
  <c r="H923"/>
  <c r="I923"/>
  <c r="J923"/>
  <c r="K923"/>
  <c r="M923"/>
  <c r="P923"/>
  <c r="R923"/>
  <c r="S923"/>
  <c r="T923"/>
  <c r="U923"/>
  <c r="X923"/>
  <c r="Y923"/>
  <c r="Z923"/>
  <c r="AA923"/>
  <c r="AB923"/>
  <c r="AC923"/>
  <c r="AD923"/>
  <c r="AE923"/>
  <c r="AF923"/>
  <c r="AG923"/>
  <c r="AH923"/>
  <c r="AI923"/>
  <c r="AJ923"/>
  <c r="AK923"/>
  <c r="C924"/>
  <c r="H924"/>
  <c r="I924"/>
  <c r="J924"/>
  <c r="K924"/>
  <c r="M924"/>
  <c r="P924"/>
  <c r="R924"/>
  <c r="S924"/>
  <c r="T924"/>
  <c r="U924"/>
  <c r="X924"/>
  <c r="Y924"/>
  <c r="Z924"/>
  <c r="AA924"/>
  <c r="AB924"/>
  <c r="AC924"/>
  <c r="AD924"/>
  <c r="AE924"/>
  <c r="AF924"/>
  <c r="AG924"/>
  <c r="AH924"/>
  <c r="AI924"/>
  <c r="AJ924"/>
  <c r="AK924"/>
  <c r="C925"/>
  <c r="H925"/>
  <c r="I925"/>
  <c r="J925"/>
  <c r="K925"/>
  <c r="M925"/>
  <c r="P925"/>
  <c r="R925"/>
  <c r="S925"/>
  <c r="T925"/>
  <c r="U925"/>
  <c r="X925"/>
  <c r="Y925"/>
  <c r="Z925"/>
  <c r="AA925"/>
  <c r="AB925"/>
  <c r="AC925"/>
  <c r="AD925"/>
  <c r="AE925"/>
  <c r="AF925"/>
  <c r="AG925"/>
  <c r="AH925"/>
  <c r="AI925"/>
  <c r="AJ925"/>
  <c r="AK925"/>
  <c r="C926"/>
  <c r="H926"/>
  <c r="I926"/>
  <c r="J926"/>
  <c r="K926"/>
  <c r="M926"/>
  <c r="P926"/>
  <c r="R926"/>
  <c r="S926"/>
  <c r="T926"/>
  <c r="U926"/>
  <c r="X926"/>
  <c r="Y926"/>
  <c r="Z926"/>
  <c r="AA926"/>
  <c r="AB926"/>
  <c r="AC926"/>
  <c r="AD926"/>
  <c r="AE926"/>
  <c r="AF926"/>
  <c r="AG926"/>
  <c r="AH926"/>
  <c r="AI926"/>
  <c r="AJ926"/>
  <c r="AK926"/>
  <c r="C927"/>
  <c r="H927"/>
  <c r="I927"/>
  <c r="J927"/>
  <c r="K927"/>
  <c r="M927"/>
  <c r="P927"/>
  <c r="R927"/>
  <c r="S927"/>
  <c r="T927"/>
  <c r="U927"/>
  <c r="X927"/>
  <c r="Y927"/>
  <c r="Z927"/>
  <c r="AA927"/>
  <c r="AB927"/>
  <c r="AC927"/>
  <c r="AD927"/>
  <c r="AE927"/>
  <c r="AF927"/>
  <c r="AG927"/>
  <c r="AH927"/>
  <c r="AI927"/>
  <c r="AJ927"/>
  <c r="AK927"/>
  <c r="C928"/>
  <c r="H928"/>
  <c r="I928"/>
  <c r="J928"/>
  <c r="K928"/>
  <c r="M928"/>
  <c r="P928"/>
  <c r="R928"/>
  <c r="S928"/>
  <c r="T928"/>
  <c r="U928"/>
  <c r="X928"/>
  <c r="Y928"/>
  <c r="Z928"/>
  <c r="AA928"/>
  <c r="AB928"/>
  <c r="AC928"/>
  <c r="AD928"/>
  <c r="AE928"/>
  <c r="AF928"/>
  <c r="AG928"/>
  <c r="AH928"/>
  <c r="AI928"/>
  <c r="AJ928"/>
  <c r="AK928"/>
  <c r="C929"/>
  <c r="H929"/>
  <c r="I929"/>
  <c r="J929"/>
  <c r="K929"/>
  <c r="M929"/>
  <c r="P929"/>
  <c r="R929"/>
  <c r="S929"/>
  <c r="T929"/>
  <c r="U929"/>
  <c r="X929"/>
  <c r="Y929"/>
  <c r="Z929"/>
  <c r="AA929"/>
  <c r="AB929"/>
  <c r="AC929"/>
  <c r="AD929"/>
  <c r="AE929"/>
  <c r="AF929"/>
  <c r="AG929"/>
  <c r="AH929"/>
  <c r="AI929"/>
  <c r="AJ929"/>
  <c r="AK929"/>
  <c r="C930"/>
  <c r="H930"/>
  <c r="I930"/>
  <c r="J930"/>
  <c r="K930"/>
  <c r="M930"/>
  <c r="P930"/>
  <c r="R930"/>
  <c r="S930"/>
  <c r="T930"/>
  <c r="U930"/>
  <c r="X930"/>
  <c r="Y930"/>
  <c r="Z930"/>
  <c r="AA930"/>
  <c r="AB930"/>
  <c r="AC930"/>
  <c r="AD930"/>
  <c r="AE930"/>
  <c r="AF930"/>
  <c r="AG930"/>
  <c r="AH930"/>
  <c r="AI930"/>
  <c r="AJ930"/>
  <c r="AK930"/>
  <c r="C931"/>
  <c r="H931"/>
  <c r="I931"/>
  <c r="J931"/>
  <c r="K931"/>
  <c r="M931"/>
  <c r="P931"/>
  <c r="R931"/>
  <c r="S931"/>
  <c r="T931"/>
  <c r="U931"/>
  <c r="X931"/>
  <c r="Y931"/>
  <c r="Z931"/>
  <c r="AA931"/>
  <c r="AB931"/>
  <c r="AC931"/>
  <c r="AD931"/>
  <c r="AE931"/>
  <c r="AF931"/>
  <c r="AG931"/>
  <c r="AH931"/>
  <c r="AI931"/>
  <c r="AJ931"/>
  <c r="AK931"/>
  <c r="C912"/>
  <c r="H912"/>
  <c r="I912"/>
  <c r="J912"/>
  <c r="K912"/>
  <c r="M912"/>
  <c r="P912"/>
  <c r="R912"/>
  <c r="S912"/>
  <c r="T912"/>
  <c r="U912"/>
  <c r="X912"/>
  <c r="Y912"/>
  <c r="Z912"/>
  <c r="AA912"/>
  <c r="AB912"/>
  <c r="AC912"/>
  <c r="AD912"/>
  <c r="AE912"/>
  <c r="AF912"/>
  <c r="AG912"/>
  <c r="AH912"/>
  <c r="AI912"/>
  <c r="AJ912"/>
  <c r="AK912"/>
  <c r="C913"/>
  <c r="H913"/>
  <c r="I913"/>
  <c r="J913"/>
  <c r="K913"/>
  <c r="M913"/>
  <c r="P913"/>
  <c r="R913"/>
  <c r="S913"/>
  <c r="T913"/>
  <c r="U913"/>
  <c r="X913"/>
  <c r="Y913"/>
  <c r="Z913"/>
  <c r="AA913"/>
  <c r="AB913"/>
  <c r="AC913"/>
  <c r="AD913"/>
  <c r="AE913"/>
  <c r="AF913"/>
  <c r="AG913"/>
  <c r="AH913"/>
  <c r="AI913"/>
  <c r="AJ913"/>
  <c r="AK913"/>
  <c r="C914"/>
  <c r="H914"/>
  <c r="I914"/>
  <c r="J914"/>
  <c r="K914"/>
  <c r="M914"/>
  <c r="P914"/>
  <c r="R914"/>
  <c r="S914"/>
  <c r="T914"/>
  <c r="U914"/>
  <c r="X914"/>
  <c r="Y914"/>
  <c r="Z914"/>
  <c r="AA914"/>
  <c r="AB914"/>
  <c r="AC914"/>
  <c r="AD914"/>
  <c r="AE914"/>
  <c r="AF914"/>
  <c r="AG914"/>
  <c r="AH914"/>
  <c r="AI914"/>
  <c r="AJ914"/>
  <c r="AK914"/>
  <c r="C915"/>
  <c r="H915"/>
  <c r="I915"/>
  <c r="J915"/>
  <c r="K915"/>
  <c r="M915"/>
  <c r="P915"/>
  <c r="R915"/>
  <c r="S915"/>
  <c r="T915"/>
  <c r="U915"/>
  <c r="X915"/>
  <c r="Y915"/>
  <c r="Z915"/>
  <c r="AA915"/>
  <c r="AB915"/>
  <c r="AC915"/>
  <c r="AD915"/>
  <c r="AE915"/>
  <c r="AF915"/>
  <c r="AG915"/>
  <c r="AH915"/>
  <c r="AI915"/>
  <c r="AJ915"/>
  <c r="AK915"/>
  <c r="C916"/>
  <c r="H916"/>
  <c r="I916"/>
  <c r="J916"/>
  <c r="K916"/>
  <c r="M916"/>
  <c r="P916"/>
  <c r="R916"/>
  <c r="S916"/>
  <c r="T916"/>
  <c r="U916"/>
  <c r="X916"/>
  <c r="Y916"/>
  <c r="Z916"/>
  <c r="AA916"/>
  <c r="AB916"/>
  <c r="AC916"/>
  <c r="AD916"/>
  <c r="AE916"/>
  <c r="AF916"/>
  <c r="AG916"/>
  <c r="AH916"/>
  <c r="AI916"/>
  <c r="AJ916"/>
  <c r="AK916"/>
  <c r="C917"/>
  <c r="H917"/>
  <c r="I917"/>
  <c r="J917"/>
  <c r="K917"/>
  <c r="M917"/>
  <c r="P917"/>
  <c r="R917"/>
  <c r="S917"/>
  <c r="T917"/>
  <c r="U917"/>
  <c r="X917"/>
  <c r="Y917"/>
  <c r="Z917"/>
  <c r="AA917"/>
  <c r="AB917"/>
  <c r="AC917"/>
  <c r="AD917"/>
  <c r="AE917"/>
  <c r="AF917"/>
  <c r="AG917"/>
  <c r="AH917"/>
  <c r="AI917"/>
  <c r="AJ917"/>
  <c r="AK917"/>
  <c r="C918"/>
  <c r="H918"/>
  <c r="I918"/>
  <c r="J918"/>
  <c r="K918"/>
  <c r="M918"/>
  <c r="P918"/>
  <c r="R918"/>
  <c r="S918"/>
  <c r="T918"/>
  <c r="U918"/>
  <c r="X918"/>
  <c r="Y918"/>
  <c r="Z918"/>
  <c r="AA918"/>
  <c r="AB918"/>
  <c r="AC918"/>
  <c r="AD918"/>
  <c r="AE918"/>
  <c r="AF918"/>
  <c r="AG918"/>
  <c r="AH918"/>
  <c r="AI918"/>
  <c r="AJ918"/>
  <c r="AK918"/>
  <c r="C919"/>
  <c r="H919"/>
  <c r="I919"/>
  <c r="J919"/>
  <c r="K919"/>
  <c r="M919"/>
  <c r="P919"/>
  <c r="R919"/>
  <c r="S919"/>
  <c r="T919"/>
  <c r="U919"/>
  <c r="X919"/>
  <c r="Y919"/>
  <c r="Z919"/>
  <c r="AA919"/>
  <c r="AB919"/>
  <c r="AC919"/>
  <c r="AD919"/>
  <c r="AE919"/>
  <c r="AF919"/>
  <c r="AG919"/>
  <c r="AH919"/>
  <c r="AI919"/>
  <c r="AJ919"/>
  <c r="AK919"/>
  <c r="C920"/>
  <c r="H920"/>
  <c r="I920"/>
  <c r="J920"/>
  <c r="K920"/>
  <c r="M920"/>
  <c r="P920"/>
  <c r="R920"/>
  <c r="S920"/>
  <c r="T920"/>
  <c r="U920"/>
  <c r="X920"/>
  <c r="Y920"/>
  <c r="Z920"/>
  <c r="AA920"/>
  <c r="AB920"/>
  <c r="AC920"/>
  <c r="AD920"/>
  <c r="AE920"/>
  <c r="AF920"/>
  <c r="AG920"/>
  <c r="AH920"/>
  <c r="AI920"/>
  <c r="AJ920"/>
  <c r="AK920"/>
  <c r="C921"/>
  <c r="H921"/>
  <c r="I921"/>
  <c r="J921"/>
  <c r="K921"/>
  <c r="M921"/>
  <c r="P921"/>
  <c r="R921"/>
  <c r="S921"/>
  <c r="T921"/>
  <c r="U921"/>
  <c r="X921"/>
  <c r="Y921"/>
  <c r="Z921"/>
  <c r="AA921"/>
  <c r="AB921"/>
  <c r="AC921"/>
  <c r="AD921"/>
  <c r="AE921"/>
  <c r="AF921"/>
  <c r="AG921"/>
  <c r="AH921"/>
  <c r="AI921"/>
  <c r="AJ921"/>
  <c r="AK921"/>
  <c r="C902"/>
  <c r="H902"/>
  <c r="I902"/>
  <c r="J902"/>
  <c r="K902"/>
  <c r="M902"/>
  <c r="P902"/>
  <c r="R902"/>
  <c r="S902"/>
  <c r="T902"/>
  <c r="U902"/>
  <c r="X902"/>
  <c r="Y902"/>
  <c r="Z902"/>
  <c r="AA902"/>
  <c r="AB902"/>
  <c r="AC902"/>
  <c r="AD902"/>
  <c r="AE902"/>
  <c r="AF902"/>
  <c r="AG902"/>
  <c r="AH902"/>
  <c r="AI902"/>
  <c r="AJ902"/>
  <c r="AK902"/>
  <c r="C903"/>
  <c r="H903"/>
  <c r="I903"/>
  <c r="J903"/>
  <c r="K903"/>
  <c r="M903"/>
  <c r="P903"/>
  <c r="R903"/>
  <c r="S903"/>
  <c r="T903"/>
  <c r="U903"/>
  <c r="X903"/>
  <c r="Y903"/>
  <c r="Z903"/>
  <c r="AA903"/>
  <c r="AB903"/>
  <c r="AC903"/>
  <c r="AD903"/>
  <c r="AE903"/>
  <c r="AF903"/>
  <c r="AG903"/>
  <c r="AH903"/>
  <c r="AI903"/>
  <c r="AJ903"/>
  <c r="AK903"/>
  <c r="C904"/>
  <c r="H904"/>
  <c r="I904"/>
  <c r="J904"/>
  <c r="K904"/>
  <c r="M904"/>
  <c r="P904"/>
  <c r="R904"/>
  <c r="S904"/>
  <c r="T904"/>
  <c r="U904"/>
  <c r="X904"/>
  <c r="Y904"/>
  <c r="Z904"/>
  <c r="AA904"/>
  <c r="AB904"/>
  <c r="AC904"/>
  <c r="AD904"/>
  <c r="AE904"/>
  <c r="AF904"/>
  <c r="AG904"/>
  <c r="AH904"/>
  <c r="AI904"/>
  <c r="AJ904"/>
  <c r="AK904"/>
  <c r="C905"/>
  <c r="H905"/>
  <c r="I905"/>
  <c r="J905"/>
  <c r="K905"/>
  <c r="M905"/>
  <c r="P905"/>
  <c r="R905"/>
  <c r="S905"/>
  <c r="T905"/>
  <c r="U905"/>
  <c r="X905"/>
  <c r="Y905"/>
  <c r="Z905"/>
  <c r="AA905"/>
  <c r="AB905"/>
  <c r="AC905"/>
  <c r="AD905"/>
  <c r="AE905"/>
  <c r="AF905"/>
  <c r="AG905"/>
  <c r="AH905"/>
  <c r="AI905"/>
  <c r="AJ905"/>
  <c r="AK905"/>
  <c r="C906"/>
  <c r="H906"/>
  <c r="I906"/>
  <c r="J906"/>
  <c r="K906"/>
  <c r="M906"/>
  <c r="P906"/>
  <c r="R906"/>
  <c r="S906"/>
  <c r="T906"/>
  <c r="U906"/>
  <c r="X906"/>
  <c r="Y906"/>
  <c r="Z906"/>
  <c r="AA906"/>
  <c r="AB906"/>
  <c r="AC906"/>
  <c r="AD906"/>
  <c r="AE906"/>
  <c r="AF906"/>
  <c r="AG906"/>
  <c r="AH906"/>
  <c r="AI906"/>
  <c r="AJ906"/>
  <c r="AK906"/>
  <c r="C907"/>
  <c r="H907"/>
  <c r="I907"/>
  <c r="J907"/>
  <c r="K907"/>
  <c r="M907"/>
  <c r="P907"/>
  <c r="R907"/>
  <c r="S907"/>
  <c r="T907"/>
  <c r="U907"/>
  <c r="X907"/>
  <c r="Y907"/>
  <c r="Z907"/>
  <c r="AA907"/>
  <c r="AB907"/>
  <c r="AC907"/>
  <c r="AD907"/>
  <c r="AE907"/>
  <c r="AF907"/>
  <c r="AG907"/>
  <c r="AH907"/>
  <c r="AI907"/>
  <c r="AJ907"/>
  <c r="AK907"/>
  <c r="C908"/>
  <c r="H908"/>
  <c r="I908"/>
  <c r="J908"/>
  <c r="K908"/>
  <c r="M908"/>
  <c r="P908"/>
  <c r="R908"/>
  <c r="S908"/>
  <c r="T908"/>
  <c r="U908"/>
  <c r="X908"/>
  <c r="Y908"/>
  <c r="Z908"/>
  <c r="AA908"/>
  <c r="AB908"/>
  <c r="AC908"/>
  <c r="AD908"/>
  <c r="AE908"/>
  <c r="AF908"/>
  <c r="AG908"/>
  <c r="AH908"/>
  <c r="AI908"/>
  <c r="AJ908"/>
  <c r="AK908"/>
  <c r="C909"/>
  <c r="H909"/>
  <c r="I909"/>
  <c r="J909"/>
  <c r="K909"/>
  <c r="M909"/>
  <c r="P909"/>
  <c r="R909"/>
  <c r="S909"/>
  <c r="T909"/>
  <c r="U909"/>
  <c r="X909"/>
  <c r="Y909"/>
  <c r="Z909"/>
  <c r="AA909"/>
  <c r="AB909"/>
  <c r="AC909"/>
  <c r="AD909"/>
  <c r="AE909"/>
  <c r="AF909"/>
  <c r="AG909"/>
  <c r="AH909"/>
  <c r="AI909"/>
  <c r="AJ909"/>
  <c r="AK909"/>
  <c r="C910"/>
  <c r="H910"/>
  <c r="I910"/>
  <c r="J910"/>
  <c r="K910"/>
  <c r="M910"/>
  <c r="P910"/>
  <c r="R910"/>
  <c r="S910"/>
  <c r="T910"/>
  <c r="U910"/>
  <c r="X910"/>
  <c r="Y910"/>
  <c r="Z910"/>
  <c r="AA910"/>
  <c r="AB910"/>
  <c r="AC910"/>
  <c r="AD910"/>
  <c r="AE910"/>
  <c r="AF910"/>
  <c r="AG910"/>
  <c r="AH910"/>
  <c r="AI910"/>
  <c r="AJ910"/>
  <c r="AK910"/>
  <c r="C911"/>
  <c r="H911"/>
  <c r="I911"/>
  <c r="J911"/>
  <c r="K911"/>
  <c r="M911"/>
  <c r="P911"/>
  <c r="R911"/>
  <c r="S911"/>
  <c r="T911"/>
  <c r="U911"/>
  <c r="X911"/>
  <c r="Y911"/>
  <c r="Z911"/>
  <c r="AA911"/>
  <c r="AB911"/>
  <c r="AC911"/>
  <c r="AD911"/>
  <c r="AE911"/>
  <c r="AF911"/>
  <c r="AG911"/>
  <c r="AH911"/>
  <c r="AI911"/>
  <c r="AJ911"/>
  <c r="AK911"/>
  <c r="C892"/>
  <c r="H892"/>
  <c r="I892"/>
  <c r="J892"/>
  <c r="K892"/>
  <c r="M892"/>
  <c r="P892"/>
  <c r="R892"/>
  <c r="S892"/>
  <c r="T892"/>
  <c r="U892"/>
  <c r="X892"/>
  <c r="Y892"/>
  <c r="Z892"/>
  <c r="AA892"/>
  <c r="AB892"/>
  <c r="AC892"/>
  <c r="AD892"/>
  <c r="AE892"/>
  <c r="AF892"/>
  <c r="AG892"/>
  <c r="AH892"/>
  <c r="AI892"/>
  <c r="AJ892"/>
  <c r="AK892"/>
  <c r="C893"/>
  <c r="H893"/>
  <c r="I893"/>
  <c r="J893"/>
  <c r="K893"/>
  <c r="M893"/>
  <c r="P893"/>
  <c r="R893"/>
  <c r="S893"/>
  <c r="T893"/>
  <c r="U893"/>
  <c r="X893"/>
  <c r="Y893"/>
  <c r="Z893"/>
  <c r="AA893"/>
  <c r="AB893"/>
  <c r="AC893"/>
  <c r="AD893"/>
  <c r="AE893"/>
  <c r="AF893"/>
  <c r="AG893"/>
  <c r="AH893"/>
  <c r="AI893"/>
  <c r="AJ893"/>
  <c r="AK893"/>
  <c r="C894"/>
  <c r="H894"/>
  <c r="I894"/>
  <c r="J894"/>
  <c r="K894"/>
  <c r="M894"/>
  <c r="P894"/>
  <c r="R894"/>
  <c r="S894"/>
  <c r="T894"/>
  <c r="U894"/>
  <c r="X894"/>
  <c r="Y894"/>
  <c r="Z894"/>
  <c r="AA894"/>
  <c r="AB894"/>
  <c r="AC894"/>
  <c r="AD894"/>
  <c r="AE894"/>
  <c r="AF894"/>
  <c r="AG894"/>
  <c r="AH894"/>
  <c r="AI894"/>
  <c r="AJ894"/>
  <c r="AK894"/>
  <c r="C895"/>
  <c r="H895"/>
  <c r="I895"/>
  <c r="J895"/>
  <c r="K895"/>
  <c r="M895"/>
  <c r="P895"/>
  <c r="R895"/>
  <c r="S895"/>
  <c r="T895"/>
  <c r="U895"/>
  <c r="X895"/>
  <c r="Y895"/>
  <c r="Z895"/>
  <c r="AA895"/>
  <c r="AB895"/>
  <c r="AC895"/>
  <c r="AD895"/>
  <c r="AE895"/>
  <c r="AF895"/>
  <c r="AG895"/>
  <c r="AH895"/>
  <c r="AI895"/>
  <c r="AJ895"/>
  <c r="AK895"/>
  <c r="C896"/>
  <c r="H896"/>
  <c r="I896"/>
  <c r="J896"/>
  <c r="K896"/>
  <c r="M896"/>
  <c r="P896"/>
  <c r="R896"/>
  <c r="S896"/>
  <c r="T896"/>
  <c r="U896"/>
  <c r="X896"/>
  <c r="Y896"/>
  <c r="Z896"/>
  <c r="AA896"/>
  <c r="AB896"/>
  <c r="AC896"/>
  <c r="AD896"/>
  <c r="AE896"/>
  <c r="AF896"/>
  <c r="AG896"/>
  <c r="AH896"/>
  <c r="AI896"/>
  <c r="AJ896"/>
  <c r="AK896"/>
  <c r="C897"/>
  <c r="H897"/>
  <c r="I897"/>
  <c r="J897"/>
  <c r="K897"/>
  <c r="M897"/>
  <c r="P897"/>
  <c r="R897"/>
  <c r="S897"/>
  <c r="T897"/>
  <c r="U897"/>
  <c r="X897"/>
  <c r="Y897"/>
  <c r="Z897"/>
  <c r="AA897"/>
  <c r="AB897"/>
  <c r="AC897"/>
  <c r="AD897"/>
  <c r="AE897"/>
  <c r="AF897"/>
  <c r="AG897"/>
  <c r="AH897"/>
  <c r="AI897"/>
  <c r="AJ897"/>
  <c r="AK897"/>
  <c r="C898"/>
  <c r="H898"/>
  <c r="I898"/>
  <c r="J898"/>
  <c r="K898"/>
  <c r="M898"/>
  <c r="P898"/>
  <c r="R898"/>
  <c r="S898"/>
  <c r="T898"/>
  <c r="U898"/>
  <c r="X898"/>
  <c r="Y898"/>
  <c r="Z898"/>
  <c r="AA898"/>
  <c r="AB898"/>
  <c r="AC898"/>
  <c r="AD898"/>
  <c r="AE898"/>
  <c r="AF898"/>
  <c r="AG898"/>
  <c r="AH898"/>
  <c r="AI898"/>
  <c r="AJ898"/>
  <c r="AK898"/>
  <c r="C899"/>
  <c r="H899"/>
  <c r="I899"/>
  <c r="J899"/>
  <c r="K899"/>
  <c r="M899"/>
  <c r="P899"/>
  <c r="R899"/>
  <c r="S899"/>
  <c r="T899"/>
  <c r="U899"/>
  <c r="X899"/>
  <c r="Y899"/>
  <c r="Z899"/>
  <c r="AA899"/>
  <c r="AB899"/>
  <c r="AC899"/>
  <c r="AD899"/>
  <c r="AE899"/>
  <c r="AF899"/>
  <c r="AG899"/>
  <c r="AH899"/>
  <c r="AI899"/>
  <c r="AJ899"/>
  <c r="AK899"/>
  <c r="C900"/>
  <c r="H900"/>
  <c r="I900"/>
  <c r="J900"/>
  <c r="K900"/>
  <c r="M900"/>
  <c r="P900"/>
  <c r="R900"/>
  <c r="S900"/>
  <c r="T900"/>
  <c r="U900"/>
  <c r="X900"/>
  <c r="Y900"/>
  <c r="Z900"/>
  <c r="AA900"/>
  <c r="AB900"/>
  <c r="AC900"/>
  <c r="AD900"/>
  <c r="AE900"/>
  <c r="AF900"/>
  <c r="AG900"/>
  <c r="AH900"/>
  <c r="AI900"/>
  <c r="AJ900"/>
  <c r="AK900"/>
  <c r="C901"/>
  <c r="H901"/>
  <c r="I901"/>
  <c r="J901"/>
  <c r="K901"/>
  <c r="M901"/>
  <c r="P901"/>
  <c r="R901"/>
  <c r="S901"/>
  <c r="T901"/>
  <c r="U901"/>
  <c r="X901"/>
  <c r="Y901"/>
  <c r="Z901"/>
  <c r="AA901"/>
  <c r="AB901"/>
  <c r="AC901"/>
  <c r="AD901"/>
  <c r="AE901"/>
  <c r="AF901"/>
  <c r="AG901"/>
  <c r="AH901"/>
  <c r="AI901"/>
  <c r="AJ901"/>
  <c r="AK901"/>
  <c r="C882"/>
  <c r="H882"/>
  <c r="I882"/>
  <c r="J882"/>
  <c r="K882"/>
  <c r="M882"/>
  <c r="P882"/>
  <c r="R882"/>
  <c r="S882"/>
  <c r="T882"/>
  <c r="U882"/>
  <c r="X882"/>
  <c r="Y882"/>
  <c r="Z882"/>
  <c r="AA882"/>
  <c r="AB882"/>
  <c r="AC882"/>
  <c r="AD882"/>
  <c r="AE882"/>
  <c r="AF882"/>
  <c r="AG882"/>
  <c r="AH882"/>
  <c r="AI882"/>
  <c r="AJ882"/>
  <c r="AK882"/>
  <c r="C883"/>
  <c r="H883"/>
  <c r="I883"/>
  <c r="J883"/>
  <c r="K883"/>
  <c r="M883"/>
  <c r="P883"/>
  <c r="R883"/>
  <c r="S883"/>
  <c r="T883"/>
  <c r="U883"/>
  <c r="X883"/>
  <c r="Y883"/>
  <c r="Z883"/>
  <c r="AA883"/>
  <c r="AB883"/>
  <c r="AC883"/>
  <c r="AD883"/>
  <c r="AE883"/>
  <c r="AF883"/>
  <c r="AG883"/>
  <c r="AH883"/>
  <c r="AI883"/>
  <c r="AJ883"/>
  <c r="AK883"/>
  <c r="C884"/>
  <c r="H884"/>
  <c r="I884"/>
  <c r="J884"/>
  <c r="K884"/>
  <c r="M884"/>
  <c r="P884"/>
  <c r="R884"/>
  <c r="S884"/>
  <c r="T884"/>
  <c r="U884"/>
  <c r="X884"/>
  <c r="Y884"/>
  <c r="Z884"/>
  <c r="AA884"/>
  <c r="AB884"/>
  <c r="AC884"/>
  <c r="AD884"/>
  <c r="AE884"/>
  <c r="AF884"/>
  <c r="AG884"/>
  <c r="AH884"/>
  <c r="AI884"/>
  <c r="AJ884"/>
  <c r="AK884"/>
  <c r="C885"/>
  <c r="H885"/>
  <c r="I885"/>
  <c r="J885"/>
  <c r="K885"/>
  <c r="M885"/>
  <c r="P885"/>
  <c r="R885"/>
  <c r="S885"/>
  <c r="T885"/>
  <c r="U885"/>
  <c r="X885"/>
  <c r="Y885"/>
  <c r="Z885"/>
  <c r="AA885"/>
  <c r="AB885"/>
  <c r="AC885"/>
  <c r="AD885"/>
  <c r="AE885"/>
  <c r="AF885"/>
  <c r="AG885"/>
  <c r="AH885"/>
  <c r="AI885"/>
  <c r="AJ885"/>
  <c r="AK885"/>
  <c r="C886"/>
  <c r="H886"/>
  <c r="I886"/>
  <c r="J886"/>
  <c r="K886"/>
  <c r="M886"/>
  <c r="P886"/>
  <c r="R886"/>
  <c r="S886"/>
  <c r="T886"/>
  <c r="U886"/>
  <c r="X886"/>
  <c r="Y886"/>
  <c r="Z886"/>
  <c r="AA886"/>
  <c r="AB886"/>
  <c r="AC886"/>
  <c r="AD886"/>
  <c r="AE886"/>
  <c r="AF886"/>
  <c r="AG886"/>
  <c r="AH886"/>
  <c r="AI886"/>
  <c r="AJ886"/>
  <c r="AK886"/>
  <c r="C887"/>
  <c r="H887"/>
  <c r="I887"/>
  <c r="J887"/>
  <c r="K887"/>
  <c r="M887"/>
  <c r="P887"/>
  <c r="R887"/>
  <c r="S887"/>
  <c r="T887"/>
  <c r="U887"/>
  <c r="X887"/>
  <c r="Y887"/>
  <c r="Z887"/>
  <c r="AA887"/>
  <c r="AB887"/>
  <c r="AC887"/>
  <c r="AD887"/>
  <c r="AE887"/>
  <c r="AF887"/>
  <c r="AG887"/>
  <c r="AH887"/>
  <c r="AI887"/>
  <c r="AJ887"/>
  <c r="AK887"/>
  <c r="C888"/>
  <c r="H888"/>
  <c r="I888"/>
  <c r="J888"/>
  <c r="K888"/>
  <c r="M888"/>
  <c r="P888"/>
  <c r="R888"/>
  <c r="S888"/>
  <c r="T888"/>
  <c r="U888"/>
  <c r="X888"/>
  <c r="Y888"/>
  <c r="Z888"/>
  <c r="AA888"/>
  <c r="AB888"/>
  <c r="AC888"/>
  <c r="AD888"/>
  <c r="AE888"/>
  <c r="AF888"/>
  <c r="AG888"/>
  <c r="AH888"/>
  <c r="AI888"/>
  <c r="AJ888"/>
  <c r="AK888"/>
  <c r="C889"/>
  <c r="H889"/>
  <c r="I889"/>
  <c r="J889"/>
  <c r="K889"/>
  <c r="M889"/>
  <c r="P889"/>
  <c r="R889"/>
  <c r="S889"/>
  <c r="T889"/>
  <c r="U889"/>
  <c r="X889"/>
  <c r="Y889"/>
  <c r="Z889"/>
  <c r="AA889"/>
  <c r="AB889"/>
  <c r="AC889"/>
  <c r="AD889"/>
  <c r="AE889"/>
  <c r="AF889"/>
  <c r="AG889"/>
  <c r="AH889"/>
  <c r="AI889"/>
  <c r="AJ889"/>
  <c r="AK889"/>
  <c r="C890"/>
  <c r="H890"/>
  <c r="I890"/>
  <c r="J890"/>
  <c r="K890"/>
  <c r="M890"/>
  <c r="P890"/>
  <c r="R890"/>
  <c r="S890"/>
  <c r="T890"/>
  <c r="U890"/>
  <c r="X890"/>
  <c r="Y890"/>
  <c r="Z890"/>
  <c r="AA890"/>
  <c r="AB890"/>
  <c r="AC890"/>
  <c r="AD890"/>
  <c r="AE890"/>
  <c r="AF890"/>
  <c r="AG890"/>
  <c r="AH890"/>
  <c r="AI890"/>
  <c r="AJ890"/>
  <c r="AK890"/>
  <c r="C891"/>
  <c r="H891"/>
  <c r="I891"/>
  <c r="J891"/>
  <c r="K891"/>
  <c r="M891"/>
  <c r="P891"/>
  <c r="R891"/>
  <c r="S891"/>
  <c r="T891"/>
  <c r="U891"/>
  <c r="X891"/>
  <c r="Y891"/>
  <c r="Z891"/>
  <c r="AA891"/>
  <c r="AB891"/>
  <c r="AC891"/>
  <c r="AD891"/>
  <c r="AE891"/>
  <c r="AF891"/>
  <c r="AG891"/>
  <c r="AH891"/>
  <c r="AI891"/>
  <c r="AJ891"/>
  <c r="AK891"/>
  <c r="C872"/>
  <c r="H872"/>
  <c r="I872"/>
  <c r="J872"/>
  <c r="K872"/>
  <c r="M872"/>
  <c r="P872"/>
  <c r="R872"/>
  <c r="S872"/>
  <c r="T872"/>
  <c r="U872"/>
  <c r="X872"/>
  <c r="Y872"/>
  <c r="Z872"/>
  <c r="AA872"/>
  <c r="AB872"/>
  <c r="AC872"/>
  <c r="AD872"/>
  <c r="AE872"/>
  <c r="AF872"/>
  <c r="AG872"/>
  <c r="AH872"/>
  <c r="AI872"/>
  <c r="AJ872"/>
  <c r="AK872"/>
  <c r="C873"/>
  <c r="H873"/>
  <c r="I873"/>
  <c r="J873"/>
  <c r="K873"/>
  <c r="M873"/>
  <c r="P873"/>
  <c r="R873"/>
  <c r="S873"/>
  <c r="T873"/>
  <c r="U873"/>
  <c r="X873"/>
  <c r="Y873"/>
  <c r="Z873"/>
  <c r="AA873"/>
  <c r="AB873"/>
  <c r="AC873"/>
  <c r="AD873"/>
  <c r="AE873"/>
  <c r="AF873"/>
  <c r="AG873"/>
  <c r="AH873"/>
  <c r="AI873"/>
  <c r="AJ873"/>
  <c r="AK873"/>
  <c r="C874"/>
  <c r="H874"/>
  <c r="I874"/>
  <c r="J874"/>
  <c r="K874"/>
  <c r="M874"/>
  <c r="P874"/>
  <c r="R874"/>
  <c r="S874"/>
  <c r="T874"/>
  <c r="U874"/>
  <c r="X874"/>
  <c r="Y874"/>
  <c r="Z874"/>
  <c r="AA874"/>
  <c r="AB874"/>
  <c r="AC874"/>
  <c r="AD874"/>
  <c r="AE874"/>
  <c r="AF874"/>
  <c r="AG874"/>
  <c r="AH874"/>
  <c r="AI874"/>
  <c r="AJ874"/>
  <c r="AK874"/>
  <c r="C875"/>
  <c r="H875"/>
  <c r="I875"/>
  <c r="J875"/>
  <c r="K875"/>
  <c r="M875"/>
  <c r="P875"/>
  <c r="R875"/>
  <c r="S875"/>
  <c r="T875"/>
  <c r="U875"/>
  <c r="X875"/>
  <c r="Y875"/>
  <c r="Z875"/>
  <c r="AA875"/>
  <c r="AB875"/>
  <c r="AC875"/>
  <c r="AD875"/>
  <c r="AE875"/>
  <c r="AF875"/>
  <c r="AG875"/>
  <c r="AH875"/>
  <c r="AI875"/>
  <c r="AJ875"/>
  <c r="AK875"/>
  <c r="C876"/>
  <c r="H876"/>
  <c r="I876"/>
  <c r="J876"/>
  <c r="K876"/>
  <c r="M876"/>
  <c r="P876"/>
  <c r="R876"/>
  <c r="S876"/>
  <c r="T876"/>
  <c r="U876"/>
  <c r="X876"/>
  <c r="Y876"/>
  <c r="Z876"/>
  <c r="AA876"/>
  <c r="AB876"/>
  <c r="AC876"/>
  <c r="AD876"/>
  <c r="AE876"/>
  <c r="AF876"/>
  <c r="AG876"/>
  <c r="AH876"/>
  <c r="AI876"/>
  <c r="AJ876"/>
  <c r="AK876"/>
  <c r="C877"/>
  <c r="H877"/>
  <c r="I877"/>
  <c r="J877"/>
  <c r="K877"/>
  <c r="M877"/>
  <c r="P877"/>
  <c r="R877"/>
  <c r="S877"/>
  <c r="T877"/>
  <c r="U877"/>
  <c r="X877"/>
  <c r="Y877"/>
  <c r="Z877"/>
  <c r="AA877"/>
  <c r="AB877"/>
  <c r="AC877"/>
  <c r="AD877"/>
  <c r="AE877"/>
  <c r="AF877"/>
  <c r="AG877"/>
  <c r="AH877"/>
  <c r="AI877"/>
  <c r="AJ877"/>
  <c r="AK877"/>
  <c r="C878"/>
  <c r="H878"/>
  <c r="I878"/>
  <c r="J878"/>
  <c r="K878"/>
  <c r="M878"/>
  <c r="P878"/>
  <c r="R878"/>
  <c r="S878"/>
  <c r="T878"/>
  <c r="U878"/>
  <c r="X878"/>
  <c r="Y878"/>
  <c r="Z878"/>
  <c r="AA878"/>
  <c r="AB878"/>
  <c r="AC878"/>
  <c r="AD878"/>
  <c r="AE878"/>
  <c r="AF878"/>
  <c r="AG878"/>
  <c r="AH878"/>
  <c r="AI878"/>
  <c r="AJ878"/>
  <c r="AK878"/>
  <c r="C879"/>
  <c r="H879"/>
  <c r="I879"/>
  <c r="J879"/>
  <c r="K879"/>
  <c r="M879"/>
  <c r="P879"/>
  <c r="R879"/>
  <c r="S879"/>
  <c r="T879"/>
  <c r="U879"/>
  <c r="X879"/>
  <c r="Y879"/>
  <c r="Z879"/>
  <c r="AA879"/>
  <c r="AB879"/>
  <c r="AC879"/>
  <c r="AD879"/>
  <c r="AE879"/>
  <c r="AF879"/>
  <c r="AG879"/>
  <c r="AH879"/>
  <c r="AI879"/>
  <c r="AJ879"/>
  <c r="AK879"/>
  <c r="C880"/>
  <c r="H880"/>
  <c r="I880"/>
  <c r="J880"/>
  <c r="K880"/>
  <c r="M880"/>
  <c r="P880"/>
  <c r="R880"/>
  <c r="S880"/>
  <c r="T880"/>
  <c r="U880"/>
  <c r="X880"/>
  <c r="Y880"/>
  <c r="Z880"/>
  <c r="AA880"/>
  <c r="AB880"/>
  <c r="AC880"/>
  <c r="AD880"/>
  <c r="AE880"/>
  <c r="AF880"/>
  <c r="AG880"/>
  <c r="AH880"/>
  <c r="AI880"/>
  <c r="AJ880"/>
  <c r="AK880"/>
  <c r="C881"/>
  <c r="H881"/>
  <c r="I881"/>
  <c r="J881"/>
  <c r="K881"/>
  <c r="M881"/>
  <c r="P881"/>
  <c r="R881"/>
  <c r="S881"/>
  <c r="T881"/>
  <c r="U881"/>
  <c r="X881"/>
  <c r="Y881"/>
  <c r="Z881"/>
  <c r="AA881"/>
  <c r="AB881"/>
  <c r="AC881"/>
  <c r="AD881"/>
  <c r="AE881"/>
  <c r="AF881"/>
  <c r="AG881"/>
  <c r="AH881"/>
  <c r="AI881"/>
  <c r="AJ881"/>
  <c r="AK881"/>
  <c r="C862"/>
  <c r="H862"/>
  <c r="I862"/>
  <c r="J862"/>
  <c r="K862"/>
  <c r="M862"/>
  <c r="P862"/>
  <c r="R862"/>
  <c r="S862"/>
  <c r="T862"/>
  <c r="U862"/>
  <c r="X862"/>
  <c r="Y862"/>
  <c r="Z862"/>
  <c r="AA862"/>
  <c r="AB862"/>
  <c r="AC862"/>
  <c r="AD862"/>
  <c r="AE862"/>
  <c r="AF862"/>
  <c r="AG862"/>
  <c r="AH862"/>
  <c r="AI862"/>
  <c r="AJ862"/>
  <c r="AK862"/>
  <c r="C863"/>
  <c r="H863"/>
  <c r="I863"/>
  <c r="J863"/>
  <c r="K863"/>
  <c r="M863"/>
  <c r="P863"/>
  <c r="R863"/>
  <c r="S863"/>
  <c r="T863"/>
  <c r="U863"/>
  <c r="X863"/>
  <c r="Y863"/>
  <c r="Z863"/>
  <c r="AA863"/>
  <c r="AB863"/>
  <c r="AC863"/>
  <c r="AD863"/>
  <c r="AE863"/>
  <c r="AF863"/>
  <c r="AG863"/>
  <c r="AH863"/>
  <c r="AI863"/>
  <c r="AJ863"/>
  <c r="AK863"/>
  <c r="C864"/>
  <c r="H864"/>
  <c r="I864"/>
  <c r="J864"/>
  <c r="K864"/>
  <c r="M864"/>
  <c r="P864"/>
  <c r="R864"/>
  <c r="S864"/>
  <c r="T864"/>
  <c r="U864"/>
  <c r="X864"/>
  <c r="Y864"/>
  <c r="Z864"/>
  <c r="AA864"/>
  <c r="AB864"/>
  <c r="AC864"/>
  <c r="AD864"/>
  <c r="AE864"/>
  <c r="AF864"/>
  <c r="AG864"/>
  <c r="AH864"/>
  <c r="AI864"/>
  <c r="AJ864"/>
  <c r="AK864"/>
  <c r="C865"/>
  <c r="H865"/>
  <c r="I865"/>
  <c r="J865"/>
  <c r="K865"/>
  <c r="M865"/>
  <c r="P865"/>
  <c r="R865"/>
  <c r="S865"/>
  <c r="T865"/>
  <c r="U865"/>
  <c r="X865"/>
  <c r="Y865"/>
  <c r="Z865"/>
  <c r="AA865"/>
  <c r="AB865"/>
  <c r="AC865"/>
  <c r="AD865"/>
  <c r="AE865"/>
  <c r="AF865"/>
  <c r="AG865"/>
  <c r="AH865"/>
  <c r="AI865"/>
  <c r="AJ865"/>
  <c r="AK865"/>
  <c r="C866"/>
  <c r="H866"/>
  <c r="I866"/>
  <c r="J866"/>
  <c r="K866"/>
  <c r="M866"/>
  <c r="P866"/>
  <c r="R866"/>
  <c r="S866"/>
  <c r="T866"/>
  <c r="U866"/>
  <c r="X866"/>
  <c r="Y866"/>
  <c r="Z866"/>
  <c r="AA866"/>
  <c r="AB866"/>
  <c r="AC866"/>
  <c r="AD866"/>
  <c r="AE866"/>
  <c r="AF866"/>
  <c r="AG866"/>
  <c r="AH866"/>
  <c r="AI866"/>
  <c r="AJ866"/>
  <c r="AK866"/>
  <c r="C867"/>
  <c r="H867"/>
  <c r="I867"/>
  <c r="J867"/>
  <c r="K867"/>
  <c r="M867"/>
  <c r="P867"/>
  <c r="R867"/>
  <c r="S867"/>
  <c r="T867"/>
  <c r="U867"/>
  <c r="X867"/>
  <c r="Y867"/>
  <c r="Z867"/>
  <c r="AA867"/>
  <c r="AB867"/>
  <c r="AC867"/>
  <c r="AD867"/>
  <c r="AE867"/>
  <c r="AF867"/>
  <c r="AG867"/>
  <c r="AH867"/>
  <c r="AI867"/>
  <c r="AJ867"/>
  <c r="AK867"/>
  <c r="C868"/>
  <c r="H868"/>
  <c r="I868"/>
  <c r="J868"/>
  <c r="K868"/>
  <c r="M868"/>
  <c r="P868"/>
  <c r="R868"/>
  <c r="S868"/>
  <c r="T868"/>
  <c r="U868"/>
  <c r="X868"/>
  <c r="Y868"/>
  <c r="Z868"/>
  <c r="AA868"/>
  <c r="AB868"/>
  <c r="AC868"/>
  <c r="AD868"/>
  <c r="AE868"/>
  <c r="AF868"/>
  <c r="AG868"/>
  <c r="AH868"/>
  <c r="AI868"/>
  <c r="AJ868"/>
  <c r="AK868"/>
  <c r="C869"/>
  <c r="H869"/>
  <c r="I869"/>
  <c r="J869"/>
  <c r="K869"/>
  <c r="M869"/>
  <c r="P869"/>
  <c r="R869"/>
  <c r="S869"/>
  <c r="T869"/>
  <c r="U869"/>
  <c r="X869"/>
  <c r="Y869"/>
  <c r="Z869"/>
  <c r="AA869"/>
  <c r="AB869"/>
  <c r="AC869"/>
  <c r="AD869"/>
  <c r="AE869"/>
  <c r="AF869"/>
  <c r="AG869"/>
  <c r="AH869"/>
  <c r="AI869"/>
  <c r="AJ869"/>
  <c r="AK869"/>
  <c r="C870"/>
  <c r="H870"/>
  <c r="I870"/>
  <c r="J870"/>
  <c r="K870"/>
  <c r="M870"/>
  <c r="P870"/>
  <c r="R870"/>
  <c r="S870"/>
  <c r="T870"/>
  <c r="U870"/>
  <c r="X870"/>
  <c r="Y870"/>
  <c r="Z870"/>
  <c r="AA870"/>
  <c r="AB870"/>
  <c r="AC870"/>
  <c r="AD870"/>
  <c r="AE870"/>
  <c r="AF870"/>
  <c r="AG870"/>
  <c r="AH870"/>
  <c r="AI870"/>
  <c r="AJ870"/>
  <c r="AK870"/>
  <c r="C871"/>
  <c r="H871"/>
  <c r="I871"/>
  <c r="J871"/>
  <c r="K871"/>
  <c r="M871"/>
  <c r="P871"/>
  <c r="R871"/>
  <c r="S871"/>
  <c r="T871"/>
  <c r="U871"/>
  <c r="X871"/>
  <c r="Y871"/>
  <c r="Z871"/>
  <c r="AA871"/>
  <c r="AB871"/>
  <c r="AC871"/>
  <c r="AD871"/>
  <c r="AE871"/>
  <c r="AF871"/>
  <c r="AG871"/>
  <c r="AH871"/>
  <c r="AI871"/>
  <c r="AJ871"/>
  <c r="AK871"/>
  <c r="C852"/>
  <c r="H852"/>
  <c r="I852"/>
  <c r="J852"/>
  <c r="K852"/>
  <c r="M852"/>
  <c r="P852"/>
  <c r="R852"/>
  <c r="S852"/>
  <c r="T852"/>
  <c r="U852"/>
  <c r="X852"/>
  <c r="Y852"/>
  <c r="Z852"/>
  <c r="AA852"/>
  <c r="AB852"/>
  <c r="AC852"/>
  <c r="AD852"/>
  <c r="AE852"/>
  <c r="AF852"/>
  <c r="AG852"/>
  <c r="AH852"/>
  <c r="AI852"/>
  <c r="AJ852"/>
  <c r="AK852"/>
  <c r="C853"/>
  <c r="H853"/>
  <c r="I853"/>
  <c r="J853"/>
  <c r="K853"/>
  <c r="M853"/>
  <c r="P853"/>
  <c r="R853"/>
  <c r="S853"/>
  <c r="T853"/>
  <c r="U853"/>
  <c r="X853"/>
  <c r="Y853"/>
  <c r="Z853"/>
  <c r="AA853"/>
  <c r="AB853"/>
  <c r="AC853"/>
  <c r="AD853"/>
  <c r="AE853"/>
  <c r="AF853"/>
  <c r="AG853"/>
  <c r="AH853"/>
  <c r="AI853"/>
  <c r="AJ853"/>
  <c r="AK853"/>
  <c r="C854"/>
  <c r="H854"/>
  <c r="I854"/>
  <c r="J854"/>
  <c r="K854"/>
  <c r="M854"/>
  <c r="P854"/>
  <c r="R854"/>
  <c r="S854"/>
  <c r="T854"/>
  <c r="U854"/>
  <c r="X854"/>
  <c r="Y854"/>
  <c r="Z854"/>
  <c r="AA854"/>
  <c r="AB854"/>
  <c r="AC854"/>
  <c r="AD854"/>
  <c r="AE854"/>
  <c r="AF854"/>
  <c r="AG854"/>
  <c r="AH854"/>
  <c r="AI854"/>
  <c r="AJ854"/>
  <c r="AK854"/>
  <c r="C855"/>
  <c r="H855"/>
  <c r="I855"/>
  <c r="J855"/>
  <c r="K855"/>
  <c r="M855"/>
  <c r="P855"/>
  <c r="R855"/>
  <c r="S855"/>
  <c r="T855"/>
  <c r="U855"/>
  <c r="X855"/>
  <c r="Y855"/>
  <c r="Z855"/>
  <c r="AA855"/>
  <c r="AB855"/>
  <c r="AC855"/>
  <c r="AD855"/>
  <c r="AE855"/>
  <c r="AF855"/>
  <c r="AG855"/>
  <c r="AH855"/>
  <c r="AI855"/>
  <c r="AJ855"/>
  <c r="AK855"/>
  <c r="C856"/>
  <c r="H856"/>
  <c r="I856"/>
  <c r="J856"/>
  <c r="K856"/>
  <c r="M856"/>
  <c r="P856"/>
  <c r="R856"/>
  <c r="S856"/>
  <c r="T856"/>
  <c r="U856"/>
  <c r="X856"/>
  <c r="Y856"/>
  <c r="Z856"/>
  <c r="AA856"/>
  <c r="AB856"/>
  <c r="AC856"/>
  <c r="AD856"/>
  <c r="AE856"/>
  <c r="AF856"/>
  <c r="AG856"/>
  <c r="AH856"/>
  <c r="AI856"/>
  <c r="AJ856"/>
  <c r="AK856"/>
  <c r="C857"/>
  <c r="H857"/>
  <c r="I857"/>
  <c r="J857"/>
  <c r="K857"/>
  <c r="M857"/>
  <c r="P857"/>
  <c r="R857"/>
  <c r="S857"/>
  <c r="T857"/>
  <c r="U857"/>
  <c r="X857"/>
  <c r="Y857"/>
  <c r="Z857"/>
  <c r="AA857"/>
  <c r="AB857"/>
  <c r="AC857"/>
  <c r="AD857"/>
  <c r="AE857"/>
  <c r="AF857"/>
  <c r="AG857"/>
  <c r="AH857"/>
  <c r="AI857"/>
  <c r="AJ857"/>
  <c r="AK857"/>
  <c r="C858"/>
  <c r="H858"/>
  <c r="I858"/>
  <c r="J858"/>
  <c r="K858"/>
  <c r="M858"/>
  <c r="P858"/>
  <c r="R858"/>
  <c r="S858"/>
  <c r="T858"/>
  <c r="U858"/>
  <c r="X858"/>
  <c r="Y858"/>
  <c r="Z858"/>
  <c r="AA858"/>
  <c r="AB858"/>
  <c r="AC858"/>
  <c r="AD858"/>
  <c r="AE858"/>
  <c r="AF858"/>
  <c r="AG858"/>
  <c r="AH858"/>
  <c r="AI858"/>
  <c r="AJ858"/>
  <c r="AK858"/>
  <c r="C859"/>
  <c r="H859"/>
  <c r="I859"/>
  <c r="J859"/>
  <c r="K859"/>
  <c r="M859"/>
  <c r="P859"/>
  <c r="R859"/>
  <c r="S859"/>
  <c r="T859"/>
  <c r="U859"/>
  <c r="X859"/>
  <c r="Y859"/>
  <c r="Z859"/>
  <c r="AA859"/>
  <c r="AB859"/>
  <c r="AC859"/>
  <c r="AD859"/>
  <c r="AE859"/>
  <c r="AF859"/>
  <c r="AG859"/>
  <c r="AH859"/>
  <c r="AI859"/>
  <c r="AJ859"/>
  <c r="AK859"/>
  <c r="C860"/>
  <c r="H860"/>
  <c r="I860"/>
  <c r="J860"/>
  <c r="K860"/>
  <c r="M860"/>
  <c r="P860"/>
  <c r="R860"/>
  <c r="S860"/>
  <c r="T860"/>
  <c r="U860"/>
  <c r="X860"/>
  <c r="Y860"/>
  <c r="Z860"/>
  <c r="AA860"/>
  <c r="AB860"/>
  <c r="AC860"/>
  <c r="AD860"/>
  <c r="AE860"/>
  <c r="AF860"/>
  <c r="AG860"/>
  <c r="AH860"/>
  <c r="AI860"/>
  <c r="AJ860"/>
  <c r="AK860"/>
  <c r="C861"/>
  <c r="H861"/>
  <c r="I861"/>
  <c r="J861"/>
  <c r="K861"/>
  <c r="M861"/>
  <c r="P861"/>
  <c r="R861"/>
  <c r="S861"/>
  <c r="T861"/>
  <c r="U861"/>
  <c r="X861"/>
  <c r="Y861"/>
  <c r="Z861"/>
  <c r="AA861"/>
  <c r="AB861"/>
  <c r="AC861"/>
  <c r="AD861"/>
  <c r="AE861"/>
  <c r="AF861"/>
  <c r="AG861"/>
  <c r="AH861"/>
  <c r="AI861"/>
  <c r="AJ861"/>
  <c r="AK861"/>
  <c r="C842"/>
  <c r="H842"/>
  <c r="I842"/>
  <c r="J842"/>
  <c r="K842"/>
  <c r="M842"/>
  <c r="P842"/>
  <c r="R842"/>
  <c r="S842"/>
  <c r="T842"/>
  <c r="U842"/>
  <c r="X842"/>
  <c r="Y842"/>
  <c r="Z842"/>
  <c r="AA842"/>
  <c r="AB842"/>
  <c r="AC842"/>
  <c r="AD842"/>
  <c r="AE842"/>
  <c r="AF842"/>
  <c r="AG842"/>
  <c r="AH842"/>
  <c r="AI842"/>
  <c r="AJ842"/>
  <c r="AK842"/>
  <c r="C843"/>
  <c r="H843"/>
  <c r="I843"/>
  <c r="J843"/>
  <c r="K843"/>
  <c r="M843"/>
  <c r="P843"/>
  <c r="R843"/>
  <c r="S843"/>
  <c r="T843"/>
  <c r="U843"/>
  <c r="X843"/>
  <c r="Y843"/>
  <c r="Z843"/>
  <c r="AA843"/>
  <c r="AB843"/>
  <c r="AC843"/>
  <c r="AD843"/>
  <c r="AE843"/>
  <c r="AF843"/>
  <c r="AG843"/>
  <c r="AH843"/>
  <c r="AI843"/>
  <c r="AJ843"/>
  <c r="AK843"/>
  <c r="C844"/>
  <c r="H844"/>
  <c r="I844"/>
  <c r="J844"/>
  <c r="K844"/>
  <c r="M844"/>
  <c r="P844"/>
  <c r="R844"/>
  <c r="S844"/>
  <c r="T844"/>
  <c r="U844"/>
  <c r="X844"/>
  <c r="Y844"/>
  <c r="Z844"/>
  <c r="AA844"/>
  <c r="AB844"/>
  <c r="AC844"/>
  <c r="AD844"/>
  <c r="AE844"/>
  <c r="AF844"/>
  <c r="AG844"/>
  <c r="AH844"/>
  <c r="AI844"/>
  <c r="AJ844"/>
  <c r="AK844"/>
  <c r="C845"/>
  <c r="H845"/>
  <c r="I845"/>
  <c r="J845"/>
  <c r="K845"/>
  <c r="M845"/>
  <c r="P845"/>
  <c r="R845"/>
  <c r="S845"/>
  <c r="T845"/>
  <c r="U845"/>
  <c r="X845"/>
  <c r="Y845"/>
  <c r="Z845"/>
  <c r="AA845"/>
  <c r="AB845"/>
  <c r="AC845"/>
  <c r="AD845"/>
  <c r="AE845"/>
  <c r="AF845"/>
  <c r="AG845"/>
  <c r="AH845"/>
  <c r="AI845"/>
  <c r="AJ845"/>
  <c r="AK845"/>
  <c r="C846"/>
  <c r="H846"/>
  <c r="I846"/>
  <c r="J846"/>
  <c r="K846"/>
  <c r="M846"/>
  <c r="P846"/>
  <c r="R846"/>
  <c r="S846"/>
  <c r="T846"/>
  <c r="U846"/>
  <c r="X846"/>
  <c r="Y846"/>
  <c r="Z846"/>
  <c r="AA846"/>
  <c r="AB846"/>
  <c r="AC846"/>
  <c r="AD846"/>
  <c r="AE846"/>
  <c r="AF846"/>
  <c r="AG846"/>
  <c r="AH846"/>
  <c r="AI846"/>
  <c r="AJ846"/>
  <c r="AK846"/>
  <c r="C847"/>
  <c r="H847"/>
  <c r="I847"/>
  <c r="J847"/>
  <c r="K847"/>
  <c r="M847"/>
  <c r="P847"/>
  <c r="R847"/>
  <c r="S847"/>
  <c r="T847"/>
  <c r="U847"/>
  <c r="X847"/>
  <c r="Y847"/>
  <c r="Z847"/>
  <c r="AA847"/>
  <c r="AB847"/>
  <c r="AC847"/>
  <c r="AD847"/>
  <c r="AE847"/>
  <c r="AF847"/>
  <c r="AG847"/>
  <c r="AH847"/>
  <c r="AI847"/>
  <c r="AJ847"/>
  <c r="AK847"/>
  <c r="C848"/>
  <c r="H848"/>
  <c r="I848"/>
  <c r="J848"/>
  <c r="K848"/>
  <c r="M848"/>
  <c r="P848"/>
  <c r="R848"/>
  <c r="S848"/>
  <c r="T848"/>
  <c r="U848"/>
  <c r="X848"/>
  <c r="Y848"/>
  <c r="Z848"/>
  <c r="AA848"/>
  <c r="AB848"/>
  <c r="AC848"/>
  <c r="AD848"/>
  <c r="AE848"/>
  <c r="AF848"/>
  <c r="AG848"/>
  <c r="AH848"/>
  <c r="AI848"/>
  <c r="AJ848"/>
  <c r="AK848"/>
  <c r="C849"/>
  <c r="H849"/>
  <c r="I849"/>
  <c r="J849"/>
  <c r="K849"/>
  <c r="M849"/>
  <c r="P849"/>
  <c r="R849"/>
  <c r="S849"/>
  <c r="T849"/>
  <c r="U849"/>
  <c r="X849"/>
  <c r="Y849"/>
  <c r="Z849"/>
  <c r="AA849"/>
  <c r="AB849"/>
  <c r="AC849"/>
  <c r="AD849"/>
  <c r="AE849"/>
  <c r="AF849"/>
  <c r="AG849"/>
  <c r="AH849"/>
  <c r="AI849"/>
  <c r="AJ849"/>
  <c r="AK849"/>
  <c r="C850"/>
  <c r="H850"/>
  <c r="I850"/>
  <c r="J850"/>
  <c r="K850"/>
  <c r="M850"/>
  <c r="P850"/>
  <c r="R850"/>
  <c r="S850"/>
  <c r="T850"/>
  <c r="U850"/>
  <c r="X850"/>
  <c r="Y850"/>
  <c r="Z850"/>
  <c r="AA850"/>
  <c r="AB850"/>
  <c r="AC850"/>
  <c r="AD850"/>
  <c r="AE850"/>
  <c r="AF850"/>
  <c r="AG850"/>
  <c r="AH850"/>
  <c r="AI850"/>
  <c r="AJ850"/>
  <c r="AK850"/>
  <c r="C851"/>
  <c r="H851"/>
  <c r="I851"/>
  <c r="J851"/>
  <c r="K851"/>
  <c r="M851"/>
  <c r="P851"/>
  <c r="R851"/>
  <c r="S851"/>
  <c r="T851"/>
  <c r="U851"/>
  <c r="X851"/>
  <c r="Y851"/>
  <c r="Z851"/>
  <c r="AA851"/>
  <c r="AB851"/>
  <c r="AC851"/>
  <c r="AD851"/>
  <c r="AE851"/>
  <c r="AF851"/>
  <c r="AG851"/>
  <c r="AH851"/>
  <c r="AI851"/>
  <c r="AJ851"/>
  <c r="AK851"/>
  <c r="C832"/>
  <c r="H832"/>
  <c r="I832"/>
  <c r="J832"/>
  <c r="K832"/>
  <c r="M832"/>
  <c r="P832"/>
  <c r="R832"/>
  <c r="S832"/>
  <c r="T832"/>
  <c r="U832"/>
  <c r="X832"/>
  <c r="Y832"/>
  <c r="Z832"/>
  <c r="AA832"/>
  <c r="AB832"/>
  <c r="AC832"/>
  <c r="AD832"/>
  <c r="AE832"/>
  <c r="AF832"/>
  <c r="AG832"/>
  <c r="AH832"/>
  <c r="AI832"/>
  <c r="AJ832"/>
  <c r="AK832"/>
  <c r="C833"/>
  <c r="H833"/>
  <c r="I833"/>
  <c r="J833"/>
  <c r="K833"/>
  <c r="M833"/>
  <c r="P833"/>
  <c r="R833"/>
  <c r="S833"/>
  <c r="T833"/>
  <c r="U833"/>
  <c r="X833"/>
  <c r="Y833"/>
  <c r="Z833"/>
  <c r="AA833"/>
  <c r="AB833"/>
  <c r="AC833"/>
  <c r="AD833"/>
  <c r="AE833"/>
  <c r="AF833"/>
  <c r="AG833"/>
  <c r="AH833"/>
  <c r="AI833"/>
  <c r="AJ833"/>
  <c r="AK833"/>
  <c r="C834"/>
  <c r="H834"/>
  <c r="I834"/>
  <c r="J834"/>
  <c r="K834"/>
  <c r="M834"/>
  <c r="P834"/>
  <c r="R834"/>
  <c r="S834"/>
  <c r="T834"/>
  <c r="U834"/>
  <c r="X834"/>
  <c r="Y834"/>
  <c r="Z834"/>
  <c r="AA834"/>
  <c r="AB834"/>
  <c r="AC834"/>
  <c r="AD834"/>
  <c r="AE834"/>
  <c r="AF834"/>
  <c r="AG834"/>
  <c r="AH834"/>
  <c r="AI834"/>
  <c r="AJ834"/>
  <c r="AK834"/>
  <c r="C835"/>
  <c r="H835"/>
  <c r="I835"/>
  <c r="J835"/>
  <c r="K835"/>
  <c r="M835"/>
  <c r="P835"/>
  <c r="R835"/>
  <c r="S835"/>
  <c r="T835"/>
  <c r="U835"/>
  <c r="X835"/>
  <c r="Y835"/>
  <c r="Z835"/>
  <c r="AA835"/>
  <c r="AB835"/>
  <c r="AC835"/>
  <c r="AD835"/>
  <c r="AE835"/>
  <c r="AF835"/>
  <c r="AG835"/>
  <c r="AH835"/>
  <c r="AI835"/>
  <c r="AJ835"/>
  <c r="AK835"/>
  <c r="C836"/>
  <c r="H836"/>
  <c r="I836"/>
  <c r="J836"/>
  <c r="K836"/>
  <c r="M836"/>
  <c r="P836"/>
  <c r="R836"/>
  <c r="S836"/>
  <c r="T836"/>
  <c r="U836"/>
  <c r="X836"/>
  <c r="Y836"/>
  <c r="Z836"/>
  <c r="AA836"/>
  <c r="AB836"/>
  <c r="AC836"/>
  <c r="AD836"/>
  <c r="AE836"/>
  <c r="AF836"/>
  <c r="AG836"/>
  <c r="AH836"/>
  <c r="AI836"/>
  <c r="AJ836"/>
  <c r="AK836"/>
  <c r="C837"/>
  <c r="H837"/>
  <c r="I837"/>
  <c r="J837"/>
  <c r="K837"/>
  <c r="M837"/>
  <c r="P837"/>
  <c r="R837"/>
  <c r="S837"/>
  <c r="T837"/>
  <c r="U837"/>
  <c r="X837"/>
  <c r="Y837"/>
  <c r="Z837"/>
  <c r="AA837"/>
  <c r="AB837"/>
  <c r="AC837"/>
  <c r="AD837"/>
  <c r="AE837"/>
  <c r="AF837"/>
  <c r="AG837"/>
  <c r="AH837"/>
  <c r="AI837"/>
  <c r="AJ837"/>
  <c r="AK837"/>
  <c r="C838"/>
  <c r="H838"/>
  <c r="I838"/>
  <c r="J838"/>
  <c r="K838"/>
  <c r="M838"/>
  <c r="P838"/>
  <c r="R838"/>
  <c r="S838"/>
  <c r="T838"/>
  <c r="U838"/>
  <c r="X838"/>
  <c r="Y838"/>
  <c r="Z838"/>
  <c r="AA838"/>
  <c r="AB838"/>
  <c r="AC838"/>
  <c r="AD838"/>
  <c r="AE838"/>
  <c r="AF838"/>
  <c r="AG838"/>
  <c r="AH838"/>
  <c r="AI838"/>
  <c r="AJ838"/>
  <c r="AK838"/>
  <c r="C839"/>
  <c r="H839"/>
  <c r="I839"/>
  <c r="J839"/>
  <c r="K839"/>
  <c r="M839"/>
  <c r="P839"/>
  <c r="R839"/>
  <c r="S839"/>
  <c r="T839"/>
  <c r="U839"/>
  <c r="X839"/>
  <c r="Y839"/>
  <c r="Z839"/>
  <c r="AA839"/>
  <c r="AB839"/>
  <c r="AC839"/>
  <c r="AD839"/>
  <c r="AE839"/>
  <c r="AF839"/>
  <c r="AG839"/>
  <c r="AH839"/>
  <c r="AI839"/>
  <c r="AJ839"/>
  <c r="AK839"/>
  <c r="C840"/>
  <c r="H840"/>
  <c r="I840"/>
  <c r="J840"/>
  <c r="K840"/>
  <c r="M840"/>
  <c r="P840"/>
  <c r="R840"/>
  <c r="S840"/>
  <c r="T840"/>
  <c r="U840"/>
  <c r="X840"/>
  <c r="Y840"/>
  <c r="Z840"/>
  <c r="AA840"/>
  <c r="AB840"/>
  <c r="AC840"/>
  <c r="AD840"/>
  <c r="AE840"/>
  <c r="AF840"/>
  <c r="AG840"/>
  <c r="AH840"/>
  <c r="AI840"/>
  <c r="AJ840"/>
  <c r="AK840"/>
  <c r="C841"/>
  <c r="H841"/>
  <c r="I841"/>
  <c r="J841"/>
  <c r="K841"/>
  <c r="M841"/>
  <c r="P841"/>
  <c r="R841"/>
  <c r="S841"/>
  <c r="T841"/>
  <c r="U841"/>
  <c r="X841"/>
  <c r="Y841"/>
  <c r="Z841"/>
  <c r="AA841"/>
  <c r="AB841"/>
  <c r="AC841"/>
  <c r="AD841"/>
  <c r="AE841"/>
  <c r="AF841"/>
  <c r="AG841"/>
  <c r="AH841"/>
  <c r="AI841"/>
  <c r="AJ841"/>
  <c r="AK841"/>
  <c r="C822"/>
  <c r="H822"/>
  <c r="I822"/>
  <c r="J822"/>
  <c r="K822"/>
  <c r="M822"/>
  <c r="P822"/>
  <c r="R822"/>
  <c r="S822"/>
  <c r="T822"/>
  <c r="U822"/>
  <c r="X822"/>
  <c r="Y822"/>
  <c r="Z822"/>
  <c r="AA822"/>
  <c r="AB822"/>
  <c r="AC822"/>
  <c r="AD822"/>
  <c r="AE822"/>
  <c r="AF822"/>
  <c r="AG822"/>
  <c r="AH822"/>
  <c r="AI822"/>
  <c r="AJ822"/>
  <c r="AK822"/>
  <c r="C823"/>
  <c r="H823"/>
  <c r="I823"/>
  <c r="J823"/>
  <c r="K823"/>
  <c r="M823"/>
  <c r="P823"/>
  <c r="R823"/>
  <c r="S823"/>
  <c r="T823"/>
  <c r="U823"/>
  <c r="X823"/>
  <c r="Y823"/>
  <c r="Z823"/>
  <c r="AA823"/>
  <c r="AB823"/>
  <c r="AC823"/>
  <c r="AD823"/>
  <c r="AE823"/>
  <c r="AF823"/>
  <c r="AG823"/>
  <c r="AH823"/>
  <c r="AI823"/>
  <c r="AJ823"/>
  <c r="AK823"/>
  <c r="C824"/>
  <c r="H824"/>
  <c r="I824"/>
  <c r="J824"/>
  <c r="K824"/>
  <c r="M824"/>
  <c r="P824"/>
  <c r="R824"/>
  <c r="S824"/>
  <c r="T824"/>
  <c r="U824"/>
  <c r="X824"/>
  <c r="Y824"/>
  <c r="Z824"/>
  <c r="AA824"/>
  <c r="AB824"/>
  <c r="AC824"/>
  <c r="AD824"/>
  <c r="AE824"/>
  <c r="AF824"/>
  <c r="AG824"/>
  <c r="AH824"/>
  <c r="AI824"/>
  <c r="AJ824"/>
  <c r="AK824"/>
  <c r="C825"/>
  <c r="H825"/>
  <c r="I825"/>
  <c r="J825"/>
  <c r="K825"/>
  <c r="M825"/>
  <c r="P825"/>
  <c r="R825"/>
  <c r="S825"/>
  <c r="T825"/>
  <c r="U825"/>
  <c r="X825"/>
  <c r="Y825"/>
  <c r="Z825"/>
  <c r="AA825"/>
  <c r="AB825"/>
  <c r="AC825"/>
  <c r="AD825"/>
  <c r="AE825"/>
  <c r="AF825"/>
  <c r="AG825"/>
  <c r="AH825"/>
  <c r="AI825"/>
  <c r="AJ825"/>
  <c r="AK825"/>
  <c r="C826"/>
  <c r="H826"/>
  <c r="I826"/>
  <c r="J826"/>
  <c r="K826"/>
  <c r="M826"/>
  <c r="P826"/>
  <c r="R826"/>
  <c r="S826"/>
  <c r="T826"/>
  <c r="U826"/>
  <c r="X826"/>
  <c r="Y826"/>
  <c r="Z826"/>
  <c r="AA826"/>
  <c r="AB826"/>
  <c r="AC826"/>
  <c r="AD826"/>
  <c r="AE826"/>
  <c r="AF826"/>
  <c r="AG826"/>
  <c r="AH826"/>
  <c r="AI826"/>
  <c r="AJ826"/>
  <c r="AK826"/>
  <c r="C827"/>
  <c r="H827"/>
  <c r="I827"/>
  <c r="J827"/>
  <c r="K827"/>
  <c r="M827"/>
  <c r="P827"/>
  <c r="R827"/>
  <c r="S827"/>
  <c r="T827"/>
  <c r="U827"/>
  <c r="X827"/>
  <c r="Y827"/>
  <c r="Z827"/>
  <c r="AA827"/>
  <c r="AB827"/>
  <c r="AC827"/>
  <c r="AD827"/>
  <c r="AE827"/>
  <c r="AF827"/>
  <c r="AG827"/>
  <c r="AH827"/>
  <c r="AI827"/>
  <c r="AJ827"/>
  <c r="AK827"/>
  <c r="C828"/>
  <c r="H828"/>
  <c r="I828"/>
  <c r="J828"/>
  <c r="K828"/>
  <c r="M828"/>
  <c r="P828"/>
  <c r="R828"/>
  <c r="S828"/>
  <c r="T828"/>
  <c r="U828"/>
  <c r="X828"/>
  <c r="Y828"/>
  <c r="Z828"/>
  <c r="AA828"/>
  <c r="AB828"/>
  <c r="AC828"/>
  <c r="AD828"/>
  <c r="AE828"/>
  <c r="AF828"/>
  <c r="AG828"/>
  <c r="AH828"/>
  <c r="AI828"/>
  <c r="AJ828"/>
  <c r="AK828"/>
  <c r="C829"/>
  <c r="H829"/>
  <c r="I829"/>
  <c r="J829"/>
  <c r="K829"/>
  <c r="M829"/>
  <c r="P829"/>
  <c r="R829"/>
  <c r="S829"/>
  <c r="T829"/>
  <c r="U829"/>
  <c r="X829"/>
  <c r="Y829"/>
  <c r="Z829"/>
  <c r="AA829"/>
  <c r="AB829"/>
  <c r="AC829"/>
  <c r="AD829"/>
  <c r="AE829"/>
  <c r="AF829"/>
  <c r="AG829"/>
  <c r="AH829"/>
  <c r="AI829"/>
  <c r="AJ829"/>
  <c r="AK829"/>
  <c r="C830"/>
  <c r="H830"/>
  <c r="I830"/>
  <c r="J830"/>
  <c r="K830"/>
  <c r="M830"/>
  <c r="P830"/>
  <c r="R830"/>
  <c r="S830"/>
  <c r="T830"/>
  <c r="U830"/>
  <c r="X830"/>
  <c r="Y830"/>
  <c r="Z830"/>
  <c r="AA830"/>
  <c r="AB830"/>
  <c r="AC830"/>
  <c r="AD830"/>
  <c r="AE830"/>
  <c r="AF830"/>
  <c r="AG830"/>
  <c r="AH830"/>
  <c r="AI830"/>
  <c r="AJ830"/>
  <c r="AK830"/>
  <c r="C831"/>
  <c r="H831"/>
  <c r="I831"/>
  <c r="J831"/>
  <c r="K831"/>
  <c r="M831"/>
  <c r="P831"/>
  <c r="R831"/>
  <c r="S831"/>
  <c r="T831"/>
  <c r="U831"/>
  <c r="X831"/>
  <c r="Y831"/>
  <c r="Z831"/>
  <c r="AA831"/>
  <c r="AB831"/>
  <c r="AC831"/>
  <c r="AD831"/>
  <c r="AE831"/>
  <c r="AF831"/>
  <c r="AG831"/>
  <c r="AH831"/>
  <c r="AI831"/>
  <c r="AJ831"/>
  <c r="AK831"/>
  <c r="C812"/>
  <c r="H812"/>
  <c r="I812"/>
  <c r="J812"/>
  <c r="K812"/>
  <c r="M812"/>
  <c r="P812"/>
  <c r="R812"/>
  <c r="S812"/>
  <c r="T812"/>
  <c r="U812"/>
  <c r="X812"/>
  <c r="Y812"/>
  <c r="Z812"/>
  <c r="AA812"/>
  <c r="AB812"/>
  <c r="AC812"/>
  <c r="AD812"/>
  <c r="AE812"/>
  <c r="AF812"/>
  <c r="AG812"/>
  <c r="AH812"/>
  <c r="AI812"/>
  <c r="AJ812"/>
  <c r="AK812"/>
  <c r="C813"/>
  <c r="H813"/>
  <c r="I813"/>
  <c r="J813"/>
  <c r="K813"/>
  <c r="M813"/>
  <c r="P813"/>
  <c r="R813"/>
  <c r="S813"/>
  <c r="T813"/>
  <c r="U813"/>
  <c r="X813"/>
  <c r="Y813"/>
  <c r="Z813"/>
  <c r="AA813"/>
  <c r="AB813"/>
  <c r="AC813"/>
  <c r="AD813"/>
  <c r="AE813"/>
  <c r="AF813"/>
  <c r="AG813"/>
  <c r="AH813"/>
  <c r="AI813"/>
  <c r="AJ813"/>
  <c r="AK813"/>
  <c r="C814"/>
  <c r="H814"/>
  <c r="I814"/>
  <c r="J814"/>
  <c r="K814"/>
  <c r="M814"/>
  <c r="P814"/>
  <c r="R814"/>
  <c r="S814"/>
  <c r="T814"/>
  <c r="U814"/>
  <c r="X814"/>
  <c r="Y814"/>
  <c r="Z814"/>
  <c r="AA814"/>
  <c r="AB814"/>
  <c r="AC814"/>
  <c r="AD814"/>
  <c r="AE814"/>
  <c r="AF814"/>
  <c r="AG814"/>
  <c r="AH814"/>
  <c r="AI814"/>
  <c r="AJ814"/>
  <c r="AK814"/>
  <c r="C815"/>
  <c r="H815"/>
  <c r="I815"/>
  <c r="J815"/>
  <c r="K815"/>
  <c r="M815"/>
  <c r="P815"/>
  <c r="R815"/>
  <c r="S815"/>
  <c r="T815"/>
  <c r="U815"/>
  <c r="X815"/>
  <c r="Y815"/>
  <c r="Z815"/>
  <c r="AA815"/>
  <c r="AB815"/>
  <c r="AC815"/>
  <c r="AD815"/>
  <c r="AE815"/>
  <c r="AF815"/>
  <c r="AG815"/>
  <c r="AH815"/>
  <c r="AI815"/>
  <c r="AJ815"/>
  <c r="AK815"/>
  <c r="C816"/>
  <c r="H816"/>
  <c r="I816"/>
  <c r="J816"/>
  <c r="K816"/>
  <c r="M816"/>
  <c r="P816"/>
  <c r="R816"/>
  <c r="S816"/>
  <c r="T816"/>
  <c r="U816"/>
  <c r="X816"/>
  <c r="Y816"/>
  <c r="Z816"/>
  <c r="AA816"/>
  <c r="AB816"/>
  <c r="AC816"/>
  <c r="AD816"/>
  <c r="AE816"/>
  <c r="AF816"/>
  <c r="AG816"/>
  <c r="AH816"/>
  <c r="AI816"/>
  <c r="AJ816"/>
  <c r="AK816"/>
  <c r="C817"/>
  <c r="H817"/>
  <c r="I817"/>
  <c r="J817"/>
  <c r="K817"/>
  <c r="M817"/>
  <c r="P817"/>
  <c r="R817"/>
  <c r="S817"/>
  <c r="T817"/>
  <c r="U817"/>
  <c r="X817"/>
  <c r="Y817"/>
  <c r="Z817"/>
  <c r="AA817"/>
  <c r="AB817"/>
  <c r="AC817"/>
  <c r="AD817"/>
  <c r="AE817"/>
  <c r="AF817"/>
  <c r="AG817"/>
  <c r="AH817"/>
  <c r="AI817"/>
  <c r="AJ817"/>
  <c r="AK817"/>
  <c r="C818"/>
  <c r="H818"/>
  <c r="I818"/>
  <c r="J818"/>
  <c r="K818"/>
  <c r="M818"/>
  <c r="P818"/>
  <c r="R818"/>
  <c r="S818"/>
  <c r="T818"/>
  <c r="U818"/>
  <c r="X818"/>
  <c r="Y818"/>
  <c r="Z818"/>
  <c r="AA818"/>
  <c r="AB818"/>
  <c r="AC818"/>
  <c r="AD818"/>
  <c r="AE818"/>
  <c r="AF818"/>
  <c r="AG818"/>
  <c r="AH818"/>
  <c r="AI818"/>
  <c r="AJ818"/>
  <c r="AK818"/>
  <c r="C819"/>
  <c r="H819"/>
  <c r="I819"/>
  <c r="J819"/>
  <c r="K819"/>
  <c r="M819"/>
  <c r="P819"/>
  <c r="R819"/>
  <c r="S819"/>
  <c r="T819"/>
  <c r="U819"/>
  <c r="X819"/>
  <c r="Y819"/>
  <c r="Z819"/>
  <c r="AA819"/>
  <c r="AB819"/>
  <c r="AC819"/>
  <c r="AD819"/>
  <c r="AE819"/>
  <c r="AF819"/>
  <c r="AG819"/>
  <c r="AH819"/>
  <c r="AI819"/>
  <c r="AJ819"/>
  <c r="AK819"/>
  <c r="C820"/>
  <c r="H820"/>
  <c r="I820"/>
  <c r="J820"/>
  <c r="K820"/>
  <c r="M820"/>
  <c r="P820"/>
  <c r="R820"/>
  <c r="S820"/>
  <c r="T820"/>
  <c r="U820"/>
  <c r="X820"/>
  <c r="Y820"/>
  <c r="Z820"/>
  <c r="AA820"/>
  <c r="AB820"/>
  <c r="AC820"/>
  <c r="AD820"/>
  <c r="AE820"/>
  <c r="AF820"/>
  <c r="AG820"/>
  <c r="AH820"/>
  <c r="AI820"/>
  <c r="AJ820"/>
  <c r="AK820"/>
  <c r="C821"/>
  <c r="H821"/>
  <c r="I821"/>
  <c r="J821"/>
  <c r="K821"/>
  <c r="M821"/>
  <c r="P821"/>
  <c r="R821"/>
  <c r="S821"/>
  <c r="T821"/>
  <c r="U821"/>
  <c r="X821"/>
  <c r="Y821"/>
  <c r="Z821"/>
  <c r="AA821"/>
  <c r="AB821"/>
  <c r="AC821"/>
  <c r="AD821"/>
  <c r="AE821"/>
  <c r="AF821"/>
  <c r="AG821"/>
  <c r="AH821"/>
  <c r="AI821"/>
  <c r="AJ821"/>
  <c r="AK821"/>
  <c r="C802"/>
  <c r="H802"/>
  <c r="I802"/>
  <c r="J802"/>
  <c r="K802"/>
  <c r="M802"/>
  <c r="P802"/>
  <c r="R802"/>
  <c r="S802"/>
  <c r="T802"/>
  <c r="U802"/>
  <c r="X802"/>
  <c r="Y802"/>
  <c r="Z802"/>
  <c r="AA802"/>
  <c r="AB802"/>
  <c r="AC802"/>
  <c r="AD802"/>
  <c r="AE802"/>
  <c r="AF802"/>
  <c r="AG802"/>
  <c r="AH802"/>
  <c r="AI802"/>
  <c r="AJ802"/>
  <c r="AK802"/>
  <c r="C803"/>
  <c r="H803"/>
  <c r="I803"/>
  <c r="J803"/>
  <c r="K803"/>
  <c r="M803"/>
  <c r="P803"/>
  <c r="R803"/>
  <c r="S803"/>
  <c r="T803"/>
  <c r="U803"/>
  <c r="X803"/>
  <c r="Y803"/>
  <c r="Z803"/>
  <c r="AA803"/>
  <c r="AB803"/>
  <c r="AC803"/>
  <c r="AD803"/>
  <c r="AE803"/>
  <c r="AF803"/>
  <c r="AG803"/>
  <c r="AH803"/>
  <c r="AI803"/>
  <c r="AJ803"/>
  <c r="AK803"/>
  <c r="C804"/>
  <c r="H804"/>
  <c r="I804"/>
  <c r="J804"/>
  <c r="K804"/>
  <c r="M804"/>
  <c r="P804"/>
  <c r="R804"/>
  <c r="S804"/>
  <c r="T804"/>
  <c r="U804"/>
  <c r="X804"/>
  <c r="Y804"/>
  <c r="Z804"/>
  <c r="AA804"/>
  <c r="AB804"/>
  <c r="AC804"/>
  <c r="AD804"/>
  <c r="AE804"/>
  <c r="AF804"/>
  <c r="AG804"/>
  <c r="AH804"/>
  <c r="AI804"/>
  <c r="AJ804"/>
  <c r="AK804"/>
  <c r="C805"/>
  <c r="H805"/>
  <c r="I805"/>
  <c r="J805"/>
  <c r="K805"/>
  <c r="M805"/>
  <c r="P805"/>
  <c r="R805"/>
  <c r="S805"/>
  <c r="T805"/>
  <c r="U805"/>
  <c r="X805"/>
  <c r="Y805"/>
  <c r="Z805"/>
  <c r="AA805"/>
  <c r="AB805"/>
  <c r="AC805"/>
  <c r="AD805"/>
  <c r="AE805"/>
  <c r="AF805"/>
  <c r="AG805"/>
  <c r="AH805"/>
  <c r="AI805"/>
  <c r="AJ805"/>
  <c r="AK805"/>
  <c r="C806"/>
  <c r="H806"/>
  <c r="I806"/>
  <c r="J806"/>
  <c r="K806"/>
  <c r="M806"/>
  <c r="P806"/>
  <c r="R806"/>
  <c r="S806"/>
  <c r="T806"/>
  <c r="U806"/>
  <c r="X806"/>
  <c r="Y806"/>
  <c r="Z806"/>
  <c r="AA806"/>
  <c r="AB806"/>
  <c r="AC806"/>
  <c r="AD806"/>
  <c r="AE806"/>
  <c r="AF806"/>
  <c r="AG806"/>
  <c r="AH806"/>
  <c r="AI806"/>
  <c r="AJ806"/>
  <c r="AK806"/>
  <c r="C807"/>
  <c r="H807"/>
  <c r="I807"/>
  <c r="J807"/>
  <c r="K807"/>
  <c r="M807"/>
  <c r="P807"/>
  <c r="R807"/>
  <c r="S807"/>
  <c r="T807"/>
  <c r="U807"/>
  <c r="X807"/>
  <c r="Y807"/>
  <c r="Z807"/>
  <c r="AA807"/>
  <c r="AB807"/>
  <c r="AC807"/>
  <c r="AD807"/>
  <c r="AE807"/>
  <c r="AF807"/>
  <c r="AG807"/>
  <c r="AH807"/>
  <c r="AI807"/>
  <c r="AJ807"/>
  <c r="AK807"/>
  <c r="C808"/>
  <c r="H808"/>
  <c r="I808"/>
  <c r="J808"/>
  <c r="K808"/>
  <c r="M808"/>
  <c r="P808"/>
  <c r="R808"/>
  <c r="S808"/>
  <c r="T808"/>
  <c r="U808"/>
  <c r="X808"/>
  <c r="Y808"/>
  <c r="Z808"/>
  <c r="AA808"/>
  <c r="AB808"/>
  <c r="AC808"/>
  <c r="AD808"/>
  <c r="AE808"/>
  <c r="AF808"/>
  <c r="AG808"/>
  <c r="AH808"/>
  <c r="AI808"/>
  <c r="AJ808"/>
  <c r="AK808"/>
  <c r="C809"/>
  <c r="H809"/>
  <c r="I809"/>
  <c r="J809"/>
  <c r="K809"/>
  <c r="M809"/>
  <c r="P809"/>
  <c r="R809"/>
  <c r="S809"/>
  <c r="T809"/>
  <c r="U809"/>
  <c r="X809"/>
  <c r="Y809"/>
  <c r="Z809"/>
  <c r="AA809"/>
  <c r="AB809"/>
  <c r="AC809"/>
  <c r="AD809"/>
  <c r="AE809"/>
  <c r="AF809"/>
  <c r="AG809"/>
  <c r="AH809"/>
  <c r="AI809"/>
  <c r="AJ809"/>
  <c r="AK809"/>
  <c r="C810"/>
  <c r="H810"/>
  <c r="I810"/>
  <c r="J810"/>
  <c r="K810"/>
  <c r="M810"/>
  <c r="P810"/>
  <c r="R810"/>
  <c r="S810"/>
  <c r="T810"/>
  <c r="U810"/>
  <c r="X810"/>
  <c r="Y810"/>
  <c r="Z810"/>
  <c r="AA810"/>
  <c r="AB810"/>
  <c r="AC810"/>
  <c r="AD810"/>
  <c r="AE810"/>
  <c r="AF810"/>
  <c r="AG810"/>
  <c r="AH810"/>
  <c r="AI810"/>
  <c r="AJ810"/>
  <c r="AK810"/>
  <c r="C811"/>
  <c r="H811"/>
  <c r="I811"/>
  <c r="J811"/>
  <c r="K811"/>
  <c r="M811"/>
  <c r="P811"/>
  <c r="R811"/>
  <c r="S811"/>
  <c r="T811"/>
  <c r="U811"/>
  <c r="X811"/>
  <c r="Y811"/>
  <c r="Z811"/>
  <c r="AA811"/>
  <c r="AB811"/>
  <c r="AC811"/>
  <c r="AD811"/>
  <c r="AE811"/>
  <c r="AF811"/>
  <c r="AG811"/>
  <c r="AH811"/>
  <c r="AI811"/>
  <c r="AJ811"/>
  <c r="AK811"/>
  <c r="C792"/>
  <c r="H792"/>
  <c r="I792"/>
  <c r="J792"/>
  <c r="K792"/>
  <c r="M792"/>
  <c r="P792"/>
  <c r="R792"/>
  <c r="S792"/>
  <c r="T792"/>
  <c r="U792"/>
  <c r="X792"/>
  <c r="Y792"/>
  <c r="Z792"/>
  <c r="AA792"/>
  <c r="AB792"/>
  <c r="AC792"/>
  <c r="AD792"/>
  <c r="AE792"/>
  <c r="AF792"/>
  <c r="AG792"/>
  <c r="AH792"/>
  <c r="AI792"/>
  <c r="AJ792"/>
  <c r="AK792"/>
  <c r="C793"/>
  <c r="H793"/>
  <c r="I793"/>
  <c r="J793"/>
  <c r="K793"/>
  <c r="M793"/>
  <c r="P793"/>
  <c r="R793"/>
  <c r="S793"/>
  <c r="T793"/>
  <c r="U793"/>
  <c r="X793"/>
  <c r="Y793"/>
  <c r="Z793"/>
  <c r="AA793"/>
  <c r="AB793"/>
  <c r="AC793"/>
  <c r="AD793"/>
  <c r="AE793"/>
  <c r="AF793"/>
  <c r="AG793"/>
  <c r="AH793"/>
  <c r="AI793"/>
  <c r="AJ793"/>
  <c r="AK793"/>
  <c r="C794"/>
  <c r="H794"/>
  <c r="I794"/>
  <c r="J794"/>
  <c r="K794"/>
  <c r="M794"/>
  <c r="P794"/>
  <c r="R794"/>
  <c r="S794"/>
  <c r="T794"/>
  <c r="U794"/>
  <c r="X794"/>
  <c r="Y794"/>
  <c r="Z794"/>
  <c r="AA794"/>
  <c r="AB794"/>
  <c r="AC794"/>
  <c r="AD794"/>
  <c r="AE794"/>
  <c r="AF794"/>
  <c r="AG794"/>
  <c r="AH794"/>
  <c r="AI794"/>
  <c r="AJ794"/>
  <c r="AK794"/>
  <c r="C795"/>
  <c r="H795"/>
  <c r="I795"/>
  <c r="J795"/>
  <c r="K795"/>
  <c r="M795"/>
  <c r="P795"/>
  <c r="R795"/>
  <c r="S795"/>
  <c r="T795"/>
  <c r="U795"/>
  <c r="X795"/>
  <c r="Y795"/>
  <c r="Z795"/>
  <c r="AA795"/>
  <c r="AB795"/>
  <c r="AC795"/>
  <c r="AD795"/>
  <c r="AE795"/>
  <c r="AF795"/>
  <c r="AG795"/>
  <c r="AH795"/>
  <c r="AI795"/>
  <c r="AJ795"/>
  <c r="AK795"/>
  <c r="C796"/>
  <c r="H796"/>
  <c r="I796"/>
  <c r="J796"/>
  <c r="K796"/>
  <c r="M796"/>
  <c r="P796"/>
  <c r="R796"/>
  <c r="S796"/>
  <c r="T796"/>
  <c r="U796"/>
  <c r="X796"/>
  <c r="Y796"/>
  <c r="Z796"/>
  <c r="AA796"/>
  <c r="AB796"/>
  <c r="AC796"/>
  <c r="AD796"/>
  <c r="AE796"/>
  <c r="AF796"/>
  <c r="AG796"/>
  <c r="AH796"/>
  <c r="AI796"/>
  <c r="AJ796"/>
  <c r="AK796"/>
  <c r="C797"/>
  <c r="H797"/>
  <c r="I797"/>
  <c r="J797"/>
  <c r="K797"/>
  <c r="M797"/>
  <c r="P797"/>
  <c r="R797"/>
  <c r="S797"/>
  <c r="T797"/>
  <c r="U797"/>
  <c r="X797"/>
  <c r="Y797"/>
  <c r="Z797"/>
  <c r="AA797"/>
  <c r="AB797"/>
  <c r="AC797"/>
  <c r="AD797"/>
  <c r="AE797"/>
  <c r="AF797"/>
  <c r="AG797"/>
  <c r="AH797"/>
  <c r="AI797"/>
  <c r="AJ797"/>
  <c r="AK797"/>
  <c r="C798"/>
  <c r="H798"/>
  <c r="I798"/>
  <c r="J798"/>
  <c r="K798"/>
  <c r="M798"/>
  <c r="P798"/>
  <c r="R798"/>
  <c r="S798"/>
  <c r="T798"/>
  <c r="U798"/>
  <c r="X798"/>
  <c r="Y798"/>
  <c r="Z798"/>
  <c r="AA798"/>
  <c r="AB798"/>
  <c r="AC798"/>
  <c r="AD798"/>
  <c r="AE798"/>
  <c r="AF798"/>
  <c r="AG798"/>
  <c r="AH798"/>
  <c r="AI798"/>
  <c r="AJ798"/>
  <c r="AK798"/>
  <c r="C799"/>
  <c r="H799"/>
  <c r="I799"/>
  <c r="J799"/>
  <c r="K799"/>
  <c r="M799"/>
  <c r="P799"/>
  <c r="R799"/>
  <c r="S799"/>
  <c r="T799"/>
  <c r="U799"/>
  <c r="X799"/>
  <c r="Y799"/>
  <c r="Z799"/>
  <c r="AA799"/>
  <c r="AB799"/>
  <c r="AC799"/>
  <c r="AD799"/>
  <c r="AE799"/>
  <c r="AF799"/>
  <c r="AG799"/>
  <c r="AH799"/>
  <c r="AI799"/>
  <c r="AJ799"/>
  <c r="AK799"/>
  <c r="C800"/>
  <c r="H800"/>
  <c r="I800"/>
  <c r="J800"/>
  <c r="K800"/>
  <c r="M800"/>
  <c r="P800"/>
  <c r="R800"/>
  <c r="S800"/>
  <c r="T800"/>
  <c r="U800"/>
  <c r="X800"/>
  <c r="Y800"/>
  <c r="Z800"/>
  <c r="AA800"/>
  <c r="AB800"/>
  <c r="AC800"/>
  <c r="AD800"/>
  <c r="AE800"/>
  <c r="AF800"/>
  <c r="AG800"/>
  <c r="AH800"/>
  <c r="AI800"/>
  <c r="AJ800"/>
  <c r="AK800"/>
  <c r="C801"/>
  <c r="H801"/>
  <c r="I801"/>
  <c r="J801"/>
  <c r="K801"/>
  <c r="M801"/>
  <c r="P801"/>
  <c r="R801"/>
  <c r="S801"/>
  <c r="T801"/>
  <c r="U801"/>
  <c r="X801"/>
  <c r="Y801"/>
  <c r="Z801"/>
  <c r="AA801"/>
  <c r="AB801"/>
  <c r="AC801"/>
  <c r="AD801"/>
  <c r="AE801"/>
  <c r="AF801"/>
  <c r="AG801"/>
  <c r="AH801"/>
  <c r="AI801"/>
  <c r="AJ801"/>
  <c r="AK801"/>
  <c r="C782"/>
  <c r="H782"/>
  <c r="I782"/>
  <c r="J782"/>
  <c r="K782"/>
  <c r="M782"/>
  <c r="P782"/>
  <c r="R782"/>
  <c r="S782"/>
  <c r="T782"/>
  <c r="U782"/>
  <c r="X782"/>
  <c r="Y782"/>
  <c r="Z782"/>
  <c r="AA782"/>
  <c r="AB782"/>
  <c r="AC782"/>
  <c r="AD782"/>
  <c r="AE782"/>
  <c r="AF782"/>
  <c r="AG782"/>
  <c r="AH782"/>
  <c r="AI782"/>
  <c r="AJ782"/>
  <c r="AK782"/>
  <c r="C783"/>
  <c r="H783"/>
  <c r="I783"/>
  <c r="J783"/>
  <c r="K783"/>
  <c r="M783"/>
  <c r="P783"/>
  <c r="R783"/>
  <c r="S783"/>
  <c r="T783"/>
  <c r="U783"/>
  <c r="X783"/>
  <c r="Y783"/>
  <c r="Z783"/>
  <c r="AA783"/>
  <c r="AB783"/>
  <c r="AC783"/>
  <c r="AD783"/>
  <c r="AE783"/>
  <c r="AF783"/>
  <c r="AG783"/>
  <c r="AH783"/>
  <c r="AI783"/>
  <c r="AJ783"/>
  <c r="AK783"/>
  <c r="C784"/>
  <c r="H784"/>
  <c r="I784"/>
  <c r="J784"/>
  <c r="K784"/>
  <c r="M784"/>
  <c r="P784"/>
  <c r="R784"/>
  <c r="S784"/>
  <c r="T784"/>
  <c r="U784"/>
  <c r="X784"/>
  <c r="Y784"/>
  <c r="Z784"/>
  <c r="AA784"/>
  <c r="AB784"/>
  <c r="AC784"/>
  <c r="AD784"/>
  <c r="AE784"/>
  <c r="AF784"/>
  <c r="AG784"/>
  <c r="AH784"/>
  <c r="AI784"/>
  <c r="AJ784"/>
  <c r="AK784"/>
  <c r="C785"/>
  <c r="H785"/>
  <c r="I785"/>
  <c r="J785"/>
  <c r="K785"/>
  <c r="M785"/>
  <c r="P785"/>
  <c r="R785"/>
  <c r="S785"/>
  <c r="T785"/>
  <c r="U785"/>
  <c r="X785"/>
  <c r="Y785"/>
  <c r="Z785"/>
  <c r="AA785"/>
  <c r="AB785"/>
  <c r="AC785"/>
  <c r="AD785"/>
  <c r="AE785"/>
  <c r="AF785"/>
  <c r="AG785"/>
  <c r="AH785"/>
  <c r="AI785"/>
  <c r="AJ785"/>
  <c r="AK785"/>
  <c r="C786"/>
  <c r="H786"/>
  <c r="I786"/>
  <c r="J786"/>
  <c r="K786"/>
  <c r="M786"/>
  <c r="P786"/>
  <c r="R786"/>
  <c r="S786"/>
  <c r="T786"/>
  <c r="U786"/>
  <c r="X786"/>
  <c r="Y786"/>
  <c r="Z786"/>
  <c r="AA786"/>
  <c r="AB786"/>
  <c r="AC786"/>
  <c r="AD786"/>
  <c r="AE786"/>
  <c r="AF786"/>
  <c r="AG786"/>
  <c r="AH786"/>
  <c r="AI786"/>
  <c r="AJ786"/>
  <c r="AK786"/>
  <c r="C787"/>
  <c r="H787"/>
  <c r="I787"/>
  <c r="J787"/>
  <c r="K787"/>
  <c r="M787"/>
  <c r="P787"/>
  <c r="R787"/>
  <c r="S787"/>
  <c r="T787"/>
  <c r="U787"/>
  <c r="X787"/>
  <c r="Y787"/>
  <c r="Z787"/>
  <c r="AA787"/>
  <c r="AB787"/>
  <c r="AC787"/>
  <c r="AD787"/>
  <c r="AE787"/>
  <c r="AF787"/>
  <c r="AG787"/>
  <c r="AH787"/>
  <c r="AI787"/>
  <c r="AJ787"/>
  <c r="AK787"/>
  <c r="C788"/>
  <c r="H788"/>
  <c r="I788"/>
  <c r="J788"/>
  <c r="K788"/>
  <c r="M788"/>
  <c r="P788"/>
  <c r="R788"/>
  <c r="S788"/>
  <c r="T788"/>
  <c r="U788"/>
  <c r="X788"/>
  <c r="Y788"/>
  <c r="Z788"/>
  <c r="AA788"/>
  <c r="AB788"/>
  <c r="AC788"/>
  <c r="AD788"/>
  <c r="AE788"/>
  <c r="AF788"/>
  <c r="AG788"/>
  <c r="AH788"/>
  <c r="AI788"/>
  <c r="AJ788"/>
  <c r="AK788"/>
  <c r="C789"/>
  <c r="H789"/>
  <c r="I789"/>
  <c r="J789"/>
  <c r="K789"/>
  <c r="M789"/>
  <c r="P789"/>
  <c r="R789"/>
  <c r="S789"/>
  <c r="T789"/>
  <c r="U789"/>
  <c r="X789"/>
  <c r="Y789"/>
  <c r="Z789"/>
  <c r="AA789"/>
  <c r="AB789"/>
  <c r="AC789"/>
  <c r="AD789"/>
  <c r="AE789"/>
  <c r="AF789"/>
  <c r="AG789"/>
  <c r="AH789"/>
  <c r="AI789"/>
  <c r="AJ789"/>
  <c r="AK789"/>
  <c r="C790"/>
  <c r="H790"/>
  <c r="I790"/>
  <c r="J790"/>
  <c r="K790"/>
  <c r="M790"/>
  <c r="P790"/>
  <c r="R790"/>
  <c r="S790"/>
  <c r="T790"/>
  <c r="U790"/>
  <c r="X790"/>
  <c r="Y790"/>
  <c r="Z790"/>
  <c r="AA790"/>
  <c r="AB790"/>
  <c r="AC790"/>
  <c r="AD790"/>
  <c r="AE790"/>
  <c r="AF790"/>
  <c r="AG790"/>
  <c r="AH790"/>
  <c r="AI790"/>
  <c r="AJ790"/>
  <c r="AK790"/>
  <c r="C791"/>
  <c r="H791"/>
  <c r="I791"/>
  <c r="J791"/>
  <c r="K791"/>
  <c r="M791"/>
  <c r="P791"/>
  <c r="R791"/>
  <c r="S791"/>
  <c r="T791"/>
  <c r="U791"/>
  <c r="X791"/>
  <c r="Y791"/>
  <c r="Z791"/>
  <c r="AA791"/>
  <c r="AB791"/>
  <c r="AC791"/>
  <c r="AD791"/>
  <c r="AE791"/>
  <c r="AF791"/>
  <c r="AG791"/>
  <c r="AH791"/>
  <c r="AI791"/>
  <c r="AJ791"/>
  <c r="AK791"/>
  <c r="C772"/>
  <c r="H772"/>
  <c r="I772"/>
  <c r="J772"/>
  <c r="K772"/>
  <c r="M772"/>
  <c r="P772"/>
  <c r="R772"/>
  <c r="S772"/>
  <c r="T772"/>
  <c r="U772"/>
  <c r="X772"/>
  <c r="Y772"/>
  <c r="Z772"/>
  <c r="AA772"/>
  <c r="AB772"/>
  <c r="AC772"/>
  <c r="AD772"/>
  <c r="AE772"/>
  <c r="AF772"/>
  <c r="AG772"/>
  <c r="AH772"/>
  <c r="AI772"/>
  <c r="AJ772"/>
  <c r="AK772"/>
  <c r="C773"/>
  <c r="H773"/>
  <c r="I773"/>
  <c r="J773"/>
  <c r="K773"/>
  <c r="M773"/>
  <c r="P773"/>
  <c r="R773"/>
  <c r="S773"/>
  <c r="T773"/>
  <c r="U773"/>
  <c r="X773"/>
  <c r="Y773"/>
  <c r="Z773"/>
  <c r="AA773"/>
  <c r="AB773"/>
  <c r="AC773"/>
  <c r="AD773"/>
  <c r="AE773"/>
  <c r="AF773"/>
  <c r="AG773"/>
  <c r="AH773"/>
  <c r="AI773"/>
  <c r="AJ773"/>
  <c r="AK773"/>
  <c r="C774"/>
  <c r="H774"/>
  <c r="I774"/>
  <c r="J774"/>
  <c r="K774"/>
  <c r="M774"/>
  <c r="P774"/>
  <c r="R774"/>
  <c r="S774"/>
  <c r="T774"/>
  <c r="U774"/>
  <c r="X774"/>
  <c r="Y774"/>
  <c r="Z774"/>
  <c r="AA774"/>
  <c r="AB774"/>
  <c r="AC774"/>
  <c r="AD774"/>
  <c r="AE774"/>
  <c r="AF774"/>
  <c r="AG774"/>
  <c r="AH774"/>
  <c r="AI774"/>
  <c r="AJ774"/>
  <c r="AK774"/>
  <c r="C775"/>
  <c r="H775"/>
  <c r="I775"/>
  <c r="J775"/>
  <c r="K775"/>
  <c r="M775"/>
  <c r="P775"/>
  <c r="R775"/>
  <c r="S775"/>
  <c r="T775"/>
  <c r="U775"/>
  <c r="X775"/>
  <c r="Y775"/>
  <c r="Z775"/>
  <c r="AA775"/>
  <c r="AB775"/>
  <c r="AC775"/>
  <c r="AD775"/>
  <c r="AE775"/>
  <c r="AF775"/>
  <c r="AG775"/>
  <c r="AH775"/>
  <c r="AI775"/>
  <c r="AJ775"/>
  <c r="AK775"/>
  <c r="C776"/>
  <c r="H776"/>
  <c r="I776"/>
  <c r="J776"/>
  <c r="K776"/>
  <c r="M776"/>
  <c r="P776"/>
  <c r="R776"/>
  <c r="S776"/>
  <c r="T776"/>
  <c r="U776"/>
  <c r="X776"/>
  <c r="Y776"/>
  <c r="Z776"/>
  <c r="AA776"/>
  <c r="AB776"/>
  <c r="AC776"/>
  <c r="AD776"/>
  <c r="AE776"/>
  <c r="AF776"/>
  <c r="AG776"/>
  <c r="AH776"/>
  <c r="AI776"/>
  <c r="AJ776"/>
  <c r="AK776"/>
  <c r="C777"/>
  <c r="H777"/>
  <c r="I777"/>
  <c r="J777"/>
  <c r="K777"/>
  <c r="M777"/>
  <c r="P777"/>
  <c r="R777"/>
  <c r="S777"/>
  <c r="T777"/>
  <c r="U777"/>
  <c r="X777"/>
  <c r="Y777"/>
  <c r="Z777"/>
  <c r="AA777"/>
  <c r="AB777"/>
  <c r="AC777"/>
  <c r="AD777"/>
  <c r="AE777"/>
  <c r="AF777"/>
  <c r="AG777"/>
  <c r="AH777"/>
  <c r="AI777"/>
  <c r="AJ777"/>
  <c r="AK777"/>
  <c r="C778"/>
  <c r="H778"/>
  <c r="I778"/>
  <c r="J778"/>
  <c r="K778"/>
  <c r="M778"/>
  <c r="P778"/>
  <c r="R778"/>
  <c r="S778"/>
  <c r="T778"/>
  <c r="U778"/>
  <c r="X778"/>
  <c r="Y778"/>
  <c r="Z778"/>
  <c r="AA778"/>
  <c r="AB778"/>
  <c r="AC778"/>
  <c r="AD778"/>
  <c r="AE778"/>
  <c r="AF778"/>
  <c r="AG778"/>
  <c r="AH778"/>
  <c r="AI778"/>
  <c r="AJ778"/>
  <c r="AK778"/>
  <c r="C779"/>
  <c r="H779"/>
  <c r="I779"/>
  <c r="J779"/>
  <c r="K779"/>
  <c r="M779"/>
  <c r="P779"/>
  <c r="R779"/>
  <c r="S779"/>
  <c r="T779"/>
  <c r="U779"/>
  <c r="X779"/>
  <c r="Y779"/>
  <c r="Z779"/>
  <c r="AA779"/>
  <c r="AB779"/>
  <c r="AC779"/>
  <c r="AD779"/>
  <c r="AE779"/>
  <c r="AF779"/>
  <c r="AG779"/>
  <c r="AH779"/>
  <c r="AI779"/>
  <c r="AJ779"/>
  <c r="AK779"/>
  <c r="C780"/>
  <c r="H780"/>
  <c r="I780"/>
  <c r="J780"/>
  <c r="K780"/>
  <c r="M780"/>
  <c r="P780"/>
  <c r="R780"/>
  <c r="S780"/>
  <c r="T780"/>
  <c r="U780"/>
  <c r="X780"/>
  <c r="Y780"/>
  <c r="Z780"/>
  <c r="AA780"/>
  <c r="AB780"/>
  <c r="AC780"/>
  <c r="AD780"/>
  <c r="AE780"/>
  <c r="AF780"/>
  <c r="AG780"/>
  <c r="AH780"/>
  <c r="AI780"/>
  <c r="AJ780"/>
  <c r="AK780"/>
  <c r="C781"/>
  <c r="H781"/>
  <c r="I781"/>
  <c r="J781"/>
  <c r="K781"/>
  <c r="M781"/>
  <c r="P781"/>
  <c r="R781"/>
  <c r="S781"/>
  <c r="T781"/>
  <c r="U781"/>
  <c r="X781"/>
  <c r="Y781"/>
  <c r="Z781"/>
  <c r="AA781"/>
  <c r="AB781"/>
  <c r="AC781"/>
  <c r="AD781"/>
  <c r="AE781"/>
  <c r="AF781"/>
  <c r="AG781"/>
  <c r="AH781"/>
  <c r="AI781"/>
  <c r="AJ781"/>
  <c r="AK781"/>
  <c r="C762"/>
  <c r="H762"/>
  <c r="I762"/>
  <c r="J762"/>
  <c r="K762"/>
  <c r="M762"/>
  <c r="P762"/>
  <c r="R762"/>
  <c r="S762"/>
  <c r="T762"/>
  <c r="U762"/>
  <c r="X762"/>
  <c r="Y762"/>
  <c r="Z762"/>
  <c r="AA762"/>
  <c r="AB762"/>
  <c r="AC762"/>
  <c r="AD762"/>
  <c r="AE762"/>
  <c r="AF762"/>
  <c r="AG762"/>
  <c r="AH762"/>
  <c r="AI762"/>
  <c r="AJ762"/>
  <c r="AK762"/>
  <c r="C763"/>
  <c r="H763"/>
  <c r="I763"/>
  <c r="J763"/>
  <c r="K763"/>
  <c r="M763"/>
  <c r="P763"/>
  <c r="R763"/>
  <c r="S763"/>
  <c r="T763"/>
  <c r="U763"/>
  <c r="X763"/>
  <c r="Y763"/>
  <c r="Z763"/>
  <c r="AA763"/>
  <c r="AB763"/>
  <c r="AC763"/>
  <c r="AD763"/>
  <c r="AE763"/>
  <c r="AF763"/>
  <c r="AG763"/>
  <c r="AH763"/>
  <c r="AI763"/>
  <c r="AJ763"/>
  <c r="AK763"/>
  <c r="C764"/>
  <c r="H764"/>
  <c r="I764"/>
  <c r="J764"/>
  <c r="K764"/>
  <c r="M764"/>
  <c r="P764"/>
  <c r="R764"/>
  <c r="S764"/>
  <c r="T764"/>
  <c r="U764"/>
  <c r="X764"/>
  <c r="Y764"/>
  <c r="Z764"/>
  <c r="AA764"/>
  <c r="AB764"/>
  <c r="AC764"/>
  <c r="AD764"/>
  <c r="AE764"/>
  <c r="AF764"/>
  <c r="AG764"/>
  <c r="AH764"/>
  <c r="AI764"/>
  <c r="AJ764"/>
  <c r="AK764"/>
  <c r="C765"/>
  <c r="H765"/>
  <c r="I765"/>
  <c r="J765"/>
  <c r="K765"/>
  <c r="M765"/>
  <c r="P765"/>
  <c r="R765"/>
  <c r="S765"/>
  <c r="T765"/>
  <c r="U765"/>
  <c r="X765"/>
  <c r="Y765"/>
  <c r="Z765"/>
  <c r="AA765"/>
  <c r="AB765"/>
  <c r="AC765"/>
  <c r="AD765"/>
  <c r="AE765"/>
  <c r="AF765"/>
  <c r="AG765"/>
  <c r="AH765"/>
  <c r="AI765"/>
  <c r="AJ765"/>
  <c r="AK765"/>
  <c r="C766"/>
  <c r="H766"/>
  <c r="I766"/>
  <c r="J766"/>
  <c r="K766"/>
  <c r="M766"/>
  <c r="P766"/>
  <c r="R766"/>
  <c r="S766"/>
  <c r="T766"/>
  <c r="U766"/>
  <c r="X766"/>
  <c r="Y766"/>
  <c r="Z766"/>
  <c r="AA766"/>
  <c r="AB766"/>
  <c r="AC766"/>
  <c r="AD766"/>
  <c r="AE766"/>
  <c r="AF766"/>
  <c r="AG766"/>
  <c r="AH766"/>
  <c r="AI766"/>
  <c r="AJ766"/>
  <c r="AK766"/>
  <c r="C767"/>
  <c r="H767"/>
  <c r="I767"/>
  <c r="J767"/>
  <c r="K767"/>
  <c r="M767"/>
  <c r="P767"/>
  <c r="R767"/>
  <c r="S767"/>
  <c r="T767"/>
  <c r="U767"/>
  <c r="X767"/>
  <c r="Y767"/>
  <c r="Z767"/>
  <c r="AA767"/>
  <c r="AB767"/>
  <c r="AC767"/>
  <c r="AD767"/>
  <c r="AE767"/>
  <c r="AF767"/>
  <c r="AG767"/>
  <c r="AH767"/>
  <c r="AI767"/>
  <c r="AJ767"/>
  <c r="AK767"/>
  <c r="C768"/>
  <c r="H768"/>
  <c r="I768"/>
  <c r="J768"/>
  <c r="K768"/>
  <c r="M768"/>
  <c r="P768"/>
  <c r="R768"/>
  <c r="S768"/>
  <c r="T768"/>
  <c r="U768"/>
  <c r="X768"/>
  <c r="Y768"/>
  <c r="Z768"/>
  <c r="AA768"/>
  <c r="AB768"/>
  <c r="AC768"/>
  <c r="AD768"/>
  <c r="AE768"/>
  <c r="AF768"/>
  <c r="AG768"/>
  <c r="AH768"/>
  <c r="AI768"/>
  <c r="AJ768"/>
  <c r="AK768"/>
  <c r="C769"/>
  <c r="H769"/>
  <c r="I769"/>
  <c r="J769"/>
  <c r="K769"/>
  <c r="M769"/>
  <c r="P769"/>
  <c r="R769"/>
  <c r="S769"/>
  <c r="T769"/>
  <c r="U769"/>
  <c r="X769"/>
  <c r="Y769"/>
  <c r="Z769"/>
  <c r="AA769"/>
  <c r="AB769"/>
  <c r="AC769"/>
  <c r="AD769"/>
  <c r="AE769"/>
  <c r="AF769"/>
  <c r="AG769"/>
  <c r="AH769"/>
  <c r="AI769"/>
  <c r="AJ769"/>
  <c r="AK769"/>
  <c r="C770"/>
  <c r="H770"/>
  <c r="I770"/>
  <c r="J770"/>
  <c r="K770"/>
  <c r="M770"/>
  <c r="P770"/>
  <c r="R770"/>
  <c r="S770"/>
  <c r="T770"/>
  <c r="U770"/>
  <c r="X770"/>
  <c r="Y770"/>
  <c r="Z770"/>
  <c r="AA770"/>
  <c r="AB770"/>
  <c r="AC770"/>
  <c r="AD770"/>
  <c r="AE770"/>
  <c r="AF770"/>
  <c r="AG770"/>
  <c r="AH770"/>
  <c r="AI770"/>
  <c r="AJ770"/>
  <c r="AK770"/>
  <c r="C771"/>
  <c r="H771"/>
  <c r="I771"/>
  <c r="J771"/>
  <c r="K771"/>
  <c r="M771"/>
  <c r="P771"/>
  <c r="R771"/>
  <c r="S771"/>
  <c r="T771"/>
  <c r="U771"/>
  <c r="X771"/>
  <c r="Y771"/>
  <c r="Z771"/>
  <c r="AA771"/>
  <c r="AB771"/>
  <c r="AC771"/>
  <c r="AD771"/>
  <c r="AE771"/>
  <c r="AF771"/>
  <c r="AG771"/>
  <c r="AH771"/>
  <c r="AI771"/>
  <c r="AJ771"/>
  <c r="AK771"/>
  <c r="C752"/>
  <c r="H752"/>
  <c r="I752"/>
  <c r="J752"/>
  <c r="K752"/>
  <c r="M752"/>
  <c r="P752"/>
  <c r="R752"/>
  <c r="S752"/>
  <c r="T752"/>
  <c r="U752"/>
  <c r="X752"/>
  <c r="Y752"/>
  <c r="Z752"/>
  <c r="AA752"/>
  <c r="AB752"/>
  <c r="AC752"/>
  <c r="AD752"/>
  <c r="AE752"/>
  <c r="AF752"/>
  <c r="AG752"/>
  <c r="AH752"/>
  <c r="AI752"/>
  <c r="AJ752"/>
  <c r="AK752"/>
  <c r="C753"/>
  <c r="H753"/>
  <c r="I753"/>
  <c r="J753"/>
  <c r="K753"/>
  <c r="M753"/>
  <c r="P753"/>
  <c r="R753"/>
  <c r="S753"/>
  <c r="T753"/>
  <c r="U753"/>
  <c r="X753"/>
  <c r="Y753"/>
  <c r="Z753"/>
  <c r="AA753"/>
  <c r="AB753"/>
  <c r="AC753"/>
  <c r="AD753"/>
  <c r="AE753"/>
  <c r="AF753"/>
  <c r="AG753"/>
  <c r="AH753"/>
  <c r="AI753"/>
  <c r="AJ753"/>
  <c r="AK753"/>
  <c r="C754"/>
  <c r="H754"/>
  <c r="I754"/>
  <c r="J754"/>
  <c r="K754"/>
  <c r="M754"/>
  <c r="P754"/>
  <c r="R754"/>
  <c r="S754"/>
  <c r="T754"/>
  <c r="U754"/>
  <c r="X754"/>
  <c r="Y754"/>
  <c r="Z754"/>
  <c r="AA754"/>
  <c r="AB754"/>
  <c r="AC754"/>
  <c r="AD754"/>
  <c r="AE754"/>
  <c r="AF754"/>
  <c r="AG754"/>
  <c r="AH754"/>
  <c r="AI754"/>
  <c r="AJ754"/>
  <c r="AK754"/>
  <c r="C755"/>
  <c r="H755"/>
  <c r="I755"/>
  <c r="J755"/>
  <c r="K755"/>
  <c r="M755"/>
  <c r="P755"/>
  <c r="R755"/>
  <c r="S755"/>
  <c r="T755"/>
  <c r="U755"/>
  <c r="X755"/>
  <c r="Y755"/>
  <c r="Z755"/>
  <c r="AA755"/>
  <c r="AB755"/>
  <c r="AC755"/>
  <c r="AD755"/>
  <c r="AE755"/>
  <c r="AF755"/>
  <c r="AG755"/>
  <c r="AH755"/>
  <c r="AI755"/>
  <c r="AJ755"/>
  <c r="AK755"/>
  <c r="C756"/>
  <c r="H756"/>
  <c r="I756"/>
  <c r="J756"/>
  <c r="K756"/>
  <c r="M756"/>
  <c r="P756"/>
  <c r="R756"/>
  <c r="S756"/>
  <c r="T756"/>
  <c r="U756"/>
  <c r="X756"/>
  <c r="Y756"/>
  <c r="Z756"/>
  <c r="AA756"/>
  <c r="AB756"/>
  <c r="AC756"/>
  <c r="AD756"/>
  <c r="AE756"/>
  <c r="AF756"/>
  <c r="AG756"/>
  <c r="AH756"/>
  <c r="AI756"/>
  <c r="AJ756"/>
  <c r="AK756"/>
  <c r="C757"/>
  <c r="H757"/>
  <c r="I757"/>
  <c r="J757"/>
  <c r="K757"/>
  <c r="M757"/>
  <c r="P757"/>
  <c r="R757"/>
  <c r="S757"/>
  <c r="T757"/>
  <c r="U757"/>
  <c r="X757"/>
  <c r="Y757"/>
  <c r="Z757"/>
  <c r="AA757"/>
  <c r="AB757"/>
  <c r="AC757"/>
  <c r="AD757"/>
  <c r="AE757"/>
  <c r="AF757"/>
  <c r="AG757"/>
  <c r="AH757"/>
  <c r="AI757"/>
  <c r="AJ757"/>
  <c r="AK757"/>
  <c r="C758"/>
  <c r="H758"/>
  <c r="I758"/>
  <c r="J758"/>
  <c r="K758"/>
  <c r="M758"/>
  <c r="P758"/>
  <c r="R758"/>
  <c r="S758"/>
  <c r="T758"/>
  <c r="U758"/>
  <c r="X758"/>
  <c r="Y758"/>
  <c r="Z758"/>
  <c r="AA758"/>
  <c r="AB758"/>
  <c r="AC758"/>
  <c r="AD758"/>
  <c r="AE758"/>
  <c r="AF758"/>
  <c r="AG758"/>
  <c r="AH758"/>
  <c r="AI758"/>
  <c r="AJ758"/>
  <c r="AK758"/>
  <c r="C759"/>
  <c r="H759"/>
  <c r="I759"/>
  <c r="J759"/>
  <c r="K759"/>
  <c r="M759"/>
  <c r="P759"/>
  <c r="R759"/>
  <c r="S759"/>
  <c r="T759"/>
  <c r="U759"/>
  <c r="X759"/>
  <c r="Y759"/>
  <c r="Z759"/>
  <c r="AA759"/>
  <c r="AB759"/>
  <c r="AC759"/>
  <c r="AD759"/>
  <c r="AE759"/>
  <c r="AF759"/>
  <c r="AG759"/>
  <c r="AH759"/>
  <c r="AI759"/>
  <c r="AJ759"/>
  <c r="AK759"/>
  <c r="C760"/>
  <c r="H760"/>
  <c r="I760"/>
  <c r="J760"/>
  <c r="K760"/>
  <c r="M760"/>
  <c r="P760"/>
  <c r="R760"/>
  <c r="S760"/>
  <c r="T760"/>
  <c r="U760"/>
  <c r="X760"/>
  <c r="Y760"/>
  <c r="Z760"/>
  <c r="AA760"/>
  <c r="AB760"/>
  <c r="AC760"/>
  <c r="AD760"/>
  <c r="AE760"/>
  <c r="AF760"/>
  <c r="AG760"/>
  <c r="AH760"/>
  <c r="AI760"/>
  <c r="AJ760"/>
  <c r="AK760"/>
  <c r="C761"/>
  <c r="H761"/>
  <c r="I761"/>
  <c r="J761"/>
  <c r="K761"/>
  <c r="M761"/>
  <c r="P761"/>
  <c r="R761"/>
  <c r="S761"/>
  <c r="T761"/>
  <c r="U761"/>
  <c r="X761"/>
  <c r="Y761"/>
  <c r="Z761"/>
  <c r="AA761"/>
  <c r="AB761"/>
  <c r="AC761"/>
  <c r="AD761"/>
  <c r="AE761"/>
  <c r="AF761"/>
  <c r="AG761"/>
  <c r="AH761"/>
  <c r="AI761"/>
  <c r="AJ761"/>
  <c r="AK761"/>
  <c r="C742"/>
  <c r="H742"/>
  <c r="I742"/>
  <c r="J742"/>
  <c r="K742"/>
  <c r="M742"/>
  <c r="P742"/>
  <c r="R742"/>
  <c r="S742"/>
  <c r="T742"/>
  <c r="U742"/>
  <c r="X742"/>
  <c r="Y742"/>
  <c r="Z742"/>
  <c r="AA742"/>
  <c r="AB742"/>
  <c r="AC742"/>
  <c r="AD742"/>
  <c r="AE742"/>
  <c r="AF742"/>
  <c r="AG742"/>
  <c r="AH742"/>
  <c r="AI742"/>
  <c r="AJ742"/>
  <c r="AK742"/>
  <c r="C743"/>
  <c r="H743"/>
  <c r="I743"/>
  <c r="J743"/>
  <c r="K743"/>
  <c r="M743"/>
  <c r="P743"/>
  <c r="R743"/>
  <c r="S743"/>
  <c r="T743"/>
  <c r="U743"/>
  <c r="X743"/>
  <c r="Y743"/>
  <c r="Z743"/>
  <c r="AA743"/>
  <c r="AB743"/>
  <c r="AC743"/>
  <c r="AD743"/>
  <c r="AE743"/>
  <c r="AF743"/>
  <c r="AG743"/>
  <c r="AH743"/>
  <c r="AI743"/>
  <c r="AJ743"/>
  <c r="AK743"/>
  <c r="C744"/>
  <c r="H744"/>
  <c r="I744"/>
  <c r="J744"/>
  <c r="K744"/>
  <c r="M744"/>
  <c r="P744"/>
  <c r="R744"/>
  <c r="S744"/>
  <c r="T744"/>
  <c r="U744"/>
  <c r="X744"/>
  <c r="Y744"/>
  <c r="Z744"/>
  <c r="AA744"/>
  <c r="AB744"/>
  <c r="AC744"/>
  <c r="AD744"/>
  <c r="AE744"/>
  <c r="AF744"/>
  <c r="AG744"/>
  <c r="AH744"/>
  <c r="AI744"/>
  <c r="AJ744"/>
  <c r="AK744"/>
  <c r="C745"/>
  <c r="H745"/>
  <c r="I745"/>
  <c r="J745"/>
  <c r="K745"/>
  <c r="M745"/>
  <c r="P745"/>
  <c r="R745"/>
  <c r="S745"/>
  <c r="T745"/>
  <c r="U745"/>
  <c r="X745"/>
  <c r="Y745"/>
  <c r="Z745"/>
  <c r="AA745"/>
  <c r="AB745"/>
  <c r="AC745"/>
  <c r="AD745"/>
  <c r="AE745"/>
  <c r="AF745"/>
  <c r="AG745"/>
  <c r="AH745"/>
  <c r="AI745"/>
  <c r="AJ745"/>
  <c r="AK745"/>
  <c r="C746"/>
  <c r="H746"/>
  <c r="I746"/>
  <c r="J746"/>
  <c r="K746"/>
  <c r="M746"/>
  <c r="P746"/>
  <c r="R746"/>
  <c r="S746"/>
  <c r="T746"/>
  <c r="U746"/>
  <c r="X746"/>
  <c r="Y746"/>
  <c r="Z746"/>
  <c r="AA746"/>
  <c r="AB746"/>
  <c r="AC746"/>
  <c r="AD746"/>
  <c r="AE746"/>
  <c r="AF746"/>
  <c r="AG746"/>
  <c r="AH746"/>
  <c r="AI746"/>
  <c r="AJ746"/>
  <c r="AK746"/>
  <c r="C747"/>
  <c r="H747"/>
  <c r="I747"/>
  <c r="J747"/>
  <c r="K747"/>
  <c r="M747"/>
  <c r="P747"/>
  <c r="R747"/>
  <c r="S747"/>
  <c r="T747"/>
  <c r="U747"/>
  <c r="X747"/>
  <c r="Y747"/>
  <c r="Z747"/>
  <c r="AA747"/>
  <c r="AB747"/>
  <c r="AC747"/>
  <c r="AD747"/>
  <c r="AE747"/>
  <c r="AF747"/>
  <c r="AG747"/>
  <c r="AH747"/>
  <c r="AI747"/>
  <c r="AJ747"/>
  <c r="AK747"/>
  <c r="C748"/>
  <c r="H748"/>
  <c r="I748"/>
  <c r="J748"/>
  <c r="K748"/>
  <c r="M748"/>
  <c r="P748"/>
  <c r="R748"/>
  <c r="S748"/>
  <c r="T748"/>
  <c r="U748"/>
  <c r="X748"/>
  <c r="Y748"/>
  <c r="Z748"/>
  <c r="AA748"/>
  <c r="AB748"/>
  <c r="AC748"/>
  <c r="AD748"/>
  <c r="AE748"/>
  <c r="AF748"/>
  <c r="AG748"/>
  <c r="AH748"/>
  <c r="AI748"/>
  <c r="AJ748"/>
  <c r="AK748"/>
  <c r="C749"/>
  <c r="H749"/>
  <c r="I749"/>
  <c r="J749"/>
  <c r="K749"/>
  <c r="M749"/>
  <c r="P749"/>
  <c r="R749"/>
  <c r="S749"/>
  <c r="T749"/>
  <c r="U749"/>
  <c r="X749"/>
  <c r="Y749"/>
  <c r="Z749"/>
  <c r="AA749"/>
  <c r="AB749"/>
  <c r="AC749"/>
  <c r="AD749"/>
  <c r="AE749"/>
  <c r="AF749"/>
  <c r="AG749"/>
  <c r="AH749"/>
  <c r="AI749"/>
  <c r="AJ749"/>
  <c r="AK749"/>
  <c r="C750"/>
  <c r="H750"/>
  <c r="I750"/>
  <c r="J750"/>
  <c r="K750"/>
  <c r="M750"/>
  <c r="P750"/>
  <c r="R750"/>
  <c r="S750"/>
  <c r="T750"/>
  <c r="U750"/>
  <c r="X750"/>
  <c r="Y750"/>
  <c r="Z750"/>
  <c r="AA750"/>
  <c r="AB750"/>
  <c r="AC750"/>
  <c r="AD750"/>
  <c r="AE750"/>
  <c r="AF750"/>
  <c r="AG750"/>
  <c r="AH750"/>
  <c r="AI750"/>
  <c r="AJ750"/>
  <c r="AK750"/>
  <c r="C751"/>
  <c r="H751"/>
  <c r="I751"/>
  <c r="J751"/>
  <c r="K751"/>
  <c r="M751"/>
  <c r="P751"/>
  <c r="R751"/>
  <c r="S751"/>
  <c r="T751"/>
  <c r="U751"/>
  <c r="X751"/>
  <c r="Y751"/>
  <c r="Z751"/>
  <c r="AA751"/>
  <c r="AB751"/>
  <c r="AC751"/>
  <c r="AD751"/>
  <c r="AE751"/>
  <c r="AF751"/>
  <c r="AG751"/>
  <c r="AH751"/>
  <c r="AI751"/>
  <c r="AJ751"/>
  <c r="AK751"/>
  <c r="C732"/>
  <c r="H732"/>
  <c r="I732"/>
  <c r="J732"/>
  <c r="K732"/>
  <c r="M732"/>
  <c r="P732"/>
  <c r="R732"/>
  <c r="S732"/>
  <c r="T732"/>
  <c r="U732"/>
  <c r="X732"/>
  <c r="Y732"/>
  <c r="Z732"/>
  <c r="AA732"/>
  <c r="AB732"/>
  <c r="AC732"/>
  <c r="AD732"/>
  <c r="AE732"/>
  <c r="AF732"/>
  <c r="AG732"/>
  <c r="AH732"/>
  <c r="AI732"/>
  <c r="AJ732"/>
  <c r="AK732"/>
  <c r="C733"/>
  <c r="H733"/>
  <c r="I733"/>
  <c r="J733"/>
  <c r="K733"/>
  <c r="M733"/>
  <c r="P733"/>
  <c r="R733"/>
  <c r="S733"/>
  <c r="T733"/>
  <c r="U733"/>
  <c r="X733"/>
  <c r="Y733"/>
  <c r="Z733"/>
  <c r="AA733"/>
  <c r="AB733"/>
  <c r="AC733"/>
  <c r="AD733"/>
  <c r="AE733"/>
  <c r="AF733"/>
  <c r="AG733"/>
  <c r="AH733"/>
  <c r="AI733"/>
  <c r="AJ733"/>
  <c r="AK733"/>
  <c r="C734"/>
  <c r="H734"/>
  <c r="I734"/>
  <c r="J734"/>
  <c r="K734"/>
  <c r="M734"/>
  <c r="P734"/>
  <c r="R734"/>
  <c r="S734"/>
  <c r="T734"/>
  <c r="U734"/>
  <c r="X734"/>
  <c r="Y734"/>
  <c r="Z734"/>
  <c r="AA734"/>
  <c r="AB734"/>
  <c r="AC734"/>
  <c r="AD734"/>
  <c r="AE734"/>
  <c r="AF734"/>
  <c r="AG734"/>
  <c r="AH734"/>
  <c r="AI734"/>
  <c r="AJ734"/>
  <c r="AK734"/>
  <c r="C735"/>
  <c r="H735"/>
  <c r="I735"/>
  <c r="J735"/>
  <c r="K735"/>
  <c r="M735"/>
  <c r="P735"/>
  <c r="R735"/>
  <c r="S735"/>
  <c r="T735"/>
  <c r="U735"/>
  <c r="X735"/>
  <c r="Y735"/>
  <c r="Z735"/>
  <c r="AA735"/>
  <c r="AB735"/>
  <c r="AC735"/>
  <c r="AD735"/>
  <c r="AE735"/>
  <c r="AF735"/>
  <c r="AG735"/>
  <c r="AH735"/>
  <c r="AI735"/>
  <c r="AJ735"/>
  <c r="AK735"/>
  <c r="C736"/>
  <c r="H736"/>
  <c r="I736"/>
  <c r="J736"/>
  <c r="K736"/>
  <c r="M736"/>
  <c r="P736"/>
  <c r="R736"/>
  <c r="S736"/>
  <c r="T736"/>
  <c r="U736"/>
  <c r="X736"/>
  <c r="Y736"/>
  <c r="Z736"/>
  <c r="AA736"/>
  <c r="AB736"/>
  <c r="AC736"/>
  <c r="AD736"/>
  <c r="AE736"/>
  <c r="AF736"/>
  <c r="AG736"/>
  <c r="AH736"/>
  <c r="AI736"/>
  <c r="AJ736"/>
  <c r="AK736"/>
  <c r="C737"/>
  <c r="H737"/>
  <c r="I737"/>
  <c r="J737"/>
  <c r="K737"/>
  <c r="M737"/>
  <c r="P737"/>
  <c r="R737"/>
  <c r="S737"/>
  <c r="T737"/>
  <c r="U737"/>
  <c r="X737"/>
  <c r="Y737"/>
  <c r="Z737"/>
  <c r="AA737"/>
  <c r="AB737"/>
  <c r="AC737"/>
  <c r="AD737"/>
  <c r="AE737"/>
  <c r="AF737"/>
  <c r="AG737"/>
  <c r="AH737"/>
  <c r="AI737"/>
  <c r="AJ737"/>
  <c r="AK737"/>
  <c r="C738"/>
  <c r="H738"/>
  <c r="I738"/>
  <c r="J738"/>
  <c r="K738"/>
  <c r="M738"/>
  <c r="P738"/>
  <c r="R738"/>
  <c r="S738"/>
  <c r="T738"/>
  <c r="U738"/>
  <c r="X738"/>
  <c r="Y738"/>
  <c r="Z738"/>
  <c r="AA738"/>
  <c r="AB738"/>
  <c r="AC738"/>
  <c r="AD738"/>
  <c r="AE738"/>
  <c r="AF738"/>
  <c r="AG738"/>
  <c r="AH738"/>
  <c r="AI738"/>
  <c r="AJ738"/>
  <c r="AK738"/>
  <c r="C739"/>
  <c r="H739"/>
  <c r="I739"/>
  <c r="J739"/>
  <c r="K739"/>
  <c r="M739"/>
  <c r="P739"/>
  <c r="R739"/>
  <c r="S739"/>
  <c r="T739"/>
  <c r="U739"/>
  <c r="X739"/>
  <c r="Y739"/>
  <c r="Z739"/>
  <c r="AA739"/>
  <c r="AB739"/>
  <c r="AC739"/>
  <c r="AD739"/>
  <c r="AE739"/>
  <c r="AF739"/>
  <c r="AG739"/>
  <c r="AH739"/>
  <c r="AI739"/>
  <c r="AJ739"/>
  <c r="AK739"/>
  <c r="C740"/>
  <c r="H740"/>
  <c r="I740"/>
  <c r="J740"/>
  <c r="K740"/>
  <c r="M740"/>
  <c r="P740"/>
  <c r="R740"/>
  <c r="S740"/>
  <c r="T740"/>
  <c r="U740"/>
  <c r="X740"/>
  <c r="Y740"/>
  <c r="Z740"/>
  <c r="AA740"/>
  <c r="AB740"/>
  <c r="AC740"/>
  <c r="AD740"/>
  <c r="AE740"/>
  <c r="AF740"/>
  <c r="AG740"/>
  <c r="AH740"/>
  <c r="AI740"/>
  <c r="AJ740"/>
  <c r="AK740"/>
  <c r="C741"/>
  <c r="H741"/>
  <c r="I741"/>
  <c r="J741"/>
  <c r="K741"/>
  <c r="M741"/>
  <c r="P741"/>
  <c r="R741"/>
  <c r="S741"/>
  <c r="T741"/>
  <c r="U741"/>
  <c r="X741"/>
  <c r="Y741"/>
  <c r="Z741"/>
  <c r="AA741"/>
  <c r="AB741"/>
  <c r="AC741"/>
  <c r="AD741"/>
  <c r="AE741"/>
  <c r="AF741"/>
  <c r="AG741"/>
  <c r="AH741"/>
  <c r="AI741"/>
  <c r="AJ741"/>
  <c r="AK741"/>
  <c r="C722"/>
  <c r="H722"/>
  <c r="I722"/>
  <c r="J722"/>
  <c r="K722"/>
  <c r="M722"/>
  <c r="P722"/>
  <c r="R722"/>
  <c r="S722"/>
  <c r="T722"/>
  <c r="U722"/>
  <c r="X722"/>
  <c r="Y722"/>
  <c r="Z722"/>
  <c r="AA722"/>
  <c r="AB722"/>
  <c r="AC722"/>
  <c r="AD722"/>
  <c r="AE722"/>
  <c r="AF722"/>
  <c r="AG722"/>
  <c r="AH722"/>
  <c r="AI722"/>
  <c r="AJ722"/>
  <c r="AK722"/>
  <c r="C723"/>
  <c r="H723"/>
  <c r="I723"/>
  <c r="J723"/>
  <c r="K723"/>
  <c r="M723"/>
  <c r="P723"/>
  <c r="R723"/>
  <c r="S723"/>
  <c r="T723"/>
  <c r="U723"/>
  <c r="X723"/>
  <c r="Y723"/>
  <c r="Z723"/>
  <c r="AA723"/>
  <c r="AB723"/>
  <c r="AC723"/>
  <c r="AD723"/>
  <c r="AE723"/>
  <c r="AF723"/>
  <c r="AG723"/>
  <c r="AH723"/>
  <c r="AI723"/>
  <c r="AJ723"/>
  <c r="AK723"/>
  <c r="C724"/>
  <c r="H724"/>
  <c r="I724"/>
  <c r="J724"/>
  <c r="K724"/>
  <c r="M724"/>
  <c r="P724"/>
  <c r="R724"/>
  <c r="S724"/>
  <c r="T724"/>
  <c r="U724"/>
  <c r="X724"/>
  <c r="Y724"/>
  <c r="Z724"/>
  <c r="AA724"/>
  <c r="AB724"/>
  <c r="AC724"/>
  <c r="AD724"/>
  <c r="AE724"/>
  <c r="AF724"/>
  <c r="AG724"/>
  <c r="AH724"/>
  <c r="AI724"/>
  <c r="AJ724"/>
  <c r="AK724"/>
  <c r="C725"/>
  <c r="H725"/>
  <c r="I725"/>
  <c r="J725"/>
  <c r="K725"/>
  <c r="M725"/>
  <c r="P725"/>
  <c r="R725"/>
  <c r="S725"/>
  <c r="T725"/>
  <c r="U725"/>
  <c r="X725"/>
  <c r="Y725"/>
  <c r="Z725"/>
  <c r="AA725"/>
  <c r="AB725"/>
  <c r="AC725"/>
  <c r="AD725"/>
  <c r="AE725"/>
  <c r="AF725"/>
  <c r="AG725"/>
  <c r="AH725"/>
  <c r="AI725"/>
  <c r="AJ725"/>
  <c r="AK725"/>
  <c r="C726"/>
  <c r="H726"/>
  <c r="I726"/>
  <c r="J726"/>
  <c r="K726"/>
  <c r="M726"/>
  <c r="P726"/>
  <c r="R726"/>
  <c r="S726"/>
  <c r="T726"/>
  <c r="U726"/>
  <c r="X726"/>
  <c r="Y726"/>
  <c r="Z726"/>
  <c r="AA726"/>
  <c r="AB726"/>
  <c r="AC726"/>
  <c r="AD726"/>
  <c r="AE726"/>
  <c r="AF726"/>
  <c r="AG726"/>
  <c r="AH726"/>
  <c r="AI726"/>
  <c r="AJ726"/>
  <c r="AK726"/>
  <c r="C727"/>
  <c r="H727"/>
  <c r="I727"/>
  <c r="J727"/>
  <c r="K727"/>
  <c r="M727"/>
  <c r="P727"/>
  <c r="R727"/>
  <c r="S727"/>
  <c r="T727"/>
  <c r="U727"/>
  <c r="X727"/>
  <c r="Y727"/>
  <c r="Z727"/>
  <c r="AA727"/>
  <c r="AB727"/>
  <c r="AC727"/>
  <c r="AD727"/>
  <c r="AE727"/>
  <c r="AF727"/>
  <c r="AG727"/>
  <c r="AH727"/>
  <c r="AI727"/>
  <c r="AJ727"/>
  <c r="AK727"/>
  <c r="C728"/>
  <c r="H728"/>
  <c r="I728"/>
  <c r="J728"/>
  <c r="K728"/>
  <c r="M728"/>
  <c r="P728"/>
  <c r="R728"/>
  <c r="S728"/>
  <c r="T728"/>
  <c r="U728"/>
  <c r="X728"/>
  <c r="Y728"/>
  <c r="Z728"/>
  <c r="AA728"/>
  <c r="AB728"/>
  <c r="AC728"/>
  <c r="AD728"/>
  <c r="AE728"/>
  <c r="AF728"/>
  <c r="AG728"/>
  <c r="AH728"/>
  <c r="AI728"/>
  <c r="AJ728"/>
  <c r="AK728"/>
  <c r="C729"/>
  <c r="H729"/>
  <c r="I729"/>
  <c r="J729"/>
  <c r="K729"/>
  <c r="M729"/>
  <c r="P729"/>
  <c r="R729"/>
  <c r="S729"/>
  <c r="T729"/>
  <c r="U729"/>
  <c r="X729"/>
  <c r="Y729"/>
  <c r="Z729"/>
  <c r="AA729"/>
  <c r="AB729"/>
  <c r="AC729"/>
  <c r="AD729"/>
  <c r="AE729"/>
  <c r="AF729"/>
  <c r="AG729"/>
  <c r="AH729"/>
  <c r="AI729"/>
  <c r="AJ729"/>
  <c r="AK729"/>
  <c r="C730"/>
  <c r="H730"/>
  <c r="I730"/>
  <c r="J730"/>
  <c r="K730"/>
  <c r="M730"/>
  <c r="P730"/>
  <c r="R730"/>
  <c r="S730"/>
  <c r="T730"/>
  <c r="U730"/>
  <c r="X730"/>
  <c r="Y730"/>
  <c r="Z730"/>
  <c r="AA730"/>
  <c r="AB730"/>
  <c r="AC730"/>
  <c r="AD730"/>
  <c r="AE730"/>
  <c r="AF730"/>
  <c r="AG730"/>
  <c r="AH730"/>
  <c r="AI730"/>
  <c r="AJ730"/>
  <c r="AK730"/>
  <c r="C731"/>
  <c r="H731"/>
  <c r="I731"/>
  <c r="J731"/>
  <c r="K731"/>
  <c r="M731"/>
  <c r="P731"/>
  <c r="R731"/>
  <c r="S731"/>
  <c r="T731"/>
  <c r="U731"/>
  <c r="X731"/>
  <c r="Y731"/>
  <c r="Z731"/>
  <c r="AA731"/>
  <c r="AB731"/>
  <c r="AC731"/>
  <c r="AD731"/>
  <c r="AE731"/>
  <c r="AF731"/>
  <c r="AG731"/>
  <c r="AH731"/>
  <c r="AI731"/>
  <c r="AJ731"/>
  <c r="AK731"/>
  <c r="C712"/>
  <c r="H712"/>
  <c r="I712"/>
  <c r="J712"/>
  <c r="K712"/>
  <c r="M712"/>
  <c r="P712"/>
  <c r="R712"/>
  <c r="S712"/>
  <c r="T712"/>
  <c r="U712"/>
  <c r="X712"/>
  <c r="Y712"/>
  <c r="Z712"/>
  <c r="AA712"/>
  <c r="AB712"/>
  <c r="AC712"/>
  <c r="AD712"/>
  <c r="AE712"/>
  <c r="AF712"/>
  <c r="AG712"/>
  <c r="AH712"/>
  <c r="AI712"/>
  <c r="AJ712"/>
  <c r="AK712"/>
  <c r="C713"/>
  <c r="H713"/>
  <c r="I713"/>
  <c r="J713"/>
  <c r="K713"/>
  <c r="M713"/>
  <c r="P713"/>
  <c r="R713"/>
  <c r="S713"/>
  <c r="T713"/>
  <c r="U713"/>
  <c r="X713"/>
  <c r="Y713"/>
  <c r="Z713"/>
  <c r="AA713"/>
  <c r="AB713"/>
  <c r="AC713"/>
  <c r="AD713"/>
  <c r="AE713"/>
  <c r="AF713"/>
  <c r="AG713"/>
  <c r="AH713"/>
  <c r="AI713"/>
  <c r="AJ713"/>
  <c r="AK713"/>
  <c r="C714"/>
  <c r="H714"/>
  <c r="I714"/>
  <c r="J714"/>
  <c r="K714"/>
  <c r="M714"/>
  <c r="P714"/>
  <c r="R714"/>
  <c r="S714"/>
  <c r="T714"/>
  <c r="U714"/>
  <c r="X714"/>
  <c r="Y714"/>
  <c r="Z714"/>
  <c r="AA714"/>
  <c r="AB714"/>
  <c r="AC714"/>
  <c r="AD714"/>
  <c r="AE714"/>
  <c r="AF714"/>
  <c r="AG714"/>
  <c r="AH714"/>
  <c r="AI714"/>
  <c r="AJ714"/>
  <c r="AK714"/>
  <c r="C715"/>
  <c r="H715"/>
  <c r="I715"/>
  <c r="J715"/>
  <c r="K715"/>
  <c r="M715"/>
  <c r="P715"/>
  <c r="R715"/>
  <c r="S715"/>
  <c r="T715"/>
  <c r="U715"/>
  <c r="X715"/>
  <c r="Y715"/>
  <c r="Z715"/>
  <c r="AA715"/>
  <c r="AB715"/>
  <c r="AC715"/>
  <c r="AD715"/>
  <c r="AE715"/>
  <c r="AF715"/>
  <c r="AG715"/>
  <c r="AH715"/>
  <c r="AI715"/>
  <c r="AJ715"/>
  <c r="AK715"/>
  <c r="C716"/>
  <c r="H716"/>
  <c r="I716"/>
  <c r="J716"/>
  <c r="K716"/>
  <c r="M716"/>
  <c r="P716"/>
  <c r="R716"/>
  <c r="S716"/>
  <c r="T716"/>
  <c r="U716"/>
  <c r="X716"/>
  <c r="Y716"/>
  <c r="Z716"/>
  <c r="AA716"/>
  <c r="AB716"/>
  <c r="AC716"/>
  <c r="AD716"/>
  <c r="AE716"/>
  <c r="AF716"/>
  <c r="AG716"/>
  <c r="AH716"/>
  <c r="AI716"/>
  <c r="AJ716"/>
  <c r="AK716"/>
  <c r="C717"/>
  <c r="H717"/>
  <c r="I717"/>
  <c r="J717"/>
  <c r="K717"/>
  <c r="M717"/>
  <c r="P717"/>
  <c r="R717"/>
  <c r="S717"/>
  <c r="T717"/>
  <c r="U717"/>
  <c r="X717"/>
  <c r="Y717"/>
  <c r="Z717"/>
  <c r="AA717"/>
  <c r="AB717"/>
  <c r="AC717"/>
  <c r="AD717"/>
  <c r="AE717"/>
  <c r="AF717"/>
  <c r="AG717"/>
  <c r="AH717"/>
  <c r="AI717"/>
  <c r="AJ717"/>
  <c r="AK717"/>
  <c r="C718"/>
  <c r="H718"/>
  <c r="I718"/>
  <c r="J718"/>
  <c r="K718"/>
  <c r="M718"/>
  <c r="P718"/>
  <c r="R718"/>
  <c r="S718"/>
  <c r="T718"/>
  <c r="U718"/>
  <c r="X718"/>
  <c r="Y718"/>
  <c r="Z718"/>
  <c r="AA718"/>
  <c r="AB718"/>
  <c r="AC718"/>
  <c r="AD718"/>
  <c r="AE718"/>
  <c r="AF718"/>
  <c r="AG718"/>
  <c r="AH718"/>
  <c r="AI718"/>
  <c r="AJ718"/>
  <c r="AK718"/>
  <c r="C719"/>
  <c r="H719"/>
  <c r="I719"/>
  <c r="J719"/>
  <c r="K719"/>
  <c r="M719"/>
  <c r="P719"/>
  <c r="R719"/>
  <c r="S719"/>
  <c r="T719"/>
  <c r="U719"/>
  <c r="X719"/>
  <c r="Y719"/>
  <c r="Z719"/>
  <c r="AA719"/>
  <c r="AB719"/>
  <c r="AC719"/>
  <c r="AD719"/>
  <c r="AE719"/>
  <c r="AF719"/>
  <c r="AG719"/>
  <c r="AH719"/>
  <c r="AI719"/>
  <c r="AJ719"/>
  <c r="AK719"/>
  <c r="C720"/>
  <c r="H720"/>
  <c r="I720"/>
  <c r="J720"/>
  <c r="K720"/>
  <c r="M720"/>
  <c r="P720"/>
  <c r="R720"/>
  <c r="S720"/>
  <c r="T720"/>
  <c r="U720"/>
  <c r="X720"/>
  <c r="Y720"/>
  <c r="Z720"/>
  <c r="AA720"/>
  <c r="AB720"/>
  <c r="AC720"/>
  <c r="AD720"/>
  <c r="AE720"/>
  <c r="AF720"/>
  <c r="AG720"/>
  <c r="AH720"/>
  <c r="AI720"/>
  <c r="AJ720"/>
  <c r="AK720"/>
  <c r="C721"/>
  <c r="H721"/>
  <c r="I721"/>
  <c r="J721"/>
  <c r="K721"/>
  <c r="M721"/>
  <c r="P721"/>
  <c r="R721"/>
  <c r="S721"/>
  <c r="T721"/>
  <c r="U721"/>
  <c r="X721"/>
  <c r="Y721"/>
  <c r="Z721"/>
  <c r="AA721"/>
  <c r="AB721"/>
  <c r="AC721"/>
  <c r="AD721"/>
  <c r="AE721"/>
  <c r="AF721"/>
  <c r="AG721"/>
  <c r="AH721"/>
  <c r="AI721"/>
  <c r="AJ721"/>
  <c r="AK721"/>
  <c r="C702"/>
  <c r="H702"/>
  <c r="I702"/>
  <c r="J702"/>
  <c r="K702"/>
  <c r="M702"/>
  <c r="P702"/>
  <c r="R702"/>
  <c r="S702"/>
  <c r="T702"/>
  <c r="U702"/>
  <c r="X702"/>
  <c r="Y702"/>
  <c r="Z702"/>
  <c r="AA702"/>
  <c r="AB702"/>
  <c r="AC702"/>
  <c r="AD702"/>
  <c r="AE702"/>
  <c r="AF702"/>
  <c r="AG702"/>
  <c r="AH702"/>
  <c r="AI702"/>
  <c r="AJ702"/>
  <c r="AK702"/>
  <c r="C703"/>
  <c r="H703"/>
  <c r="I703"/>
  <c r="J703"/>
  <c r="K703"/>
  <c r="M703"/>
  <c r="P703"/>
  <c r="R703"/>
  <c r="S703"/>
  <c r="T703"/>
  <c r="U703"/>
  <c r="X703"/>
  <c r="Y703"/>
  <c r="Z703"/>
  <c r="AA703"/>
  <c r="AB703"/>
  <c r="AC703"/>
  <c r="AD703"/>
  <c r="AE703"/>
  <c r="AF703"/>
  <c r="AG703"/>
  <c r="AH703"/>
  <c r="AI703"/>
  <c r="AJ703"/>
  <c r="AK703"/>
  <c r="C704"/>
  <c r="H704"/>
  <c r="I704"/>
  <c r="J704"/>
  <c r="K704"/>
  <c r="M704"/>
  <c r="P704"/>
  <c r="R704"/>
  <c r="S704"/>
  <c r="T704"/>
  <c r="U704"/>
  <c r="X704"/>
  <c r="Y704"/>
  <c r="Z704"/>
  <c r="AA704"/>
  <c r="AB704"/>
  <c r="AC704"/>
  <c r="AD704"/>
  <c r="AE704"/>
  <c r="AF704"/>
  <c r="AG704"/>
  <c r="AH704"/>
  <c r="AI704"/>
  <c r="AJ704"/>
  <c r="AK704"/>
  <c r="C705"/>
  <c r="H705"/>
  <c r="I705"/>
  <c r="J705"/>
  <c r="K705"/>
  <c r="M705"/>
  <c r="P705"/>
  <c r="R705"/>
  <c r="S705"/>
  <c r="T705"/>
  <c r="U705"/>
  <c r="X705"/>
  <c r="Y705"/>
  <c r="Z705"/>
  <c r="AA705"/>
  <c r="AB705"/>
  <c r="AC705"/>
  <c r="AD705"/>
  <c r="AE705"/>
  <c r="AF705"/>
  <c r="AG705"/>
  <c r="AH705"/>
  <c r="AI705"/>
  <c r="AJ705"/>
  <c r="AK705"/>
  <c r="C706"/>
  <c r="H706"/>
  <c r="I706"/>
  <c r="J706"/>
  <c r="K706"/>
  <c r="M706"/>
  <c r="P706"/>
  <c r="R706"/>
  <c r="S706"/>
  <c r="T706"/>
  <c r="U706"/>
  <c r="X706"/>
  <c r="Y706"/>
  <c r="Z706"/>
  <c r="AA706"/>
  <c r="AB706"/>
  <c r="AC706"/>
  <c r="AD706"/>
  <c r="AE706"/>
  <c r="AF706"/>
  <c r="AG706"/>
  <c r="AH706"/>
  <c r="AI706"/>
  <c r="AJ706"/>
  <c r="AK706"/>
  <c r="C707"/>
  <c r="H707"/>
  <c r="I707"/>
  <c r="J707"/>
  <c r="K707"/>
  <c r="M707"/>
  <c r="P707"/>
  <c r="R707"/>
  <c r="S707"/>
  <c r="T707"/>
  <c r="U707"/>
  <c r="X707"/>
  <c r="Y707"/>
  <c r="Z707"/>
  <c r="AA707"/>
  <c r="AB707"/>
  <c r="AC707"/>
  <c r="AD707"/>
  <c r="AE707"/>
  <c r="AF707"/>
  <c r="AG707"/>
  <c r="AH707"/>
  <c r="AI707"/>
  <c r="AJ707"/>
  <c r="AK707"/>
  <c r="C708"/>
  <c r="H708"/>
  <c r="I708"/>
  <c r="J708"/>
  <c r="K708"/>
  <c r="M708"/>
  <c r="P708"/>
  <c r="R708"/>
  <c r="S708"/>
  <c r="T708"/>
  <c r="U708"/>
  <c r="X708"/>
  <c r="Y708"/>
  <c r="Z708"/>
  <c r="AA708"/>
  <c r="AB708"/>
  <c r="AC708"/>
  <c r="AD708"/>
  <c r="AE708"/>
  <c r="AF708"/>
  <c r="AG708"/>
  <c r="AH708"/>
  <c r="AI708"/>
  <c r="AJ708"/>
  <c r="AK708"/>
  <c r="C709"/>
  <c r="H709"/>
  <c r="I709"/>
  <c r="J709"/>
  <c r="K709"/>
  <c r="M709"/>
  <c r="P709"/>
  <c r="R709"/>
  <c r="S709"/>
  <c r="T709"/>
  <c r="U709"/>
  <c r="X709"/>
  <c r="Y709"/>
  <c r="Z709"/>
  <c r="AA709"/>
  <c r="AB709"/>
  <c r="AC709"/>
  <c r="AD709"/>
  <c r="AE709"/>
  <c r="AF709"/>
  <c r="AG709"/>
  <c r="AH709"/>
  <c r="AI709"/>
  <c r="AJ709"/>
  <c r="AK709"/>
  <c r="C710"/>
  <c r="H710"/>
  <c r="I710"/>
  <c r="J710"/>
  <c r="K710"/>
  <c r="M710"/>
  <c r="P710"/>
  <c r="R710"/>
  <c r="S710"/>
  <c r="T710"/>
  <c r="U710"/>
  <c r="X710"/>
  <c r="Y710"/>
  <c r="Z710"/>
  <c r="AA710"/>
  <c r="AB710"/>
  <c r="AC710"/>
  <c r="AD710"/>
  <c r="AE710"/>
  <c r="AF710"/>
  <c r="AG710"/>
  <c r="AH710"/>
  <c r="AI710"/>
  <c r="AJ710"/>
  <c r="AK710"/>
  <c r="C711"/>
  <c r="H711"/>
  <c r="I711"/>
  <c r="J711"/>
  <c r="K711"/>
  <c r="M711"/>
  <c r="P711"/>
  <c r="R711"/>
  <c r="S711"/>
  <c r="T711"/>
  <c r="U711"/>
  <c r="X711"/>
  <c r="Y711"/>
  <c r="Z711"/>
  <c r="AA711"/>
  <c r="AB711"/>
  <c r="AC711"/>
  <c r="AD711"/>
  <c r="AE711"/>
  <c r="AF711"/>
  <c r="AG711"/>
  <c r="AH711"/>
  <c r="AI711"/>
  <c r="AJ711"/>
  <c r="AK711"/>
  <c r="C692"/>
  <c r="H692"/>
  <c r="I692"/>
  <c r="J692"/>
  <c r="K692"/>
  <c r="M692"/>
  <c r="P692"/>
  <c r="R692"/>
  <c r="S692"/>
  <c r="T692"/>
  <c r="U692"/>
  <c r="X692"/>
  <c r="Y692"/>
  <c r="Z692"/>
  <c r="AA692"/>
  <c r="AB692"/>
  <c r="AC692"/>
  <c r="AD692"/>
  <c r="AE692"/>
  <c r="AF692"/>
  <c r="AG692"/>
  <c r="AH692"/>
  <c r="AI692"/>
  <c r="AJ692"/>
  <c r="AK692"/>
  <c r="C693"/>
  <c r="H693"/>
  <c r="I693"/>
  <c r="J693"/>
  <c r="K693"/>
  <c r="M693"/>
  <c r="P693"/>
  <c r="R693"/>
  <c r="S693"/>
  <c r="T693"/>
  <c r="U693"/>
  <c r="X693"/>
  <c r="Y693"/>
  <c r="Z693"/>
  <c r="AA693"/>
  <c r="AB693"/>
  <c r="AC693"/>
  <c r="AD693"/>
  <c r="AE693"/>
  <c r="AF693"/>
  <c r="AG693"/>
  <c r="AH693"/>
  <c r="AI693"/>
  <c r="AJ693"/>
  <c r="AK693"/>
  <c r="C694"/>
  <c r="H694"/>
  <c r="I694"/>
  <c r="J694"/>
  <c r="K694"/>
  <c r="M694"/>
  <c r="P694"/>
  <c r="R694"/>
  <c r="S694"/>
  <c r="T694"/>
  <c r="U694"/>
  <c r="X694"/>
  <c r="Y694"/>
  <c r="Z694"/>
  <c r="AA694"/>
  <c r="AB694"/>
  <c r="AC694"/>
  <c r="AD694"/>
  <c r="AE694"/>
  <c r="AF694"/>
  <c r="AG694"/>
  <c r="AH694"/>
  <c r="AI694"/>
  <c r="AJ694"/>
  <c r="AK694"/>
  <c r="C695"/>
  <c r="H695"/>
  <c r="I695"/>
  <c r="J695"/>
  <c r="K695"/>
  <c r="M695"/>
  <c r="P695"/>
  <c r="R695"/>
  <c r="S695"/>
  <c r="T695"/>
  <c r="U695"/>
  <c r="X695"/>
  <c r="Y695"/>
  <c r="Z695"/>
  <c r="AA695"/>
  <c r="AB695"/>
  <c r="AC695"/>
  <c r="AD695"/>
  <c r="AE695"/>
  <c r="AF695"/>
  <c r="AG695"/>
  <c r="AH695"/>
  <c r="AI695"/>
  <c r="AJ695"/>
  <c r="AK695"/>
  <c r="C696"/>
  <c r="H696"/>
  <c r="I696"/>
  <c r="J696"/>
  <c r="K696"/>
  <c r="M696"/>
  <c r="P696"/>
  <c r="R696"/>
  <c r="S696"/>
  <c r="T696"/>
  <c r="U696"/>
  <c r="X696"/>
  <c r="Y696"/>
  <c r="Z696"/>
  <c r="AA696"/>
  <c r="AB696"/>
  <c r="AC696"/>
  <c r="AD696"/>
  <c r="AE696"/>
  <c r="AF696"/>
  <c r="AG696"/>
  <c r="AH696"/>
  <c r="AI696"/>
  <c r="AJ696"/>
  <c r="AK696"/>
  <c r="C697"/>
  <c r="H697"/>
  <c r="I697"/>
  <c r="J697"/>
  <c r="K697"/>
  <c r="M697"/>
  <c r="P697"/>
  <c r="R697"/>
  <c r="S697"/>
  <c r="T697"/>
  <c r="U697"/>
  <c r="X697"/>
  <c r="Y697"/>
  <c r="Z697"/>
  <c r="AA697"/>
  <c r="AB697"/>
  <c r="AC697"/>
  <c r="AD697"/>
  <c r="AE697"/>
  <c r="AF697"/>
  <c r="AG697"/>
  <c r="AH697"/>
  <c r="AI697"/>
  <c r="AJ697"/>
  <c r="AK697"/>
  <c r="C698"/>
  <c r="H698"/>
  <c r="I698"/>
  <c r="J698"/>
  <c r="K698"/>
  <c r="M698"/>
  <c r="P698"/>
  <c r="R698"/>
  <c r="S698"/>
  <c r="T698"/>
  <c r="U698"/>
  <c r="X698"/>
  <c r="Y698"/>
  <c r="Z698"/>
  <c r="AA698"/>
  <c r="AB698"/>
  <c r="AC698"/>
  <c r="AD698"/>
  <c r="AE698"/>
  <c r="AF698"/>
  <c r="AG698"/>
  <c r="AH698"/>
  <c r="AI698"/>
  <c r="AJ698"/>
  <c r="AK698"/>
  <c r="C699"/>
  <c r="H699"/>
  <c r="I699"/>
  <c r="J699"/>
  <c r="K699"/>
  <c r="M699"/>
  <c r="P699"/>
  <c r="R699"/>
  <c r="S699"/>
  <c r="T699"/>
  <c r="U699"/>
  <c r="X699"/>
  <c r="Y699"/>
  <c r="Z699"/>
  <c r="AA699"/>
  <c r="AB699"/>
  <c r="AC699"/>
  <c r="AD699"/>
  <c r="AE699"/>
  <c r="AF699"/>
  <c r="AG699"/>
  <c r="AH699"/>
  <c r="AI699"/>
  <c r="AJ699"/>
  <c r="AK699"/>
  <c r="C700"/>
  <c r="H700"/>
  <c r="I700"/>
  <c r="J700"/>
  <c r="K700"/>
  <c r="M700"/>
  <c r="P700"/>
  <c r="R700"/>
  <c r="S700"/>
  <c r="T700"/>
  <c r="U700"/>
  <c r="X700"/>
  <c r="Y700"/>
  <c r="Z700"/>
  <c r="AA700"/>
  <c r="AB700"/>
  <c r="AC700"/>
  <c r="AD700"/>
  <c r="AE700"/>
  <c r="AF700"/>
  <c r="AG700"/>
  <c r="AH700"/>
  <c r="AI700"/>
  <c r="AJ700"/>
  <c r="AK700"/>
  <c r="C701"/>
  <c r="H701"/>
  <c r="I701"/>
  <c r="J701"/>
  <c r="K701"/>
  <c r="M701"/>
  <c r="P701"/>
  <c r="R701"/>
  <c r="S701"/>
  <c r="T701"/>
  <c r="U701"/>
  <c r="X701"/>
  <c r="Y701"/>
  <c r="Z701"/>
  <c r="AA701"/>
  <c r="AB701"/>
  <c r="AC701"/>
  <c r="AD701"/>
  <c r="AE701"/>
  <c r="AF701"/>
  <c r="AG701"/>
  <c r="AH701"/>
  <c r="AI701"/>
  <c r="AJ701"/>
  <c r="AK701"/>
  <c r="C682"/>
  <c r="H682"/>
  <c r="I682"/>
  <c r="J682"/>
  <c r="K682"/>
  <c r="M682"/>
  <c r="P682"/>
  <c r="R682"/>
  <c r="S682"/>
  <c r="T682"/>
  <c r="U682"/>
  <c r="X682"/>
  <c r="Y682"/>
  <c r="Z682"/>
  <c r="AA682"/>
  <c r="AB682"/>
  <c r="AC682"/>
  <c r="AD682"/>
  <c r="AE682"/>
  <c r="AF682"/>
  <c r="AG682"/>
  <c r="AH682"/>
  <c r="AI682"/>
  <c r="AJ682"/>
  <c r="AK682"/>
  <c r="C683"/>
  <c r="H683"/>
  <c r="I683"/>
  <c r="J683"/>
  <c r="K683"/>
  <c r="M683"/>
  <c r="P683"/>
  <c r="R683"/>
  <c r="S683"/>
  <c r="T683"/>
  <c r="U683"/>
  <c r="X683"/>
  <c r="Y683"/>
  <c r="Z683"/>
  <c r="AA683"/>
  <c r="AB683"/>
  <c r="AC683"/>
  <c r="AD683"/>
  <c r="AE683"/>
  <c r="AF683"/>
  <c r="AG683"/>
  <c r="AH683"/>
  <c r="AI683"/>
  <c r="AJ683"/>
  <c r="AK683"/>
  <c r="C684"/>
  <c r="H684"/>
  <c r="I684"/>
  <c r="J684"/>
  <c r="K684"/>
  <c r="M684"/>
  <c r="P684"/>
  <c r="R684"/>
  <c r="S684"/>
  <c r="T684"/>
  <c r="U684"/>
  <c r="X684"/>
  <c r="Y684"/>
  <c r="Z684"/>
  <c r="AA684"/>
  <c r="AB684"/>
  <c r="AC684"/>
  <c r="AD684"/>
  <c r="AE684"/>
  <c r="AF684"/>
  <c r="AG684"/>
  <c r="AH684"/>
  <c r="AI684"/>
  <c r="AJ684"/>
  <c r="AK684"/>
  <c r="C685"/>
  <c r="H685"/>
  <c r="I685"/>
  <c r="J685"/>
  <c r="K685"/>
  <c r="M685"/>
  <c r="P685"/>
  <c r="R685"/>
  <c r="S685"/>
  <c r="T685"/>
  <c r="U685"/>
  <c r="X685"/>
  <c r="Y685"/>
  <c r="Z685"/>
  <c r="AA685"/>
  <c r="AB685"/>
  <c r="AC685"/>
  <c r="AD685"/>
  <c r="AE685"/>
  <c r="AF685"/>
  <c r="AG685"/>
  <c r="AH685"/>
  <c r="AI685"/>
  <c r="AJ685"/>
  <c r="AK685"/>
  <c r="C686"/>
  <c r="H686"/>
  <c r="I686"/>
  <c r="J686"/>
  <c r="K686"/>
  <c r="M686"/>
  <c r="P686"/>
  <c r="R686"/>
  <c r="S686"/>
  <c r="T686"/>
  <c r="U686"/>
  <c r="X686"/>
  <c r="Y686"/>
  <c r="Z686"/>
  <c r="AA686"/>
  <c r="AB686"/>
  <c r="AC686"/>
  <c r="AD686"/>
  <c r="AE686"/>
  <c r="AF686"/>
  <c r="AG686"/>
  <c r="AH686"/>
  <c r="AI686"/>
  <c r="AJ686"/>
  <c r="AK686"/>
  <c r="C687"/>
  <c r="H687"/>
  <c r="I687"/>
  <c r="J687"/>
  <c r="K687"/>
  <c r="M687"/>
  <c r="P687"/>
  <c r="R687"/>
  <c r="S687"/>
  <c r="T687"/>
  <c r="U687"/>
  <c r="X687"/>
  <c r="Y687"/>
  <c r="Z687"/>
  <c r="AA687"/>
  <c r="AB687"/>
  <c r="AC687"/>
  <c r="AD687"/>
  <c r="AE687"/>
  <c r="AF687"/>
  <c r="AG687"/>
  <c r="AH687"/>
  <c r="AI687"/>
  <c r="AJ687"/>
  <c r="AK687"/>
  <c r="C688"/>
  <c r="H688"/>
  <c r="I688"/>
  <c r="J688"/>
  <c r="K688"/>
  <c r="M688"/>
  <c r="P688"/>
  <c r="R688"/>
  <c r="S688"/>
  <c r="T688"/>
  <c r="U688"/>
  <c r="X688"/>
  <c r="Y688"/>
  <c r="Z688"/>
  <c r="AA688"/>
  <c r="AB688"/>
  <c r="AC688"/>
  <c r="AD688"/>
  <c r="AE688"/>
  <c r="AF688"/>
  <c r="AG688"/>
  <c r="AH688"/>
  <c r="AI688"/>
  <c r="AJ688"/>
  <c r="AK688"/>
  <c r="C689"/>
  <c r="H689"/>
  <c r="I689"/>
  <c r="J689"/>
  <c r="K689"/>
  <c r="M689"/>
  <c r="P689"/>
  <c r="R689"/>
  <c r="S689"/>
  <c r="T689"/>
  <c r="U689"/>
  <c r="X689"/>
  <c r="Y689"/>
  <c r="Z689"/>
  <c r="AA689"/>
  <c r="AB689"/>
  <c r="AC689"/>
  <c r="AD689"/>
  <c r="AE689"/>
  <c r="AF689"/>
  <c r="AG689"/>
  <c r="AH689"/>
  <c r="AI689"/>
  <c r="AJ689"/>
  <c r="AK689"/>
  <c r="C690"/>
  <c r="H690"/>
  <c r="I690"/>
  <c r="J690"/>
  <c r="K690"/>
  <c r="M690"/>
  <c r="P690"/>
  <c r="R690"/>
  <c r="S690"/>
  <c r="T690"/>
  <c r="U690"/>
  <c r="X690"/>
  <c r="Y690"/>
  <c r="Z690"/>
  <c r="AA690"/>
  <c r="AB690"/>
  <c r="AC690"/>
  <c r="AD690"/>
  <c r="AE690"/>
  <c r="AF690"/>
  <c r="AG690"/>
  <c r="AH690"/>
  <c r="AI690"/>
  <c r="AJ690"/>
  <c r="AK690"/>
  <c r="C691"/>
  <c r="H691"/>
  <c r="I691"/>
  <c r="J691"/>
  <c r="K691"/>
  <c r="M691"/>
  <c r="P691"/>
  <c r="R691"/>
  <c r="S691"/>
  <c r="T691"/>
  <c r="U691"/>
  <c r="X691"/>
  <c r="Y691"/>
  <c r="Z691"/>
  <c r="AA691"/>
  <c r="AB691"/>
  <c r="AC691"/>
  <c r="AD691"/>
  <c r="AE691"/>
  <c r="AF691"/>
  <c r="AG691"/>
  <c r="AH691"/>
  <c r="AI691"/>
  <c r="AJ691"/>
  <c r="AK691"/>
  <c r="C672"/>
  <c r="H672"/>
  <c r="I672"/>
  <c r="J672"/>
  <c r="K672"/>
  <c r="M672"/>
  <c r="P672"/>
  <c r="R672"/>
  <c r="S672"/>
  <c r="T672"/>
  <c r="U672"/>
  <c r="X672"/>
  <c r="Y672"/>
  <c r="Z672"/>
  <c r="AA672"/>
  <c r="AB672"/>
  <c r="AC672"/>
  <c r="AD672"/>
  <c r="AE672"/>
  <c r="AF672"/>
  <c r="AG672"/>
  <c r="AH672"/>
  <c r="AI672"/>
  <c r="AJ672"/>
  <c r="AK672"/>
  <c r="C673"/>
  <c r="H673"/>
  <c r="I673"/>
  <c r="J673"/>
  <c r="K673"/>
  <c r="M673"/>
  <c r="P673"/>
  <c r="R673"/>
  <c r="S673"/>
  <c r="T673"/>
  <c r="U673"/>
  <c r="X673"/>
  <c r="Y673"/>
  <c r="Z673"/>
  <c r="AA673"/>
  <c r="AB673"/>
  <c r="AC673"/>
  <c r="AD673"/>
  <c r="AE673"/>
  <c r="AF673"/>
  <c r="AG673"/>
  <c r="AH673"/>
  <c r="AI673"/>
  <c r="AJ673"/>
  <c r="AK673"/>
  <c r="C674"/>
  <c r="H674"/>
  <c r="I674"/>
  <c r="J674"/>
  <c r="K674"/>
  <c r="M674"/>
  <c r="P674"/>
  <c r="R674"/>
  <c r="S674"/>
  <c r="T674"/>
  <c r="U674"/>
  <c r="X674"/>
  <c r="Y674"/>
  <c r="Z674"/>
  <c r="AA674"/>
  <c r="AB674"/>
  <c r="AC674"/>
  <c r="AD674"/>
  <c r="AE674"/>
  <c r="AF674"/>
  <c r="AG674"/>
  <c r="AH674"/>
  <c r="AI674"/>
  <c r="AJ674"/>
  <c r="AK674"/>
  <c r="C675"/>
  <c r="H675"/>
  <c r="I675"/>
  <c r="J675"/>
  <c r="K675"/>
  <c r="M675"/>
  <c r="P675"/>
  <c r="R675"/>
  <c r="S675"/>
  <c r="T675"/>
  <c r="U675"/>
  <c r="X675"/>
  <c r="Y675"/>
  <c r="Z675"/>
  <c r="AA675"/>
  <c r="AB675"/>
  <c r="AC675"/>
  <c r="AD675"/>
  <c r="AE675"/>
  <c r="AF675"/>
  <c r="AG675"/>
  <c r="AH675"/>
  <c r="AI675"/>
  <c r="AJ675"/>
  <c r="AK675"/>
  <c r="C676"/>
  <c r="H676"/>
  <c r="I676"/>
  <c r="J676"/>
  <c r="K676"/>
  <c r="M676"/>
  <c r="P676"/>
  <c r="R676"/>
  <c r="S676"/>
  <c r="T676"/>
  <c r="U676"/>
  <c r="X676"/>
  <c r="Y676"/>
  <c r="Z676"/>
  <c r="AA676"/>
  <c r="AB676"/>
  <c r="AC676"/>
  <c r="AD676"/>
  <c r="AE676"/>
  <c r="AF676"/>
  <c r="AG676"/>
  <c r="AH676"/>
  <c r="AI676"/>
  <c r="AJ676"/>
  <c r="AK676"/>
  <c r="C677"/>
  <c r="H677"/>
  <c r="I677"/>
  <c r="J677"/>
  <c r="K677"/>
  <c r="M677"/>
  <c r="P677"/>
  <c r="R677"/>
  <c r="S677"/>
  <c r="T677"/>
  <c r="U677"/>
  <c r="X677"/>
  <c r="Y677"/>
  <c r="Z677"/>
  <c r="AA677"/>
  <c r="AB677"/>
  <c r="AC677"/>
  <c r="AD677"/>
  <c r="AE677"/>
  <c r="AF677"/>
  <c r="AG677"/>
  <c r="AH677"/>
  <c r="AI677"/>
  <c r="AJ677"/>
  <c r="AK677"/>
  <c r="C678"/>
  <c r="H678"/>
  <c r="I678"/>
  <c r="J678"/>
  <c r="K678"/>
  <c r="M678"/>
  <c r="P678"/>
  <c r="R678"/>
  <c r="S678"/>
  <c r="T678"/>
  <c r="U678"/>
  <c r="X678"/>
  <c r="Y678"/>
  <c r="Z678"/>
  <c r="AA678"/>
  <c r="AB678"/>
  <c r="AC678"/>
  <c r="AD678"/>
  <c r="AE678"/>
  <c r="AF678"/>
  <c r="AG678"/>
  <c r="AH678"/>
  <c r="AI678"/>
  <c r="AJ678"/>
  <c r="AK678"/>
  <c r="C679"/>
  <c r="H679"/>
  <c r="I679"/>
  <c r="J679"/>
  <c r="K679"/>
  <c r="M679"/>
  <c r="P679"/>
  <c r="R679"/>
  <c r="S679"/>
  <c r="T679"/>
  <c r="U679"/>
  <c r="X679"/>
  <c r="Y679"/>
  <c r="Z679"/>
  <c r="AA679"/>
  <c r="AB679"/>
  <c r="AC679"/>
  <c r="AD679"/>
  <c r="AE679"/>
  <c r="AF679"/>
  <c r="AG679"/>
  <c r="AH679"/>
  <c r="AI679"/>
  <c r="AJ679"/>
  <c r="AK679"/>
  <c r="C680"/>
  <c r="H680"/>
  <c r="I680"/>
  <c r="J680"/>
  <c r="K680"/>
  <c r="M680"/>
  <c r="P680"/>
  <c r="R680"/>
  <c r="S680"/>
  <c r="T680"/>
  <c r="U680"/>
  <c r="X680"/>
  <c r="Y680"/>
  <c r="Z680"/>
  <c r="AA680"/>
  <c r="AB680"/>
  <c r="AC680"/>
  <c r="AD680"/>
  <c r="AE680"/>
  <c r="AF680"/>
  <c r="AG680"/>
  <c r="AH680"/>
  <c r="AI680"/>
  <c r="AJ680"/>
  <c r="AK680"/>
  <c r="C681"/>
  <c r="H681"/>
  <c r="I681"/>
  <c r="J681"/>
  <c r="K681"/>
  <c r="M681"/>
  <c r="P681"/>
  <c r="R681"/>
  <c r="S681"/>
  <c r="T681"/>
  <c r="U681"/>
  <c r="X681"/>
  <c r="Y681"/>
  <c r="Z681"/>
  <c r="AA681"/>
  <c r="AB681"/>
  <c r="AC681"/>
  <c r="AD681"/>
  <c r="AE681"/>
  <c r="AF681"/>
  <c r="AG681"/>
  <c r="AH681"/>
  <c r="AI681"/>
  <c r="AJ681"/>
  <c r="AK681"/>
  <c r="C662"/>
  <c r="H662"/>
  <c r="I662"/>
  <c r="J662"/>
  <c r="K662"/>
  <c r="M662"/>
  <c r="P662"/>
  <c r="R662"/>
  <c r="S662"/>
  <c r="T662"/>
  <c r="U662"/>
  <c r="X662"/>
  <c r="Y662"/>
  <c r="Z662"/>
  <c r="AA662"/>
  <c r="AB662"/>
  <c r="AC662"/>
  <c r="AD662"/>
  <c r="AE662"/>
  <c r="AF662"/>
  <c r="AG662"/>
  <c r="AH662"/>
  <c r="AI662"/>
  <c r="AJ662"/>
  <c r="AK662"/>
  <c r="C663"/>
  <c r="H663"/>
  <c r="I663"/>
  <c r="J663"/>
  <c r="K663"/>
  <c r="M663"/>
  <c r="P663"/>
  <c r="R663"/>
  <c r="S663"/>
  <c r="T663"/>
  <c r="U663"/>
  <c r="X663"/>
  <c r="Y663"/>
  <c r="Z663"/>
  <c r="AA663"/>
  <c r="AB663"/>
  <c r="AC663"/>
  <c r="AD663"/>
  <c r="AE663"/>
  <c r="AF663"/>
  <c r="AG663"/>
  <c r="AH663"/>
  <c r="AI663"/>
  <c r="AJ663"/>
  <c r="AK663"/>
  <c r="C664"/>
  <c r="H664"/>
  <c r="I664"/>
  <c r="J664"/>
  <c r="K664"/>
  <c r="M664"/>
  <c r="P664"/>
  <c r="R664"/>
  <c r="S664"/>
  <c r="T664"/>
  <c r="U664"/>
  <c r="X664"/>
  <c r="Y664"/>
  <c r="Z664"/>
  <c r="AA664"/>
  <c r="AB664"/>
  <c r="AC664"/>
  <c r="AD664"/>
  <c r="AE664"/>
  <c r="AF664"/>
  <c r="AG664"/>
  <c r="AH664"/>
  <c r="AI664"/>
  <c r="AJ664"/>
  <c r="AK664"/>
  <c r="C665"/>
  <c r="H665"/>
  <c r="I665"/>
  <c r="J665"/>
  <c r="K665"/>
  <c r="M665"/>
  <c r="P665"/>
  <c r="R665"/>
  <c r="S665"/>
  <c r="T665"/>
  <c r="U665"/>
  <c r="X665"/>
  <c r="Y665"/>
  <c r="Z665"/>
  <c r="AA665"/>
  <c r="AB665"/>
  <c r="AC665"/>
  <c r="AD665"/>
  <c r="AE665"/>
  <c r="AF665"/>
  <c r="AG665"/>
  <c r="AH665"/>
  <c r="AI665"/>
  <c r="AJ665"/>
  <c r="AK665"/>
  <c r="C666"/>
  <c r="H666"/>
  <c r="I666"/>
  <c r="J666"/>
  <c r="K666"/>
  <c r="M666"/>
  <c r="P666"/>
  <c r="R666"/>
  <c r="S666"/>
  <c r="T666"/>
  <c r="U666"/>
  <c r="X666"/>
  <c r="Y666"/>
  <c r="Z666"/>
  <c r="AA666"/>
  <c r="AB666"/>
  <c r="AC666"/>
  <c r="AD666"/>
  <c r="AE666"/>
  <c r="AF666"/>
  <c r="AG666"/>
  <c r="AH666"/>
  <c r="AI666"/>
  <c r="AJ666"/>
  <c r="AK666"/>
  <c r="C667"/>
  <c r="H667"/>
  <c r="I667"/>
  <c r="J667"/>
  <c r="K667"/>
  <c r="M667"/>
  <c r="P667"/>
  <c r="R667"/>
  <c r="S667"/>
  <c r="T667"/>
  <c r="U667"/>
  <c r="X667"/>
  <c r="Y667"/>
  <c r="Z667"/>
  <c r="AA667"/>
  <c r="AB667"/>
  <c r="AC667"/>
  <c r="AD667"/>
  <c r="AE667"/>
  <c r="AF667"/>
  <c r="AG667"/>
  <c r="AH667"/>
  <c r="AI667"/>
  <c r="AJ667"/>
  <c r="AK667"/>
  <c r="C668"/>
  <c r="H668"/>
  <c r="I668"/>
  <c r="J668"/>
  <c r="K668"/>
  <c r="M668"/>
  <c r="P668"/>
  <c r="R668"/>
  <c r="S668"/>
  <c r="T668"/>
  <c r="U668"/>
  <c r="X668"/>
  <c r="Y668"/>
  <c r="Z668"/>
  <c r="AA668"/>
  <c r="AB668"/>
  <c r="AC668"/>
  <c r="AD668"/>
  <c r="AE668"/>
  <c r="AF668"/>
  <c r="AG668"/>
  <c r="AH668"/>
  <c r="AI668"/>
  <c r="AJ668"/>
  <c r="AK668"/>
  <c r="C669"/>
  <c r="H669"/>
  <c r="I669"/>
  <c r="J669"/>
  <c r="K669"/>
  <c r="M669"/>
  <c r="P669"/>
  <c r="R669"/>
  <c r="S669"/>
  <c r="T669"/>
  <c r="U669"/>
  <c r="X669"/>
  <c r="Y669"/>
  <c r="Z669"/>
  <c r="AA669"/>
  <c r="AB669"/>
  <c r="AC669"/>
  <c r="AD669"/>
  <c r="AE669"/>
  <c r="AF669"/>
  <c r="AG669"/>
  <c r="AH669"/>
  <c r="AI669"/>
  <c r="AJ669"/>
  <c r="AK669"/>
  <c r="C670"/>
  <c r="H670"/>
  <c r="I670"/>
  <c r="J670"/>
  <c r="K670"/>
  <c r="M670"/>
  <c r="P670"/>
  <c r="R670"/>
  <c r="S670"/>
  <c r="T670"/>
  <c r="U670"/>
  <c r="X670"/>
  <c r="Y670"/>
  <c r="Z670"/>
  <c r="AA670"/>
  <c r="AB670"/>
  <c r="AC670"/>
  <c r="AD670"/>
  <c r="AE670"/>
  <c r="AF670"/>
  <c r="AG670"/>
  <c r="AH670"/>
  <c r="AI670"/>
  <c r="AJ670"/>
  <c r="AK670"/>
  <c r="C671"/>
  <c r="H671"/>
  <c r="I671"/>
  <c r="J671"/>
  <c r="K671"/>
  <c r="M671"/>
  <c r="P671"/>
  <c r="R671"/>
  <c r="S671"/>
  <c r="T671"/>
  <c r="U671"/>
  <c r="X671"/>
  <c r="Y671"/>
  <c r="Z671"/>
  <c r="AA671"/>
  <c r="AB671"/>
  <c r="AC671"/>
  <c r="AD671"/>
  <c r="AE671"/>
  <c r="AF671"/>
  <c r="AG671"/>
  <c r="AH671"/>
  <c r="AI671"/>
  <c r="AJ671"/>
  <c r="AK671"/>
  <c r="C652"/>
  <c r="H652"/>
  <c r="I652"/>
  <c r="J652"/>
  <c r="K652"/>
  <c r="M652"/>
  <c r="P652"/>
  <c r="R652"/>
  <c r="S652"/>
  <c r="T652"/>
  <c r="U652"/>
  <c r="X652"/>
  <c r="Y652"/>
  <c r="Z652"/>
  <c r="AA652"/>
  <c r="AB652"/>
  <c r="AC652"/>
  <c r="AD652"/>
  <c r="AE652"/>
  <c r="AF652"/>
  <c r="AG652"/>
  <c r="AH652"/>
  <c r="AI652"/>
  <c r="AJ652"/>
  <c r="AK652"/>
  <c r="C653"/>
  <c r="H653"/>
  <c r="I653"/>
  <c r="J653"/>
  <c r="K653"/>
  <c r="M653"/>
  <c r="P653"/>
  <c r="R653"/>
  <c r="S653"/>
  <c r="T653"/>
  <c r="U653"/>
  <c r="X653"/>
  <c r="Y653"/>
  <c r="Z653"/>
  <c r="AA653"/>
  <c r="AB653"/>
  <c r="AC653"/>
  <c r="AD653"/>
  <c r="AE653"/>
  <c r="AF653"/>
  <c r="AG653"/>
  <c r="AH653"/>
  <c r="AI653"/>
  <c r="AJ653"/>
  <c r="AK653"/>
  <c r="C654"/>
  <c r="H654"/>
  <c r="I654"/>
  <c r="J654"/>
  <c r="K654"/>
  <c r="M654"/>
  <c r="P654"/>
  <c r="R654"/>
  <c r="S654"/>
  <c r="T654"/>
  <c r="U654"/>
  <c r="X654"/>
  <c r="Y654"/>
  <c r="Z654"/>
  <c r="AA654"/>
  <c r="AB654"/>
  <c r="AC654"/>
  <c r="AD654"/>
  <c r="AE654"/>
  <c r="AF654"/>
  <c r="AG654"/>
  <c r="AH654"/>
  <c r="AI654"/>
  <c r="AJ654"/>
  <c r="AK654"/>
  <c r="C655"/>
  <c r="H655"/>
  <c r="I655"/>
  <c r="J655"/>
  <c r="K655"/>
  <c r="M655"/>
  <c r="P655"/>
  <c r="R655"/>
  <c r="S655"/>
  <c r="T655"/>
  <c r="U655"/>
  <c r="X655"/>
  <c r="Y655"/>
  <c r="Z655"/>
  <c r="AA655"/>
  <c r="AB655"/>
  <c r="AC655"/>
  <c r="AD655"/>
  <c r="AE655"/>
  <c r="AF655"/>
  <c r="AG655"/>
  <c r="AH655"/>
  <c r="AI655"/>
  <c r="AJ655"/>
  <c r="AK655"/>
  <c r="C656"/>
  <c r="H656"/>
  <c r="I656"/>
  <c r="J656"/>
  <c r="K656"/>
  <c r="M656"/>
  <c r="P656"/>
  <c r="R656"/>
  <c r="S656"/>
  <c r="T656"/>
  <c r="U656"/>
  <c r="X656"/>
  <c r="Y656"/>
  <c r="Z656"/>
  <c r="AA656"/>
  <c r="AB656"/>
  <c r="AC656"/>
  <c r="AD656"/>
  <c r="AE656"/>
  <c r="AF656"/>
  <c r="AG656"/>
  <c r="AH656"/>
  <c r="AI656"/>
  <c r="AJ656"/>
  <c r="AK656"/>
  <c r="C657"/>
  <c r="H657"/>
  <c r="I657"/>
  <c r="J657"/>
  <c r="K657"/>
  <c r="M657"/>
  <c r="P657"/>
  <c r="R657"/>
  <c r="S657"/>
  <c r="T657"/>
  <c r="U657"/>
  <c r="X657"/>
  <c r="Y657"/>
  <c r="Z657"/>
  <c r="AA657"/>
  <c r="AB657"/>
  <c r="AC657"/>
  <c r="AD657"/>
  <c r="AE657"/>
  <c r="AF657"/>
  <c r="AG657"/>
  <c r="AH657"/>
  <c r="AI657"/>
  <c r="AJ657"/>
  <c r="AK657"/>
  <c r="C658"/>
  <c r="H658"/>
  <c r="I658"/>
  <c r="J658"/>
  <c r="K658"/>
  <c r="M658"/>
  <c r="P658"/>
  <c r="R658"/>
  <c r="S658"/>
  <c r="T658"/>
  <c r="U658"/>
  <c r="X658"/>
  <c r="Y658"/>
  <c r="Z658"/>
  <c r="AA658"/>
  <c r="AB658"/>
  <c r="AC658"/>
  <c r="AD658"/>
  <c r="AE658"/>
  <c r="AF658"/>
  <c r="AG658"/>
  <c r="AH658"/>
  <c r="AI658"/>
  <c r="AJ658"/>
  <c r="AK658"/>
  <c r="C659"/>
  <c r="H659"/>
  <c r="I659"/>
  <c r="J659"/>
  <c r="K659"/>
  <c r="M659"/>
  <c r="P659"/>
  <c r="R659"/>
  <c r="S659"/>
  <c r="T659"/>
  <c r="U659"/>
  <c r="X659"/>
  <c r="Y659"/>
  <c r="Z659"/>
  <c r="AA659"/>
  <c r="AB659"/>
  <c r="AC659"/>
  <c r="AD659"/>
  <c r="AE659"/>
  <c r="AF659"/>
  <c r="AG659"/>
  <c r="AH659"/>
  <c r="AI659"/>
  <c r="AJ659"/>
  <c r="AK659"/>
  <c r="C660"/>
  <c r="H660"/>
  <c r="I660"/>
  <c r="J660"/>
  <c r="K660"/>
  <c r="M660"/>
  <c r="P660"/>
  <c r="R660"/>
  <c r="S660"/>
  <c r="T660"/>
  <c r="U660"/>
  <c r="X660"/>
  <c r="Y660"/>
  <c r="Z660"/>
  <c r="AA660"/>
  <c r="AB660"/>
  <c r="AC660"/>
  <c r="AD660"/>
  <c r="AE660"/>
  <c r="AF660"/>
  <c r="AG660"/>
  <c r="AH660"/>
  <c r="AI660"/>
  <c r="AJ660"/>
  <c r="AK660"/>
  <c r="C661"/>
  <c r="H661"/>
  <c r="I661"/>
  <c r="J661"/>
  <c r="K661"/>
  <c r="M661"/>
  <c r="P661"/>
  <c r="R661"/>
  <c r="S661"/>
  <c r="T661"/>
  <c r="U661"/>
  <c r="X661"/>
  <c r="Y661"/>
  <c r="Z661"/>
  <c r="AA661"/>
  <c r="AB661"/>
  <c r="AC661"/>
  <c r="AD661"/>
  <c r="AE661"/>
  <c r="AF661"/>
  <c r="AG661"/>
  <c r="AH661"/>
  <c r="AI661"/>
  <c r="AJ661"/>
  <c r="AK661"/>
  <c r="C642"/>
  <c r="H642"/>
  <c r="I642"/>
  <c r="J642"/>
  <c r="K642"/>
  <c r="M642"/>
  <c r="P642"/>
  <c r="R642"/>
  <c r="S642"/>
  <c r="T642"/>
  <c r="U642"/>
  <c r="X642"/>
  <c r="Y642"/>
  <c r="Z642"/>
  <c r="AA642"/>
  <c r="AB642"/>
  <c r="AC642"/>
  <c r="AD642"/>
  <c r="AE642"/>
  <c r="AF642"/>
  <c r="AG642"/>
  <c r="AH642"/>
  <c r="AI642"/>
  <c r="AJ642"/>
  <c r="AK642"/>
  <c r="C643"/>
  <c r="H643"/>
  <c r="I643"/>
  <c r="J643"/>
  <c r="K643"/>
  <c r="M643"/>
  <c r="P643"/>
  <c r="R643"/>
  <c r="S643"/>
  <c r="T643"/>
  <c r="U643"/>
  <c r="X643"/>
  <c r="Y643"/>
  <c r="Z643"/>
  <c r="AA643"/>
  <c r="AB643"/>
  <c r="AC643"/>
  <c r="AD643"/>
  <c r="AE643"/>
  <c r="AF643"/>
  <c r="AG643"/>
  <c r="AH643"/>
  <c r="AI643"/>
  <c r="AJ643"/>
  <c r="AK643"/>
  <c r="C644"/>
  <c r="H644"/>
  <c r="I644"/>
  <c r="J644"/>
  <c r="K644"/>
  <c r="M644"/>
  <c r="P644"/>
  <c r="R644"/>
  <c r="S644"/>
  <c r="T644"/>
  <c r="U644"/>
  <c r="X644"/>
  <c r="Y644"/>
  <c r="Z644"/>
  <c r="AA644"/>
  <c r="AB644"/>
  <c r="AC644"/>
  <c r="AD644"/>
  <c r="AE644"/>
  <c r="AF644"/>
  <c r="AG644"/>
  <c r="AH644"/>
  <c r="AI644"/>
  <c r="AJ644"/>
  <c r="AK644"/>
  <c r="C645"/>
  <c r="H645"/>
  <c r="I645"/>
  <c r="J645"/>
  <c r="K645"/>
  <c r="M645"/>
  <c r="P645"/>
  <c r="R645"/>
  <c r="S645"/>
  <c r="T645"/>
  <c r="U645"/>
  <c r="X645"/>
  <c r="Y645"/>
  <c r="Z645"/>
  <c r="AA645"/>
  <c r="AB645"/>
  <c r="AC645"/>
  <c r="AD645"/>
  <c r="AE645"/>
  <c r="AF645"/>
  <c r="AG645"/>
  <c r="AH645"/>
  <c r="AI645"/>
  <c r="AJ645"/>
  <c r="AK645"/>
  <c r="C646"/>
  <c r="H646"/>
  <c r="I646"/>
  <c r="J646"/>
  <c r="K646"/>
  <c r="M646"/>
  <c r="P646"/>
  <c r="R646"/>
  <c r="S646"/>
  <c r="T646"/>
  <c r="U646"/>
  <c r="X646"/>
  <c r="Y646"/>
  <c r="Z646"/>
  <c r="AA646"/>
  <c r="AB646"/>
  <c r="AC646"/>
  <c r="AD646"/>
  <c r="AE646"/>
  <c r="AF646"/>
  <c r="AG646"/>
  <c r="AH646"/>
  <c r="AI646"/>
  <c r="AJ646"/>
  <c r="AK646"/>
  <c r="C647"/>
  <c r="H647"/>
  <c r="I647"/>
  <c r="J647"/>
  <c r="K647"/>
  <c r="M647"/>
  <c r="P647"/>
  <c r="R647"/>
  <c r="S647"/>
  <c r="T647"/>
  <c r="U647"/>
  <c r="X647"/>
  <c r="Y647"/>
  <c r="Z647"/>
  <c r="AA647"/>
  <c r="AB647"/>
  <c r="AC647"/>
  <c r="AD647"/>
  <c r="AE647"/>
  <c r="AF647"/>
  <c r="AG647"/>
  <c r="AH647"/>
  <c r="AI647"/>
  <c r="AJ647"/>
  <c r="AK647"/>
  <c r="C648"/>
  <c r="H648"/>
  <c r="I648"/>
  <c r="J648"/>
  <c r="K648"/>
  <c r="M648"/>
  <c r="P648"/>
  <c r="R648"/>
  <c r="S648"/>
  <c r="T648"/>
  <c r="U648"/>
  <c r="X648"/>
  <c r="Y648"/>
  <c r="Z648"/>
  <c r="AA648"/>
  <c r="AB648"/>
  <c r="AC648"/>
  <c r="AD648"/>
  <c r="AE648"/>
  <c r="AF648"/>
  <c r="AG648"/>
  <c r="AH648"/>
  <c r="AI648"/>
  <c r="AJ648"/>
  <c r="AK648"/>
  <c r="C649"/>
  <c r="H649"/>
  <c r="I649"/>
  <c r="J649"/>
  <c r="K649"/>
  <c r="M649"/>
  <c r="P649"/>
  <c r="R649"/>
  <c r="S649"/>
  <c r="T649"/>
  <c r="U649"/>
  <c r="X649"/>
  <c r="Y649"/>
  <c r="Z649"/>
  <c r="AA649"/>
  <c r="AB649"/>
  <c r="AC649"/>
  <c r="AD649"/>
  <c r="AE649"/>
  <c r="AF649"/>
  <c r="AG649"/>
  <c r="AH649"/>
  <c r="AI649"/>
  <c r="AJ649"/>
  <c r="AK649"/>
  <c r="C650"/>
  <c r="H650"/>
  <c r="I650"/>
  <c r="J650"/>
  <c r="K650"/>
  <c r="M650"/>
  <c r="P650"/>
  <c r="R650"/>
  <c r="S650"/>
  <c r="T650"/>
  <c r="U650"/>
  <c r="X650"/>
  <c r="Y650"/>
  <c r="Z650"/>
  <c r="AA650"/>
  <c r="AB650"/>
  <c r="AC650"/>
  <c r="AD650"/>
  <c r="AE650"/>
  <c r="AF650"/>
  <c r="AG650"/>
  <c r="AH650"/>
  <c r="AI650"/>
  <c r="AJ650"/>
  <c r="AK650"/>
  <c r="C651"/>
  <c r="H651"/>
  <c r="I651"/>
  <c r="J651"/>
  <c r="K651"/>
  <c r="M651"/>
  <c r="P651"/>
  <c r="R651"/>
  <c r="S651"/>
  <c r="T651"/>
  <c r="U651"/>
  <c r="X651"/>
  <c r="Y651"/>
  <c r="Z651"/>
  <c r="AA651"/>
  <c r="AB651"/>
  <c r="AC651"/>
  <c r="AD651"/>
  <c r="AE651"/>
  <c r="AF651"/>
  <c r="AG651"/>
  <c r="AH651"/>
  <c r="AI651"/>
  <c r="AJ651"/>
  <c r="AK651"/>
  <c r="C632"/>
  <c r="H632"/>
  <c r="I632"/>
  <c r="J632"/>
  <c r="K632"/>
  <c r="M632"/>
  <c r="P632"/>
  <c r="R632"/>
  <c r="S632"/>
  <c r="T632"/>
  <c r="U632"/>
  <c r="X632"/>
  <c r="Y632"/>
  <c r="Z632"/>
  <c r="AA632"/>
  <c r="AB632"/>
  <c r="AC632"/>
  <c r="AD632"/>
  <c r="AE632"/>
  <c r="AF632"/>
  <c r="AG632"/>
  <c r="AH632"/>
  <c r="AI632"/>
  <c r="AJ632"/>
  <c r="AK632"/>
  <c r="C633"/>
  <c r="H633"/>
  <c r="I633"/>
  <c r="J633"/>
  <c r="K633"/>
  <c r="M633"/>
  <c r="P633"/>
  <c r="R633"/>
  <c r="S633"/>
  <c r="T633"/>
  <c r="U633"/>
  <c r="X633"/>
  <c r="Y633"/>
  <c r="Z633"/>
  <c r="AA633"/>
  <c r="AB633"/>
  <c r="AC633"/>
  <c r="AD633"/>
  <c r="AE633"/>
  <c r="AF633"/>
  <c r="AG633"/>
  <c r="AH633"/>
  <c r="AI633"/>
  <c r="AJ633"/>
  <c r="AK633"/>
  <c r="C634"/>
  <c r="H634"/>
  <c r="I634"/>
  <c r="J634"/>
  <c r="K634"/>
  <c r="M634"/>
  <c r="P634"/>
  <c r="R634"/>
  <c r="S634"/>
  <c r="T634"/>
  <c r="U634"/>
  <c r="X634"/>
  <c r="Y634"/>
  <c r="Z634"/>
  <c r="AA634"/>
  <c r="AB634"/>
  <c r="AC634"/>
  <c r="AD634"/>
  <c r="AE634"/>
  <c r="AF634"/>
  <c r="AG634"/>
  <c r="AH634"/>
  <c r="AI634"/>
  <c r="AJ634"/>
  <c r="AK634"/>
  <c r="C635"/>
  <c r="H635"/>
  <c r="I635"/>
  <c r="J635"/>
  <c r="K635"/>
  <c r="M635"/>
  <c r="P635"/>
  <c r="R635"/>
  <c r="S635"/>
  <c r="T635"/>
  <c r="U635"/>
  <c r="X635"/>
  <c r="Y635"/>
  <c r="Z635"/>
  <c r="AA635"/>
  <c r="AB635"/>
  <c r="AC635"/>
  <c r="AD635"/>
  <c r="AE635"/>
  <c r="AF635"/>
  <c r="AG635"/>
  <c r="AH635"/>
  <c r="AI635"/>
  <c r="AJ635"/>
  <c r="AK635"/>
  <c r="C636"/>
  <c r="H636"/>
  <c r="I636"/>
  <c r="J636"/>
  <c r="K636"/>
  <c r="M636"/>
  <c r="P636"/>
  <c r="R636"/>
  <c r="S636"/>
  <c r="T636"/>
  <c r="U636"/>
  <c r="X636"/>
  <c r="Y636"/>
  <c r="Z636"/>
  <c r="AA636"/>
  <c r="AB636"/>
  <c r="AC636"/>
  <c r="AD636"/>
  <c r="AE636"/>
  <c r="AF636"/>
  <c r="AG636"/>
  <c r="AH636"/>
  <c r="AI636"/>
  <c r="AJ636"/>
  <c r="AK636"/>
  <c r="C637"/>
  <c r="H637"/>
  <c r="I637"/>
  <c r="J637"/>
  <c r="K637"/>
  <c r="M637"/>
  <c r="P637"/>
  <c r="R637"/>
  <c r="S637"/>
  <c r="T637"/>
  <c r="U637"/>
  <c r="X637"/>
  <c r="Y637"/>
  <c r="Z637"/>
  <c r="AA637"/>
  <c r="AB637"/>
  <c r="AC637"/>
  <c r="AD637"/>
  <c r="AE637"/>
  <c r="AF637"/>
  <c r="AG637"/>
  <c r="AH637"/>
  <c r="AI637"/>
  <c r="AJ637"/>
  <c r="AK637"/>
  <c r="C638"/>
  <c r="H638"/>
  <c r="I638"/>
  <c r="J638"/>
  <c r="K638"/>
  <c r="M638"/>
  <c r="P638"/>
  <c r="R638"/>
  <c r="S638"/>
  <c r="T638"/>
  <c r="U638"/>
  <c r="X638"/>
  <c r="Y638"/>
  <c r="Z638"/>
  <c r="AA638"/>
  <c r="AB638"/>
  <c r="AC638"/>
  <c r="AD638"/>
  <c r="AE638"/>
  <c r="AF638"/>
  <c r="AG638"/>
  <c r="AH638"/>
  <c r="AI638"/>
  <c r="AJ638"/>
  <c r="AK638"/>
  <c r="C639"/>
  <c r="H639"/>
  <c r="I639"/>
  <c r="J639"/>
  <c r="K639"/>
  <c r="M639"/>
  <c r="P639"/>
  <c r="R639"/>
  <c r="S639"/>
  <c r="T639"/>
  <c r="U639"/>
  <c r="X639"/>
  <c r="Y639"/>
  <c r="Z639"/>
  <c r="AA639"/>
  <c r="AB639"/>
  <c r="AC639"/>
  <c r="AD639"/>
  <c r="AE639"/>
  <c r="AF639"/>
  <c r="AG639"/>
  <c r="AH639"/>
  <c r="AI639"/>
  <c r="AJ639"/>
  <c r="AK639"/>
  <c r="C640"/>
  <c r="H640"/>
  <c r="I640"/>
  <c r="J640"/>
  <c r="K640"/>
  <c r="M640"/>
  <c r="P640"/>
  <c r="R640"/>
  <c r="S640"/>
  <c r="T640"/>
  <c r="U640"/>
  <c r="X640"/>
  <c r="Y640"/>
  <c r="Z640"/>
  <c r="AA640"/>
  <c r="AB640"/>
  <c r="AC640"/>
  <c r="AD640"/>
  <c r="AE640"/>
  <c r="AF640"/>
  <c r="AG640"/>
  <c r="AH640"/>
  <c r="AI640"/>
  <c r="AJ640"/>
  <c r="AK640"/>
  <c r="C641"/>
  <c r="H641"/>
  <c r="I641"/>
  <c r="J641"/>
  <c r="K641"/>
  <c r="M641"/>
  <c r="P641"/>
  <c r="R641"/>
  <c r="S641"/>
  <c r="T641"/>
  <c r="U641"/>
  <c r="X641"/>
  <c r="Y641"/>
  <c r="Z641"/>
  <c r="AA641"/>
  <c r="AB641"/>
  <c r="AC641"/>
  <c r="AD641"/>
  <c r="AE641"/>
  <c r="AF641"/>
  <c r="AG641"/>
  <c r="AH641"/>
  <c r="AI641"/>
  <c r="AJ641"/>
  <c r="AK641"/>
  <c r="C622"/>
  <c r="H622"/>
  <c r="I622"/>
  <c r="J622"/>
  <c r="K622"/>
  <c r="M622"/>
  <c r="P622"/>
  <c r="R622"/>
  <c r="S622"/>
  <c r="T622"/>
  <c r="U622"/>
  <c r="X622"/>
  <c r="Y622"/>
  <c r="Z622"/>
  <c r="AA622"/>
  <c r="AB622"/>
  <c r="AC622"/>
  <c r="AD622"/>
  <c r="AE622"/>
  <c r="AF622"/>
  <c r="AG622"/>
  <c r="AH622"/>
  <c r="AI622"/>
  <c r="AJ622"/>
  <c r="AK622"/>
  <c r="C623"/>
  <c r="H623"/>
  <c r="I623"/>
  <c r="J623"/>
  <c r="K623"/>
  <c r="M623"/>
  <c r="P623"/>
  <c r="R623"/>
  <c r="S623"/>
  <c r="T623"/>
  <c r="U623"/>
  <c r="X623"/>
  <c r="Y623"/>
  <c r="Z623"/>
  <c r="AA623"/>
  <c r="AB623"/>
  <c r="AC623"/>
  <c r="AD623"/>
  <c r="AE623"/>
  <c r="AF623"/>
  <c r="AG623"/>
  <c r="AH623"/>
  <c r="AI623"/>
  <c r="AJ623"/>
  <c r="AK623"/>
  <c r="C624"/>
  <c r="H624"/>
  <c r="I624"/>
  <c r="J624"/>
  <c r="K624"/>
  <c r="M624"/>
  <c r="P624"/>
  <c r="R624"/>
  <c r="S624"/>
  <c r="T624"/>
  <c r="U624"/>
  <c r="X624"/>
  <c r="Y624"/>
  <c r="Z624"/>
  <c r="AA624"/>
  <c r="AB624"/>
  <c r="AC624"/>
  <c r="AD624"/>
  <c r="AE624"/>
  <c r="AF624"/>
  <c r="AG624"/>
  <c r="AH624"/>
  <c r="AI624"/>
  <c r="AJ624"/>
  <c r="AK624"/>
  <c r="C625"/>
  <c r="H625"/>
  <c r="I625"/>
  <c r="J625"/>
  <c r="K625"/>
  <c r="M625"/>
  <c r="P625"/>
  <c r="R625"/>
  <c r="S625"/>
  <c r="T625"/>
  <c r="U625"/>
  <c r="X625"/>
  <c r="Y625"/>
  <c r="Z625"/>
  <c r="AA625"/>
  <c r="AB625"/>
  <c r="AC625"/>
  <c r="AD625"/>
  <c r="AE625"/>
  <c r="AF625"/>
  <c r="AG625"/>
  <c r="AH625"/>
  <c r="AI625"/>
  <c r="AJ625"/>
  <c r="AK625"/>
  <c r="C626"/>
  <c r="H626"/>
  <c r="I626"/>
  <c r="J626"/>
  <c r="K626"/>
  <c r="M626"/>
  <c r="P626"/>
  <c r="R626"/>
  <c r="S626"/>
  <c r="T626"/>
  <c r="U626"/>
  <c r="X626"/>
  <c r="Y626"/>
  <c r="Z626"/>
  <c r="AA626"/>
  <c r="AB626"/>
  <c r="AC626"/>
  <c r="AD626"/>
  <c r="AE626"/>
  <c r="AF626"/>
  <c r="AG626"/>
  <c r="AH626"/>
  <c r="AI626"/>
  <c r="AJ626"/>
  <c r="AK626"/>
  <c r="C627"/>
  <c r="H627"/>
  <c r="I627"/>
  <c r="J627"/>
  <c r="K627"/>
  <c r="M627"/>
  <c r="P627"/>
  <c r="R627"/>
  <c r="S627"/>
  <c r="T627"/>
  <c r="U627"/>
  <c r="X627"/>
  <c r="Y627"/>
  <c r="Z627"/>
  <c r="AA627"/>
  <c r="AB627"/>
  <c r="AC627"/>
  <c r="AD627"/>
  <c r="AE627"/>
  <c r="AF627"/>
  <c r="AG627"/>
  <c r="AH627"/>
  <c r="AI627"/>
  <c r="AJ627"/>
  <c r="AK627"/>
  <c r="C628"/>
  <c r="H628"/>
  <c r="I628"/>
  <c r="J628"/>
  <c r="K628"/>
  <c r="M628"/>
  <c r="P628"/>
  <c r="R628"/>
  <c r="S628"/>
  <c r="T628"/>
  <c r="U628"/>
  <c r="X628"/>
  <c r="Y628"/>
  <c r="Z628"/>
  <c r="AA628"/>
  <c r="AB628"/>
  <c r="AC628"/>
  <c r="AD628"/>
  <c r="AE628"/>
  <c r="AF628"/>
  <c r="AG628"/>
  <c r="AH628"/>
  <c r="AI628"/>
  <c r="AJ628"/>
  <c r="AK628"/>
  <c r="C629"/>
  <c r="H629"/>
  <c r="I629"/>
  <c r="J629"/>
  <c r="K629"/>
  <c r="M629"/>
  <c r="P629"/>
  <c r="R629"/>
  <c r="S629"/>
  <c r="T629"/>
  <c r="U629"/>
  <c r="X629"/>
  <c r="Y629"/>
  <c r="Z629"/>
  <c r="AA629"/>
  <c r="AB629"/>
  <c r="AC629"/>
  <c r="AD629"/>
  <c r="AE629"/>
  <c r="AF629"/>
  <c r="AG629"/>
  <c r="AH629"/>
  <c r="AI629"/>
  <c r="AJ629"/>
  <c r="AK629"/>
  <c r="C630"/>
  <c r="H630"/>
  <c r="I630"/>
  <c r="J630"/>
  <c r="K630"/>
  <c r="M630"/>
  <c r="P630"/>
  <c r="R630"/>
  <c r="S630"/>
  <c r="T630"/>
  <c r="U630"/>
  <c r="X630"/>
  <c r="Y630"/>
  <c r="Z630"/>
  <c r="AA630"/>
  <c r="AB630"/>
  <c r="AC630"/>
  <c r="AD630"/>
  <c r="AE630"/>
  <c r="AF630"/>
  <c r="AG630"/>
  <c r="AH630"/>
  <c r="AI630"/>
  <c r="AJ630"/>
  <c r="AK630"/>
  <c r="C631"/>
  <c r="H631"/>
  <c r="I631"/>
  <c r="J631"/>
  <c r="K631"/>
  <c r="M631"/>
  <c r="P631"/>
  <c r="R631"/>
  <c r="S631"/>
  <c r="T631"/>
  <c r="U631"/>
  <c r="X631"/>
  <c r="Y631"/>
  <c r="Z631"/>
  <c r="AA631"/>
  <c r="AB631"/>
  <c r="AC631"/>
  <c r="AD631"/>
  <c r="AE631"/>
  <c r="AF631"/>
  <c r="AG631"/>
  <c r="AH631"/>
  <c r="AI631"/>
  <c r="AJ631"/>
  <c r="AK631"/>
  <c r="C612"/>
  <c r="H612"/>
  <c r="I612"/>
  <c r="J612"/>
  <c r="K612"/>
  <c r="M612"/>
  <c r="P612"/>
  <c r="R612"/>
  <c r="S612"/>
  <c r="T612"/>
  <c r="U612"/>
  <c r="X612"/>
  <c r="Y612"/>
  <c r="Z612"/>
  <c r="AA612"/>
  <c r="AB612"/>
  <c r="AC612"/>
  <c r="AD612"/>
  <c r="AE612"/>
  <c r="AF612"/>
  <c r="AG612"/>
  <c r="AH612"/>
  <c r="AI612"/>
  <c r="AJ612"/>
  <c r="AK612"/>
  <c r="C613"/>
  <c r="H613"/>
  <c r="I613"/>
  <c r="J613"/>
  <c r="K613"/>
  <c r="M613"/>
  <c r="P613"/>
  <c r="R613"/>
  <c r="S613"/>
  <c r="T613"/>
  <c r="U613"/>
  <c r="X613"/>
  <c r="Y613"/>
  <c r="Z613"/>
  <c r="AA613"/>
  <c r="AB613"/>
  <c r="AC613"/>
  <c r="AD613"/>
  <c r="AE613"/>
  <c r="AF613"/>
  <c r="AG613"/>
  <c r="AH613"/>
  <c r="AI613"/>
  <c r="AJ613"/>
  <c r="AK613"/>
  <c r="C614"/>
  <c r="H614"/>
  <c r="I614"/>
  <c r="J614"/>
  <c r="K614"/>
  <c r="M614"/>
  <c r="P614"/>
  <c r="R614"/>
  <c r="S614"/>
  <c r="T614"/>
  <c r="U614"/>
  <c r="X614"/>
  <c r="Y614"/>
  <c r="Z614"/>
  <c r="AA614"/>
  <c r="AB614"/>
  <c r="AC614"/>
  <c r="AD614"/>
  <c r="AE614"/>
  <c r="AF614"/>
  <c r="AG614"/>
  <c r="AH614"/>
  <c r="AI614"/>
  <c r="AJ614"/>
  <c r="AK614"/>
  <c r="C615"/>
  <c r="H615"/>
  <c r="I615"/>
  <c r="J615"/>
  <c r="K615"/>
  <c r="M615"/>
  <c r="P615"/>
  <c r="R615"/>
  <c r="S615"/>
  <c r="T615"/>
  <c r="U615"/>
  <c r="X615"/>
  <c r="Y615"/>
  <c r="Z615"/>
  <c r="AA615"/>
  <c r="AB615"/>
  <c r="AC615"/>
  <c r="AD615"/>
  <c r="AE615"/>
  <c r="AF615"/>
  <c r="AG615"/>
  <c r="AH615"/>
  <c r="AI615"/>
  <c r="AJ615"/>
  <c r="AK615"/>
  <c r="C616"/>
  <c r="H616"/>
  <c r="I616"/>
  <c r="J616"/>
  <c r="K616"/>
  <c r="M616"/>
  <c r="P616"/>
  <c r="R616"/>
  <c r="S616"/>
  <c r="T616"/>
  <c r="U616"/>
  <c r="X616"/>
  <c r="Y616"/>
  <c r="Z616"/>
  <c r="AA616"/>
  <c r="AB616"/>
  <c r="AC616"/>
  <c r="AD616"/>
  <c r="AE616"/>
  <c r="AF616"/>
  <c r="AG616"/>
  <c r="AH616"/>
  <c r="AI616"/>
  <c r="AJ616"/>
  <c r="AK616"/>
  <c r="C617"/>
  <c r="H617"/>
  <c r="I617"/>
  <c r="J617"/>
  <c r="K617"/>
  <c r="M617"/>
  <c r="P617"/>
  <c r="R617"/>
  <c r="S617"/>
  <c r="T617"/>
  <c r="U617"/>
  <c r="X617"/>
  <c r="Y617"/>
  <c r="Z617"/>
  <c r="AA617"/>
  <c r="AB617"/>
  <c r="AC617"/>
  <c r="AD617"/>
  <c r="AE617"/>
  <c r="AF617"/>
  <c r="AG617"/>
  <c r="AH617"/>
  <c r="AI617"/>
  <c r="AJ617"/>
  <c r="AK617"/>
  <c r="C618"/>
  <c r="H618"/>
  <c r="I618"/>
  <c r="J618"/>
  <c r="K618"/>
  <c r="M618"/>
  <c r="P618"/>
  <c r="R618"/>
  <c r="S618"/>
  <c r="T618"/>
  <c r="U618"/>
  <c r="X618"/>
  <c r="Y618"/>
  <c r="Z618"/>
  <c r="AA618"/>
  <c r="AB618"/>
  <c r="AC618"/>
  <c r="AD618"/>
  <c r="AE618"/>
  <c r="AF618"/>
  <c r="AG618"/>
  <c r="AH618"/>
  <c r="AI618"/>
  <c r="AJ618"/>
  <c r="AK618"/>
  <c r="C619"/>
  <c r="H619"/>
  <c r="I619"/>
  <c r="J619"/>
  <c r="K619"/>
  <c r="M619"/>
  <c r="P619"/>
  <c r="R619"/>
  <c r="S619"/>
  <c r="T619"/>
  <c r="U619"/>
  <c r="X619"/>
  <c r="Y619"/>
  <c r="Z619"/>
  <c r="AA619"/>
  <c r="AB619"/>
  <c r="AC619"/>
  <c r="AD619"/>
  <c r="AE619"/>
  <c r="AF619"/>
  <c r="AG619"/>
  <c r="AH619"/>
  <c r="AI619"/>
  <c r="AJ619"/>
  <c r="AK619"/>
  <c r="C620"/>
  <c r="H620"/>
  <c r="I620"/>
  <c r="J620"/>
  <c r="K620"/>
  <c r="M620"/>
  <c r="P620"/>
  <c r="R620"/>
  <c r="S620"/>
  <c r="T620"/>
  <c r="U620"/>
  <c r="X620"/>
  <c r="Y620"/>
  <c r="Z620"/>
  <c r="AA620"/>
  <c r="AB620"/>
  <c r="AC620"/>
  <c r="AD620"/>
  <c r="AE620"/>
  <c r="AF620"/>
  <c r="AG620"/>
  <c r="AH620"/>
  <c r="AI620"/>
  <c r="AJ620"/>
  <c r="AK620"/>
  <c r="C621"/>
  <c r="H621"/>
  <c r="I621"/>
  <c r="J621"/>
  <c r="K621"/>
  <c r="M621"/>
  <c r="P621"/>
  <c r="R621"/>
  <c r="S621"/>
  <c r="T621"/>
  <c r="U621"/>
  <c r="X621"/>
  <c r="Y621"/>
  <c r="Z621"/>
  <c r="AA621"/>
  <c r="AB621"/>
  <c r="AC621"/>
  <c r="AD621"/>
  <c r="AE621"/>
  <c r="AF621"/>
  <c r="AG621"/>
  <c r="AH621"/>
  <c r="AI621"/>
  <c r="AJ621"/>
  <c r="AK621"/>
  <c r="C602"/>
  <c r="H602"/>
  <c r="I602"/>
  <c r="J602"/>
  <c r="K602"/>
  <c r="M602"/>
  <c r="P602"/>
  <c r="R602"/>
  <c r="S602"/>
  <c r="T602"/>
  <c r="U602"/>
  <c r="X602"/>
  <c r="Y602"/>
  <c r="Z602"/>
  <c r="AA602"/>
  <c r="AB602"/>
  <c r="AC602"/>
  <c r="AD602"/>
  <c r="AE602"/>
  <c r="AF602"/>
  <c r="AG602"/>
  <c r="AH602"/>
  <c r="AI602"/>
  <c r="AJ602"/>
  <c r="AK602"/>
  <c r="C603"/>
  <c r="H603"/>
  <c r="I603"/>
  <c r="J603"/>
  <c r="K603"/>
  <c r="M603"/>
  <c r="P603"/>
  <c r="R603"/>
  <c r="S603"/>
  <c r="T603"/>
  <c r="U603"/>
  <c r="X603"/>
  <c r="Y603"/>
  <c r="Z603"/>
  <c r="AA603"/>
  <c r="AB603"/>
  <c r="AC603"/>
  <c r="AD603"/>
  <c r="AE603"/>
  <c r="AF603"/>
  <c r="AG603"/>
  <c r="AH603"/>
  <c r="AI603"/>
  <c r="AJ603"/>
  <c r="AK603"/>
  <c r="C604"/>
  <c r="H604"/>
  <c r="I604"/>
  <c r="J604"/>
  <c r="K604"/>
  <c r="M604"/>
  <c r="P604"/>
  <c r="R604"/>
  <c r="S604"/>
  <c r="T604"/>
  <c r="U604"/>
  <c r="X604"/>
  <c r="Y604"/>
  <c r="Z604"/>
  <c r="AA604"/>
  <c r="AB604"/>
  <c r="AC604"/>
  <c r="AD604"/>
  <c r="AE604"/>
  <c r="AF604"/>
  <c r="AG604"/>
  <c r="AH604"/>
  <c r="AI604"/>
  <c r="AJ604"/>
  <c r="AK604"/>
  <c r="C605"/>
  <c r="H605"/>
  <c r="I605"/>
  <c r="J605"/>
  <c r="K605"/>
  <c r="M605"/>
  <c r="P605"/>
  <c r="R605"/>
  <c r="S605"/>
  <c r="T605"/>
  <c r="U605"/>
  <c r="X605"/>
  <c r="Y605"/>
  <c r="Z605"/>
  <c r="AA605"/>
  <c r="AB605"/>
  <c r="AC605"/>
  <c r="AD605"/>
  <c r="AE605"/>
  <c r="AF605"/>
  <c r="AG605"/>
  <c r="AH605"/>
  <c r="AI605"/>
  <c r="AJ605"/>
  <c r="AK605"/>
  <c r="C606"/>
  <c r="H606"/>
  <c r="I606"/>
  <c r="J606"/>
  <c r="K606"/>
  <c r="M606"/>
  <c r="P606"/>
  <c r="R606"/>
  <c r="S606"/>
  <c r="T606"/>
  <c r="U606"/>
  <c r="X606"/>
  <c r="Y606"/>
  <c r="Z606"/>
  <c r="AA606"/>
  <c r="AB606"/>
  <c r="AC606"/>
  <c r="AD606"/>
  <c r="AE606"/>
  <c r="AF606"/>
  <c r="AG606"/>
  <c r="AH606"/>
  <c r="AI606"/>
  <c r="AJ606"/>
  <c r="AK606"/>
  <c r="C607"/>
  <c r="H607"/>
  <c r="I607"/>
  <c r="J607"/>
  <c r="K607"/>
  <c r="M607"/>
  <c r="P607"/>
  <c r="R607"/>
  <c r="S607"/>
  <c r="T607"/>
  <c r="U607"/>
  <c r="X607"/>
  <c r="Y607"/>
  <c r="Z607"/>
  <c r="AA607"/>
  <c r="AB607"/>
  <c r="AC607"/>
  <c r="AD607"/>
  <c r="AE607"/>
  <c r="AF607"/>
  <c r="AG607"/>
  <c r="AH607"/>
  <c r="AI607"/>
  <c r="AJ607"/>
  <c r="AK607"/>
  <c r="C608"/>
  <c r="H608"/>
  <c r="I608"/>
  <c r="J608"/>
  <c r="K608"/>
  <c r="M608"/>
  <c r="P608"/>
  <c r="R608"/>
  <c r="S608"/>
  <c r="T608"/>
  <c r="U608"/>
  <c r="X608"/>
  <c r="Y608"/>
  <c r="Z608"/>
  <c r="AA608"/>
  <c r="AB608"/>
  <c r="AC608"/>
  <c r="AD608"/>
  <c r="AE608"/>
  <c r="AF608"/>
  <c r="AG608"/>
  <c r="AH608"/>
  <c r="AI608"/>
  <c r="AJ608"/>
  <c r="AK608"/>
  <c r="C609"/>
  <c r="H609"/>
  <c r="I609"/>
  <c r="J609"/>
  <c r="K609"/>
  <c r="M609"/>
  <c r="P609"/>
  <c r="R609"/>
  <c r="S609"/>
  <c r="T609"/>
  <c r="U609"/>
  <c r="X609"/>
  <c r="Y609"/>
  <c r="Z609"/>
  <c r="AA609"/>
  <c r="AB609"/>
  <c r="AC609"/>
  <c r="AD609"/>
  <c r="AE609"/>
  <c r="AF609"/>
  <c r="AG609"/>
  <c r="AH609"/>
  <c r="AI609"/>
  <c r="AJ609"/>
  <c r="AK609"/>
  <c r="C610"/>
  <c r="H610"/>
  <c r="I610"/>
  <c r="J610"/>
  <c r="K610"/>
  <c r="M610"/>
  <c r="P610"/>
  <c r="R610"/>
  <c r="S610"/>
  <c r="T610"/>
  <c r="U610"/>
  <c r="X610"/>
  <c r="Y610"/>
  <c r="Z610"/>
  <c r="AA610"/>
  <c r="AB610"/>
  <c r="AC610"/>
  <c r="AD610"/>
  <c r="AE610"/>
  <c r="AF610"/>
  <c r="AG610"/>
  <c r="AH610"/>
  <c r="AI610"/>
  <c r="AJ610"/>
  <c r="AK610"/>
  <c r="C611"/>
  <c r="H611"/>
  <c r="I611"/>
  <c r="J611"/>
  <c r="K611"/>
  <c r="M611"/>
  <c r="P611"/>
  <c r="R611"/>
  <c r="S611"/>
  <c r="T611"/>
  <c r="U611"/>
  <c r="X611"/>
  <c r="Y611"/>
  <c r="Z611"/>
  <c r="AA611"/>
  <c r="AB611"/>
  <c r="AC611"/>
  <c r="AD611"/>
  <c r="AE611"/>
  <c r="AF611"/>
  <c r="AG611"/>
  <c r="AH611"/>
  <c r="AI611"/>
  <c r="AJ611"/>
  <c r="AK611"/>
  <c r="C592"/>
  <c r="H592"/>
  <c r="I592"/>
  <c r="J592"/>
  <c r="K592"/>
  <c r="M592"/>
  <c r="P592"/>
  <c r="R592"/>
  <c r="S592"/>
  <c r="T592"/>
  <c r="U592"/>
  <c r="X592"/>
  <c r="Y592"/>
  <c r="Z592"/>
  <c r="AA592"/>
  <c r="AB592"/>
  <c r="AC592"/>
  <c r="AD592"/>
  <c r="AE592"/>
  <c r="AF592"/>
  <c r="AG592"/>
  <c r="AH592"/>
  <c r="AI592"/>
  <c r="AJ592"/>
  <c r="AK592"/>
  <c r="C593"/>
  <c r="H593"/>
  <c r="I593"/>
  <c r="J593"/>
  <c r="K593"/>
  <c r="M593"/>
  <c r="P593"/>
  <c r="R593"/>
  <c r="S593"/>
  <c r="T593"/>
  <c r="U593"/>
  <c r="X593"/>
  <c r="Y593"/>
  <c r="Z593"/>
  <c r="AA593"/>
  <c r="AB593"/>
  <c r="AC593"/>
  <c r="AD593"/>
  <c r="AE593"/>
  <c r="AF593"/>
  <c r="AG593"/>
  <c r="AH593"/>
  <c r="AI593"/>
  <c r="AJ593"/>
  <c r="AK593"/>
  <c r="C594"/>
  <c r="H594"/>
  <c r="I594"/>
  <c r="J594"/>
  <c r="K594"/>
  <c r="M594"/>
  <c r="P594"/>
  <c r="R594"/>
  <c r="S594"/>
  <c r="T594"/>
  <c r="U594"/>
  <c r="X594"/>
  <c r="Y594"/>
  <c r="Z594"/>
  <c r="AA594"/>
  <c r="AB594"/>
  <c r="AC594"/>
  <c r="AD594"/>
  <c r="AE594"/>
  <c r="AF594"/>
  <c r="AG594"/>
  <c r="AH594"/>
  <c r="AI594"/>
  <c r="AJ594"/>
  <c r="AK594"/>
  <c r="C595"/>
  <c r="H595"/>
  <c r="I595"/>
  <c r="J595"/>
  <c r="K595"/>
  <c r="M595"/>
  <c r="P595"/>
  <c r="R595"/>
  <c r="S595"/>
  <c r="T595"/>
  <c r="U595"/>
  <c r="X595"/>
  <c r="Y595"/>
  <c r="Z595"/>
  <c r="AA595"/>
  <c r="AB595"/>
  <c r="AC595"/>
  <c r="AD595"/>
  <c r="AE595"/>
  <c r="AF595"/>
  <c r="AG595"/>
  <c r="AH595"/>
  <c r="AI595"/>
  <c r="AJ595"/>
  <c r="AK595"/>
  <c r="C596"/>
  <c r="H596"/>
  <c r="I596"/>
  <c r="J596"/>
  <c r="K596"/>
  <c r="M596"/>
  <c r="P596"/>
  <c r="R596"/>
  <c r="S596"/>
  <c r="T596"/>
  <c r="U596"/>
  <c r="X596"/>
  <c r="Y596"/>
  <c r="Z596"/>
  <c r="AA596"/>
  <c r="AB596"/>
  <c r="AC596"/>
  <c r="AD596"/>
  <c r="AE596"/>
  <c r="AF596"/>
  <c r="AG596"/>
  <c r="AH596"/>
  <c r="AI596"/>
  <c r="AJ596"/>
  <c r="AK596"/>
  <c r="C597"/>
  <c r="H597"/>
  <c r="I597"/>
  <c r="J597"/>
  <c r="K597"/>
  <c r="M597"/>
  <c r="P597"/>
  <c r="R597"/>
  <c r="S597"/>
  <c r="T597"/>
  <c r="U597"/>
  <c r="X597"/>
  <c r="Y597"/>
  <c r="Z597"/>
  <c r="AA597"/>
  <c r="AB597"/>
  <c r="AC597"/>
  <c r="AD597"/>
  <c r="AE597"/>
  <c r="AF597"/>
  <c r="AG597"/>
  <c r="AH597"/>
  <c r="AI597"/>
  <c r="AJ597"/>
  <c r="AK597"/>
  <c r="C598"/>
  <c r="H598"/>
  <c r="I598"/>
  <c r="J598"/>
  <c r="K598"/>
  <c r="M598"/>
  <c r="P598"/>
  <c r="R598"/>
  <c r="S598"/>
  <c r="T598"/>
  <c r="U598"/>
  <c r="X598"/>
  <c r="Y598"/>
  <c r="Z598"/>
  <c r="AA598"/>
  <c r="AB598"/>
  <c r="AC598"/>
  <c r="AD598"/>
  <c r="AE598"/>
  <c r="AF598"/>
  <c r="AG598"/>
  <c r="AH598"/>
  <c r="AI598"/>
  <c r="AJ598"/>
  <c r="AK598"/>
  <c r="C599"/>
  <c r="H599"/>
  <c r="I599"/>
  <c r="J599"/>
  <c r="K599"/>
  <c r="M599"/>
  <c r="P599"/>
  <c r="R599"/>
  <c r="S599"/>
  <c r="T599"/>
  <c r="U599"/>
  <c r="X599"/>
  <c r="Y599"/>
  <c r="Z599"/>
  <c r="AA599"/>
  <c r="AB599"/>
  <c r="AC599"/>
  <c r="AD599"/>
  <c r="AE599"/>
  <c r="AF599"/>
  <c r="AG599"/>
  <c r="AH599"/>
  <c r="AI599"/>
  <c r="AJ599"/>
  <c r="AK599"/>
  <c r="C600"/>
  <c r="H600"/>
  <c r="I600"/>
  <c r="J600"/>
  <c r="K600"/>
  <c r="M600"/>
  <c r="P600"/>
  <c r="R600"/>
  <c r="S600"/>
  <c r="T600"/>
  <c r="U600"/>
  <c r="X600"/>
  <c r="Y600"/>
  <c r="Z600"/>
  <c r="AA600"/>
  <c r="AB600"/>
  <c r="AC600"/>
  <c r="AD600"/>
  <c r="AE600"/>
  <c r="AF600"/>
  <c r="AG600"/>
  <c r="AH600"/>
  <c r="AI600"/>
  <c r="AJ600"/>
  <c r="AK600"/>
  <c r="C601"/>
  <c r="H601"/>
  <c r="I601"/>
  <c r="J601"/>
  <c r="K601"/>
  <c r="M601"/>
  <c r="P601"/>
  <c r="R601"/>
  <c r="S601"/>
  <c r="T601"/>
  <c r="U601"/>
  <c r="X601"/>
  <c r="Y601"/>
  <c r="Z601"/>
  <c r="AA601"/>
  <c r="AB601"/>
  <c r="AC601"/>
  <c r="AD601"/>
  <c r="AE601"/>
  <c r="AF601"/>
  <c r="AG601"/>
  <c r="AH601"/>
  <c r="AI601"/>
  <c r="AJ601"/>
  <c r="AK601"/>
  <c r="C582"/>
  <c r="H582"/>
  <c r="I582"/>
  <c r="J582"/>
  <c r="K582"/>
  <c r="M582"/>
  <c r="P582"/>
  <c r="R582"/>
  <c r="S582"/>
  <c r="T582"/>
  <c r="U582"/>
  <c r="X582"/>
  <c r="Y582"/>
  <c r="Z582"/>
  <c r="AA582"/>
  <c r="AB582"/>
  <c r="AC582"/>
  <c r="AD582"/>
  <c r="AE582"/>
  <c r="AF582"/>
  <c r="AG582"/>
  <c r="AH582"/>
  <c r="AI582"/>
  <c r="AJ582"/>
  <c r="AK582"/>
  <c r="C583"/>
  <c r="H583"/>
  <c r="I583"/>
  <c r="J583"/>
  <c r="K583"/>
  <c r="M583"/>
  <c r="P583"/>
  <c r="R583"/>
  <c r="S583"/>
  <c r="T583"/>
  <c r="U583"/>
  <c r="X583"/>
  <c r="Y583"/>
  <c r="Z583"/>
  <c r="AA583"/>
  <c r="AB583"/>
  <c r="AC583"/>
  <c r="AD583"/>
  <c r="AE583"/>
  <c r="AF583"/>
  <c r="AG583"/>
  <c r="AH583"/>
  <c r="AI583"/>
  <c r="AJ583"/>
  <c r="AK583"/>
  <c r="C584"/>
  <c r="H584"/>
  <c r="I584"/>
  <c r="J584"/>
  <c r="K584"/>
  <c r="M584"/>
  <c r="P584"/>
  <c r="R584"/>
  <c r="S584"/>
  <c r="T584"/>
  <c r="U584"/>
  <c r="X584"/>
  <c r="Y584"/>
  <c r="Z584"/>
  <c r="AA584"/>
  <c r="AB584"/>
  <c r="AC584"/>
  <c r="AD584"/>
  <c r="AE584"/>
  <c r="AF584"/>
  <c r="AG584"/>
  <c r="AH584"/>
  <c r="AI584"/>
  <c r="AJ584"/>
  <c r="AK584"/>
  <c r="C585"/>
  <c r="H585"/>
  <c r="I585"/>
  <c r="J585"/>
  <c r="K585"/>
  <c r="M585"/>
  <c r="P585"/>
  <c r="R585"/>
  <c r="S585"/>
  <c r="T585"/>
  <c r="U585"/>
  <c r="X585"/>
  <c r="Y585"/>
  <c r="Z585"/>
  <c r="AA585"/>
  <c r="AB585"/>
  <c r="AC585"/>
  <c r="AD585"/>
  <c r="AE585"/>
  <c r="AF585"/>
  <c r="AG585"/>
  <c r="AH585"/>
  <c r="AI585"/>
  <c r="AJ585"/>
  <c r="AK585"/>
  <c r="C586"/>
  <c r="H586"/>
  <c r="I586"/>
  <c r="J586"/>
  <c r="K586"/>
  <c r="M586"/>
  <c r="P586"/>
  <c r="R586"/>
  <c r="S586"/>
  <c r="T586"/>
  <c r="U586"/>
  <c r="X586"/>
  <c r="Y586"/>
  <c r="Z586"/>
  <c r="AA586"/>
  <c r="AB586"/>
  <c r="AC586"/>
  <c r="AD586"/>
  <c r="AE586"/>
  <c r="AF586"/>
  <c r="AG586"/>
  <c r="AH586"/>
  <c r="AI586"/>
  <c r="AJ586"/>
  <c r="AK586"/>
  <c r="C587"/>
  <c r="H587"/>
  <c r="I587"/>
  <c r="J587"/>
  <c r="K587"/>
  <c r="M587"/>
  <c r="P587"/>
  <c r="R587"/>
  <c r="S587"/>
  <c r="T587"/>
  <c r="U587"/>
  <c r="X587"/>
  <c r="Y587"/>
  <c r="Z587"/>
  <c r="AA587"/>
  <c r="AB587"/>
  <c r="AC587"/>
  <c r="AD587"/>
  <c r="AE587"/>
  <c r="AF587"/>
  <c r="AG587"/>
  <c r="AH587"/>
  <c r="AI587"/>
  <c r="AJ587"/>
  <c r="AK587"/>
  <c r="C588"/>
  <c r="H588"/>
  <c r="I588"/>
  <c r="J588"/>
  <c r="K588"/>
  <c r="M588"/>
  <c r="P588"/>
  <c r="R588"/>
  <c r="S588"/>
  <c r="T588"/>
  <c r="U588"/>
  <c r="X588"/>
  <c r="Y588"/>
  <c r="Z588"/>
  <c r="AA588"/>
  <c r="AB588"/>
  <c r="AC588"/>
  <c r="AD588"/>
  <c r="AE588"/>
  <c r="AF588"/>
  <c r="AG588"/>
  <c r="AH588"/>
  <c r="AI588"/>
  <c r="AJ588"/>
  <c r="AK588"/>
  <c r="C589"/>
  <c r="H589"/>
  <c r="I589"/>
  <c r="J589"/>
  <c r="K589"/>
  <c r="M589"/>
  <c r="P589"/>
  <c r="R589"/>
  <c r="S589"/>
  <c r="T589"/>
  <c r="U589"/>
  <c r="X589"/>
  <c r="Y589"/>
  <c r="Z589"/>
  <c r="AA589"/>
  <c r="AB589"/>
  <c r="AC589"/>
  <c r="AD589"/>
  <c r="AE589"/>
  <c r="AF589"/>
  <c r="AG589"/>
  <c r="AH589"/>
  <c r="AI589"/>
  <c r="AJ589"/>
  <c r="AK589"/>
  <c r="C590"/>
  <c r="H590"/>
  <c r="I590"/>
  <c r="J590"/>
  <c r="K590"/>
  <c r="M590"/>
  <c r="P590"/>
  <c r="R590"/>
  <c r="S590"/>
  <c r="T590"/>
  <c r="U590"/>
  <c r="X590"/>
  <c r="Y590"/>
  <c r="Z590"/>
  <c r="AA590"/>
  <c r="AB590"/>
  <c r="AC590"/>
  <c r="AD590"/>
  <c r="AE590"/>
  <c r="AF590"/>
  <c r="AG590"/>
  <c r="AH590"/>
  <c r="AI590"/>
  <c r="AJ590"/>
  <c r="AK590"/>
  <c r="C591"/>
  <c r="H591"/>
  <c r="I591"/>
  <c r="J591"/>
  <c r="K591"/>
  <c r="M591"/>
  <c r="P591"/>
  <c r="R591"/>
  <c r="S591"/>
  <c r="T591"/>
  <c r="U591"/>
  <c r="X591"/>
  <c r="Y591"/>
  <c r="Z591"/>
  <c r="AA591"/>
  <c r="AB591"/>
  <c r="AC591"/>
  <c r="AD591"/>
  <c r="AE591"/>
  <c r="AF591"/>
  <c r="AG591"/>
  <c r="AH591"/>
  <c r="AI591"/>
  <c r="AJ591"/>
  <c r="AK591"/>
  <c r="C572"/>
  <c r="H572"/>
  <c r="I572"/>
  <c r="J572"/>
  <c r="K572"/>
  <c r="M572"/>
  <c r="P572"/>
  <c r="R572"/>
  <c r="S572"/>
  <c r="T572"/>
  <c r="U572"/>
  <c r="X572"/>
  <c r="Y572"/>
  <c r="Z572"/>
  <c r="AA572"/>
  <c r="AB572"/>
  <c r="AC572"/>
  <c r="AD572"/>
  <c r="AE572"/>
  <c r="AF572"/>
  <c r="AG572"/>
  <c r="AH572"/>
  <c r="AI572"/>
  <c r="AJ572"/>
  <c r="AK572"/>
  <c r="C573"/>
  <c r="H573"/>
  <c r="I573"/>
  <c r="J573"/>
  <c r="K573"/>
  <c r="M573"/>
  <c r="P573"/>
  <c r="R573"/>
  <c r="S573"/>
  <c r="T573"/>
  <c r="U573"/>
  <c r="X573"/>
  <c r="Y573"/>
  <c r="Z573"/>
  <c r="AA573"/>
  <c r="AB573"/>
  <c r="AC573"/>
  <c r="AD573"/>
  <c r="AE573"/>
  <c r="AF573"/>
  <c r="AG573"/>
  <c r="AH573"/>
  <c r="AI573"/>
  <c r="AJ573"/>
  <c r="AK573"/>
  <c r="C574"/>
  <c r="H574"/>
  <c r="I574"/>
  <c r="J574"/>
  <c r="K574"/>
  <c r="M574"/>
  <c r="P574"/>
  <c r="R574"/>
  <c r="S574"/>
  <c r="T574"/>
  <c r="U574"/>
  <c r="X574"/>
  <c r="Y574"/>
  <c r="Z574"/>
  <c r="AA574"/>
  <c r="AB574"/>
  <c r="AC574"/>
  <c r="AD574"/>
  <c r="AE574"/>
  <c r="AF574"/>
  <c r="AG574"/>
  <c r="AH574"/>
  <c r="AI574"/>
  <c r="AJ574"/>
  <c r="AK574"/>
  <c r="C575"/>
  <c r="H575"/>
  <c r="I575"/>
  <c r="J575"/>
  <c r="K575"/>
  <c r="M575"/>
  <c r="P575"/>
  <c r="R575"/>
  <c r="S575"/>
  <c r="T575"/>
  <c r="U575"/>
  <c r="X575"/>
  <c r="Y575"/>
  <c r="Z575"/>
  <c r="AA575"/>
  <c r="AB575"/>
  <c r="AC575"/>
  <c r="AD575"/>
  <c r="AE575"/>
  <c r="AF575"/>
  <c r="AG575"/>
  <c r="AH575"/>
  <c r="AI575"/>
  <c r="AJ575"/>
  <c r="AK575"/>
  <c r="C576"/>
  <c r="H576"/>
  <c r="I576"/>
  <c r="J576"/>
  <c r="K576"/>
  <c r="M576"/>
  <c r="P576"/>
  <c r="R576"/>
  <c r="S576"/>
  <c r="T576"/>
  <c r="U576"/>
  <c r="X576"/>
  <c r="Y576"/>
  <c r="Z576"/>
  <c r="AA576"/>
  <c r="AB576"/>
  <c r="AC576"/>
  <c r="AD576"/>
  <c r="AE576"/>
  <c r="AF576"/>
  <c r="AG576"/>
  <c r="AH576"/>
  <c r="AI576"/>
  <c r="AJ576"/>
  <c r="AK576"/>
  <c r="C577"/>
  <c r="H577"/>
  <c r="I577"/>
  <c r="J577"/>
  <c r="K577"/>
  <c r="M577"/>
  <c r="P577"/>
  <c r="R577"/>
  <c r="S577"/>
  <c r="T577"/>
  <c r="U577"/>
  <c r="X577"/>
  <c r="Y577"/>
  <c r="Z577"/>
  <c r="AA577"/>
  <c r="AB577"/>
  <c r="AC577"/>
  <c r="AD577"/>
  <c r="AE577"/>
  <c r="AF577"/>
  <c r="AG577"/>
  <c r="AH577"/>
  <c r="AI577"/>
  <c r="AJ577"/>
  <c r="AK577"/>
  <c r="C578"/>
  <c r="H578"/>
  <c r="I578"/>
  <c r="J578"/>
  <c r="K578"/>
  <c r="M578"/>
  <c r="P578"/>
  <c r="R578"/>
  <c r="S578"/>
  <c r="T578"/>
  <c r="U578"/>
  <c r="X578"/>
  <c r="Y578"/>
  <c r="Z578"/>
  <c r="AA578"/>
  <c r="AB578"/>
  <c r="AC578"/>
  <c r="AD578"/>
  <c r="AE578"/>
  <c r="AF578"/>
  <c r="AG578"/>
  <c r="AH578"/>
  <c r="AI578"/>
  <c r="AJ578"/>
  <c r="AK578"/>
  <c r="C579"/>
  <c r="H579"/>
  <c r="I579"/>
  <c r="J579"/>
  <c r="K579"/>
  <c r="M579"/>
  <c r="P579"/>
  <c r="R579"/>
  <c r="S579"/>
  <c r="T579"/>
  <c r="U579"/>
  <c r="X579"/>
  <c r="Y579"/>
  <c r="Z579"/>
  <c r="AA579"/>
  <c r="AB579"/>
  <c r="AC579"/>
  <c r="AD579"/>
  <c r="AE579"/>
  <c r="AF579"/>
  <c r="AG579"/>
  <c r="AH579"/>
  <c r="AI579"/>
  <c r="AJ579"/>
  <c r="AK579"/>
  <c r="C580"/>
  <c r="H580"/>
  <c r="I580"/>
  <c r="J580"/>
  <c r="K580"/>
  <c r="M580"/>
  <c r="P580"/>
  <c r="R580"/>
  <c r="S580"/>
  <c r="T580"/>
  <c r="U580"/>
  <c r="X580"/>
  <c r="Y580"/>
  <c r="Z580"/>
  <c r="AA580"/>
  <c r="AB580"/>
  <c r="AC580"/>
  <c r="AD580"/>
  <c r="AE580"/>
  <c r="AF580"/>
  <c r="AG580"/>
  <c r="AH580"/>
  <c r="AI580"/>
  <c r="AJ580"/>
  <c r="AK580"/>
  <c r="C581"/>
  <c r="H581"/>
  <c r="I581"/>
  <c r="J581"/>
  <c r="K581"/>
  <c r="M581"/>
  <c r="P581"/>
  <c r="R581"/>
  <c r="S581"/>
  <c r="T581"/>
  <c r="U581"/>
  <c r="X581"/>
  <c r="Y581"/>
  <c r="Z581"/>
  <c r="AA581"/>
  <c r="AB581"/>
  <c r="AC581"/>
  <c r="AD581"/>
  <c r="AE581"/>
  <c r="AF581"/>
  <c r="AG581"/>
  <c r="AH581"/>
  <c r="AI581"/>
  <c r="AJ581"/>
  <c r="AK581"/>
  <c r="C562"/>
  <c r="H562"/>
  <c r="I562"/>
  <c r="J562"/>
  <c r="K562"/>
  <c r="M562"/>
  <c r="P562"/>
  <c r="R562"/>
  <c r="S562"/>
  <c r="T562"/>
  <c r="U562"/>
  <c r="X562"/>
  <c r="Y562"/>
  <c r="Z562"/>
  <c r="AA562"/>
  <c r="AB562"/>
  <c r="AC562"/>
  <c r="AD562"/>
  <c r="AE562"/>
  <c r="AF562"/>
  <c r="AG562"/>
  <c r="AH562"/>
  <c r="AI562"/>
  <c r="AJ562"/>
  <c r="AK562"/>
  <c r="C563"/>
  <c r="H563"/>
  <c r="I563"/>
  <c r="J563"/>
  <c r="K563"/>
  <c r="M563"/>
  <c r="P563"/>
  <c r="R563"/>
  <c r="S563"/>
  <c r="T563"/>
  <c r="U563"/>
  <c r="X563"/>
  <c r="Y563"/>
  <c r="Z563"/>
  <c r="AA563"/>
  <c r="AB563"/>
  <c r="AC563"/>
  <c r="AD563"/>
  <c r="AE563"/>
  <c r="AF563"/>
  <c r="AG563"/>
  <c r="AH563"/>
  <c r="AI563"/>
  <c r="AJ563"/>
  <c r="AK563"/>
  <c r="C564"/>
  <c r="H564"/>
  <c r="I564"/>
  <c r="J564"/>
  <c r="K564"/>
  <c r="M564"/>
  <c r="P564"/>
  <c r="R564"/>
  <c r="S564"/>
  <c r="T564"/>
  <c r="U564"/>
  <c r="X564"/>
  <c r="Y564"/>
  <c r="Z564"/>
  <c r="AA564"/>
  <c r="AB564"/>
  <c r="AC564"/>
  <c r="AD564"/>
  <c r="AE564"/>
  <c r="AF564"/>
  <c r="AG564"/>
  <c r="AH564"/>
  <c r="AI564"/>
  <c r="AJ564"/>
  <c r="AK564"/>
  <c r="C565"/>
  <c r="H565"/>
  <c r="I565"/>
  <c r="J565"/>
  <c r="K565"/>
  <c r="M565"/>
  <c r="P565"/>
  <c r="R565"/>
  <c r="S565"/>
  <c r="T565"/>
  <c r="U565"/>
  <c r="X565"/>
  <c r="Y565"/>
  <c r="Z565"/>
  <c r="AA565"/>
  <c r="AB565"/>
  <c r="AC565"/>
  <c r="AD565"/>
  <c r="AE565"/>
  <c r="AF565"/>
  <c r="AG565"/>
  <c r="AH565"/>
  <c r="AI565"/>
  <c r="AJ565"/>
  <c r="AK565"/>
  <c r="C566"/>
  <c r="H566"/>
  <c r="I566"/>
  <c r="J566"/>
  <c r="K566"/>
  <c r="M566"/>
  <c r="P566"/>
  <c r="R566"/>
  <c r="S566"/>
  <c r="T566"/>
  <c r="U566"/>
  <c r="X566"/>
  <c r="Y566"/>
  <c r="Z566"/>
  <c r="AA566"/>
  <c r="AB566"/>
  <c r="AC566"/>
  <c r="AD566"/>
  <c r="AE566"/>
  <c r="AF566"/>
  <c r="AG566"/>
  <c r="AH566"/>
  <c r="AI566"/>
  <c r="AJ566"/>
  <c r="AK566"/>
  <c r="C567"/>
  <c r="H567"/>
  <c r="I567"/>
  <c r="J567"/>
  <c r="K567"/>
  <c r="M567"/>
  <c r="P567"/>
  <c r="R567"/>
  <c r="S567"/>
  <c r="T567"/>
  <c r="U567"/>
  <c r="X567"/>
  <c r="Y567"/>
  <c r="Z567"/>
  <c r="AA567"/>
  <c r="AB567"/>
  <c r="AC567"/>
  <c r="AD567"/>
  <c r="AE567"/>
  <c r="AF567"/>
  <c r="AG567"/>
  <c r="AH567"/>
  <c r="AI567"/>
  <c r="AJ567"/>
  <c r="AK567"/>
  <c r="C568"/>
  <c r="H568"/>
  <c r="I568"/>
  <c r="J568"/>
  <c r="K568"/>
  <c r="M568"/>
  <c r="P568"/>
  <c r="R568"/>
  <c r="S568"/>
  <c r="T568"/>
  <c r="U568"/>
  <c r="X568"/>
  <c r="Y568"/>
  <c r="Z568"/>
  <c r="AA568"/>
  <c r="AB568"/>
  <c r="AC568"/>
  <c r="AD568"/>
  <c r="AE568"/>
  <c r="AF568"/>
  <c r="AG568"/>
  <c r="AH568"/>
  <c r="AI568"/>
  <c r="AJ568"/>
  <c r="AK568"/>
  <c r="C569"/>
  <c r="H569"/>
  <c r="I569"/>
  <c r="J569"/>
  <c r="K569"/>
  <c r="M569"/>
  <c r="P569"/>
  <c r="R569"/>
  <c r="S569"/>
  <c r="T569"/>
  <c r="U569"/>
  <c r="X569"/>
  <c r="Y569"/>
  <c r="Z569"/>
  <c r="AA569"/>
  <c r="AB569"/>
  <c r="AC569"/>
  <c r="AD569"/>
  <c r="AE569"/>
  <c r="AF569"/>
  <c r="AG569"/>
  <c r="AH569"/>
  <c r="AI569"/>
  <c r="AJ569"/>
  <c r="AK569"/>
  <c r="C570"/>
  <c r="H570"/>
  <c r="I570"/>
  <c r="J570"/>
  <c r="K570"/>
  <c r="M570"/>
  <c r="P570"/>
  <c r="R570"/>
  <c r="S570"/>
  <c r="T570"/>
  <c r="U570"/>
  <c r="X570"/>
  <c r="Y570"/>
  <c r="Z570"/>
  <c r="AA570"/>
  <c r="AB570"/>
  <c r="AC570"/>
  <c r="AD570"/>
  <c r="AE570"/>
  <c r="AF570"/>
  <c r="AG570"/>
  <c r="AH570"/>
  <c r="AI570"/>
  <c r="AJ570"/>
  <c r="AK570"/>
  <c r="C571"/>
  <c r="H571"/>
  <c r="I571"/>
  <c r="J571"/>
  <c r="K571"/>
  <c r="M571"/>
  <c r="P571"/>
  <c r="R571"/>
  <c r="S571"/>
  <c r="T571"/>
  <c r="U571"/>
  <c r="X571"/>
  <c r="Y571"/>
  <c r="Z571"/>
  <c r="AA571"/>
  <c r="AB571"/>
  <c r="AC571"/>
  <c r="AD571"/>
  <c r="AE571"/>
  <c r="AF571"/>
  <c r="AG571"/>
  <c r="AH571"/>
  <c r="AI571"/>
  <c r="AJ571"/>
  <c r="AK571"/>
  <c r="C552"/>
  <c r="H552"/>
  <c r="I552"/>
  <c r="J552"/>
  <c r="K552"/>
  <c r="M552"/>
  <c r="P552"/>
  <c r="R552"/>
  <c r="S552"/>
  <c r="T552"/>
  <c r="U552"/>
  <c r="X552"/>
  <c r="Y552"/>
  <c r="Z552"/>
  <c r="AA552"/>
  <c r="AB552"/>
  <c r="AC552"/>
  <c r="AD552"/>
  <c r="AE552"/>
  <c r="AF552"/>
  <c r="AG552"/>
  <c r="AH552"/>
  <c r="AI552"/>
  <c r="AJ552"/>
  <c r="AK552"/>
  <c r="C553"/>
  <c r="H553"/>
  <c r="I553"/>
  <c r="J553"/>
  <c r="K553"/>
  <c r="M553"/>
  <c r="P553"/>
  <c r="R553"/>
  <c r="S553"/>
  <c r="T553"/>
  <c r="U553"/>
  <c r="X553"/>
  <c r="Y553"/>
  <c r="Z553"/>
  <c r="AA553"/>
  <c r="AB553"/>
  <c r="AC553"/>
  <c r="AD553"/>
  <c r="AE553"/>
  <c r="AF553"/>
  <c r="AG553"/>
  <c r="AH553"/>
  <c r="AI553"/>
  <c r="AJ553"/>
  <c r="AK553"/>
  <c r="C554"/>
  <c r="H554"/>
  <c r="I554"/>
  <c r="J554"/>
  <c r="K554"/>
  <c r="M554"/>
  <c r="P554"/>
  <c r="R554"/>
  <c r="S554"/>
  <c r="T554"/>
  <c r="U554"/>
  <c r="X554"/>
  <c r="Y554"/>
  <c r="Z554"/>
  <c r="AA554"/>
  <c r="AB554"/>
  <c r="AC554"/>
  <c r="AD554"/>
  <c r="AE554"/>
  <c r="AF554"/>
  <c r="AG554"/>
  <c r="AH554"/>
  <c r="AI554"/>
  <c r="AJ554"/>
  <c r="AK554"/>
  <c r="C555"/>
  <c r="H555"/>
  <c r="I555"/>
  <c r="J555"/>
  <c r="K555"/>
  <c r="M555"/>
  <c r="P555"/>
  <c r="R555"/>
  <c r="S555"/>
  <c r="T555"/>
  <c r="U555"/>
  <c r="X555"/>
  <c r="Y555"/>
  <c r="Z555"/>
  <c r="AA555"/>
  <c r="AB555"/>
  <c r="AC555"/>
  <c r="AD555"/>
  <c r="AE555"/>
  <c r="AF555"/>
  <c r="AG555"/>
  <c r="AH555"/>
  <c r="AI555"/>
  <c r="AJ555"/>
  <c r="AK555"/>
  <c r="C556"/>
  <c r="H556"/>
  <c r="I556"/>
  <c r="J556"/>
  <c r="K556"/>
  <c r="M556"/>
  <c r="P556"/>
  <c r="R556"/>
  <c r="S556"/>
  <c r="T556"/>
  <c r="U556"/>
  <c r="X556"/>
  <c r="Y556"/>
  <c r="Z556"/>
  <c r="AA556"/>
  <c r="AB556"/>
  <c r="AC556"/>
  <c r="AD556"/>
  <c r="AE556"/>
  <c r="AF556"/>
  <c r="AG556"/>
  <c r="AH556"/>
  <c r="AI556"/>
  <c r="AJ556"/>
  <c r="AK556"/>
  <c r="C557"/>
  <c r="H557"/>
  <c r="I557"/>
  <c r="J557"/>
  <c r="K557"/>
  <c r="M557"/>
  <c r="P557"/>
  <c r="R557"/>
  <c r="S557"/>
  <c r="T557"/>
  <c r="U557"/>
  <c r="X557"/>
  <c r="Y557"/>
  <c r="Z557"/>
  <c r="AA557"/>
  <c r="AB557"/>
  <c r="AC557"/>
  <c r="AD557"/>
  <c r="AE557"/>
  <c r="AF557"/>
  <c r="AG557"/>
  <c r="AH557"/>
  <c r="AI557"/>
  <c r="AJ557"/>
  <c r="AK557"/>
  <c r="C558"/>
  <c r="H558"/>
  <c r="I558"/>
  <c r="J558"/>
  <c r="K558"/>
  <c r="M558"/>
  <c r="P558"/>
  <c r="R558"/>
  <c r="S558"/>
  <c r="T558"/>
  <c r="U558"/>
  <c r="X558"/>
  <c r="Y558"/>
  <c r="Z558"/>
  <c r="AA558"/>
  <c r="AB558"/>
  <c r="AC558"/>
  <c r="AD558"/>
  <c r="AE558"/>
  <c r="AF558"/>
  <c r="AG558"/>
  <c r="AH558"/>
  <c r="AI558"/>
  <c r="AJ558"/>
  <c r="AK558"/>
  <c r="C559"/>
  <c r="H559"/>
  <c r="I559"/>
  <c r="J559"/>
  <c r="K559"/>
  <c r="M559"/>
  <c r="P559"/>
  <c r="R559"/>
  <c r="S559"/>
  <c r="T559"/>
  <c r="U559"/>
  <c r="X559"/>
  <c r="Y559"/>
  <c r="Z559"/>
  <c r="AA559"/>
  <c r="AB559"/>
  <c r="AC559"/>
  <c r="AD559"/>
  <c r="AE559"/>
  <c r="AF559"/>
  <c r="AG559"/>
  <c r="AH559"/>
  <c r="AI559"/>
  <c r="AJ559"/>
  <c r="AK559"/>
  <c r="C560"/>
  <c r="H560"/>
  <c r="I560"/>
  <c r="J560"/>
  <c r="K560"/>
  <c r="M560"/>
  <c r="P560"/>
  <c r="R560"/>
  <c r="S560"/>
  <c r="T560"/>
  <c r="U560"/>
  <c r="X560"/>
  <c r="Y560"/>
  <c r="Z560"/>
  <c r="AA560"/>
  <c r="AB560"/>
  <c r="AC560"/>
  <c r="AD560"/>
  <c r="AE560"/>
  <c r="AF560"/>
  <c r="AG560"/>
  <c r="AH560"/>
  <c r="AI560"/>
  <c r="AJ560"/>
  <c r="AK560"/>
  <c r="C561"/>
  <c r="H561"/>
  <c r="I561"/>
  <c r="J561"/>
  <c r="K561"/>
  <c r="M561"/>
  <c r="P561"/>
  <c r="R561"/>
  <c r="S561"/>
  <c r="T561"/>
  <c r="U561"/>
  <c r="X561"/>
  <c r="Y561"/>
  <c r="Z561"/>
  <c r="AA561"/>
  <c r="AB561"/>
  <c r="AC561"/>
  <c r="AD561"/>
  <c r="AE561"/>
  <c r="AF561"/>
  <c r="AG561"/>
  <c r="AH561"/>
  <c r="AI561"/>
  <c r="AJ561"/>
  <c r="AK561"/>
  <c r="C542"/>
  <c r="H542"/>
  <c r="I542"/>
  <c r="J542"/>
  <c r="K542"/>
  <c r="M542"/>
  <c r="P542"/>
  <c r="R542"/>
  <c r="S542"/>
  <c r="T542"/>
  <c r="U542"/>
  <c r="X542"/>
  <c r="Y542"/>
  <c r="Z542"/>
  <c r="AA542"/>
  <c r="AB542"/>
  <c r="AC542"/>
  <c r="AD542"/>
  <c r="AE542"/>
  <c r="AF542"/>
  <c r="AG542"/>
  <c r="AH542"/>
  <c r="AI542"/>
  <c r="AJ542"/>
  <c r="AK542"/>
  <c r="C543"/>
  <c r="H543"/>
  <c r="I543"/>
  <c r="J543"/>
  <c r="K543"/>
  <c r="M543"/>
  <c r="P543"/>
  <c r="R543"/>
  <c r="S543"/>
  <c r="T543"/>
  <c r="U543"/>
  <c r="X543"/>
  <c r="Y543"/>
  <c r="Z543"/>
  <c r="AA543"/>
  <c r="AB543"/>
  <c r="AC543"/>
  <c r="AD543"/>
  <c r="AE543"/>
  <c r="AF543"/>
  <c r="AG543"/>
  <c r="AH543"/>
  <c r="AI543"/>
  <c r="AJ543"/>
  <c r="AK543"/>
  <c r="C544"/>
  <c r="H544"/>
  <c r="I544"/>
  <c r="J544"/>
  <c r="K544"/>
  <c r="M544"/>
  <c r="P544"/>
  <c r="R544"/>
  <c r="S544"/>
  <c r="T544"/>
  <c r="U544"/>
  <c r="X544"/>
  <c r="Y544"/>
  <c r="Z544"/>
  <c r="AA544"/>
  <c r="AB544"/>
  <c r="AC544"/>
  <c r="AD544"/>
  <c r="AE544"/>
  <c r="AF544"/>
  <c r="AG544"/>
  <c r="AH544"/>
  <c r="AI544"/>
  <c r="AJ544"/>
  <c r="AK544"/>
  <c r="C545"/>
  <c r="H545"/>
  <c r="I545"/>
  <c r="J545"/>
  <c r="K545"/>
  <c r="M545"/>
  <c r="P545"/>
  <c r="R545"/>
  <c r="S545"/>
  <c r="T545"/>
  <c r="U545"/>
  <c r="X545"/>
  <c r="Y545"/>
  <c r="Z545"/>
  <c r="AA545"/>
  <c r="AB545"/>
  <c r="AC545"/>
  <c r="AD545"/>
  <c r="AE545"/>
  <c r="AF545"/>
  <c r="AG545"/>
  <c r="AH545"/>
  <c r="AI545"/>
  <c r="AJ545"/>
  <c r="AK545"/>
  <c r="C546"/>
  <c r="H546"/>
  <c r="I546"/>
  <c r="J546"/>
  <c r="K546"/>
  <c r="M546"/>
  <c r="P546"/>
  <c r="R546"/>
  <c r="S546"/>
  <c r="T546"/>
  <c r="U546"/>
  <c r="X546"/>
  <c r="Y546"/>
  <c r="Z546"/>
  <c r="AA546"/>
  <c r="AB546"/>
  <c r="AC546"/>
  <c r="AD546"/>
  <c r="AE546"/>
  <c r="AF546"/>
  <c r="AG546"/>
  <c r="AH546"/>
  <c r="AI546"/>
  <c r="AJ546"/>
  <c r="AK546"/>
  <c r="C547"/>
  <c r="H547"/>
  <c r="I547"/>
  <c r="J547"/>
  <c r="K547"/>
  <c r="M547"/>
  <c r="P547"/>
  <c r="R547"/>
  <c r="S547"/>
  <c r="T547"/>
  <c r="U547"/>
  <c r="X547"/>
  <c r="Y547"/>
  <c r="Z547"/>
  <c r="AA547"/>
  <c r="AB547"/>
  <c r="AC547"/>
  <c r="AD547"/>
  <c r="AE547"/>
  <c r="AF547"/>
  <c r="AG547"/>
  <c r="AH547"/>
  <c r="AI547"/>
  <c r="AJ547"/>
  <c r="AK547"/>
  <c r="C548"/>
  <c r="H548"/>
  <c r="I548"/>
  <c r="J548"/>
  <c r="K548"/>
  <c r="M548"/>
  <c r="P548"/>
  <c r="R548"/>
  <c r="S548"/>
  <c r="T548"/>
  <c r="U548"/>
  <c r="X548"/>
  <c r="Y548"/>
  <c r="Z548"/>
  <c r="AA548"/>
  <c r="AB548"/>
  <c r="AC548"/>
  <c r="AD548"/>
  <c r="AE548"/>
  <c r="AF548"/>
  <c r="AG548"/>
  <c r="AH548"/>
  <c r="AI548"/>
  <c r="AJ548"/>
  <c r="AK548"/>
  <c r="C549"/>
  <c r="H549"/>
  <c r="I549"/>
  <c r="J549"/>
  <c r="K549"/>
  <c r="M549"/>
  <c r="P549"/>
  <c r="R549"/>
  <c r="S549"/>
  <c r="T549"/>
  <c r="U549"/>
  <c r="X549"/>
  <c r="Y549"/>
  <c r="Z549"/>
  <c r="AA549"/>
  <c r="AB549"/>
  <c r="AC549"/>
  <c r="AD549"/>
  <c r="AE549"/>
  <c r="AF549"/>
  <c r="AG549"/>
  <c r="AH549"/>
  <c r="AI549"/>
  <c r="AJ549"/>
  <c r="AK549"/>
  <c r="C550"/>
  <c r="H550"/>
  <c r="I550"/>
  <c r="J550"/>
  <c r="K550"/>
  <c r="M550"/>
  <c r="P550"/>
  <c r="R550"/>
  <c r="S550"/>
  <c r="T550"/>
  <c r="U550"/>
  <c r="X550"/>
  <c r="Y550"/>
  <c r="Z550"/>
  <c r="AA550"/>
  <c r="AB550"/>
  <c r="AC550"/>
  <c r="AD550"/>
  <c r="AE550"/>
  <c r="AF550"/>
  <c r="AG550"/>
  <c r="AH550"/>
  <c r="AI550"/>
  <c r="AJ550"/>
  <c r="AK550"/>
  <c r="C551"/>
  <c r="H551"/>
  <c r="I551"/>
  <c r="J551"/>
  <c r="K551"/>
  <c r="M551"/>
  <c r="P551"/>
  <c r="R551"/>
  <c r="S551"/>
  <c r="T551"/>
  <c r="U551"/>
  <c r="X551"/>
  <c r="Y551"/>
  <c r="Z551"/>
  <c r="AA551"/>
  <c r="AB551"/>
  <c r="AC551"/>
  <c r="AD551"/>
  <c r="AE551"/>
  <c r="AF551"/>
  <c r="AG551"/>
  <c r="AH551"/>
  <c r="AI551"/>
  <c r="AJ551"/>
  <c r="AK551"/>
  <c r="C532"/>
  <c r="H532"/>
  <c r="I532"/>
  <c r="J532"/>
  <c r="K532"/>
  <c r="M532"/>
  <c r="P532"/>
  <c r="R532"/>
  <c r="S532"/>
  <c r="T532"/>
  <c r="U532"/>
  <c r="X532"/>
  <c r="Y532"/>
  <c r="Z532"/>
  <c r="AA532"/>
  <c r="AB532"/>
  <c r="AC532"/>
  <c r="AD532"/>
  <c r="AE532"/>
  <c r="AF532"/>
  <c r="AG532"/>
  <c r="AH532"/>
  <c r="AI532"/>
  <c r="AJ532"/>
  <c r="AK532"/>
  <c r="C533"/>
  <c r="H533"/>
  <c r="I533"/>
  <c r="J533"/>
  <c r="K533"/>
  <c r="M533"/>
  <c r="P533"/>
  <c r="R533"/>
  <c r="S533"/>
  <c r="T533"/>
  <c r="U533"/>
  <c r="X533"/>
  <c r="Y533"/>
  <c r="Z533"/>
  <c r="AA533"/>
  <c r="AB533"/>
  <c r="AC533"/>
  <c r="AD533"/>
  <c r="AE533"/>
  <c r="AF533"/>
  <c r="AG533"/>
  <c r="AH533"/>
  <c r="AI533"/>
  <c r="AJ533"/>
  <c r="AK533"/>
  <c r="C534"/>
  <c r="H534"/>
  <c r="I534"/>
  <c r="J534"/>
  <c r="K534"/>
  <c r="M534"/>
  <c r="P534"/>
  <c r="R534"/>
  <c r="S534"/>
  <c r="T534"/>
  <c r="U534"/>
  <c r="X534"/>
  <c r="Y534"/>
  <c r="Z534"/>
  <c r="AA534"/>
  <c r="AB534"/>
  <c r="AC534"/>
  <c r="AD534"/>
  <c r="AE534"/>
  <c r="AF534"/>
  <c r="AG534"/>
  <c r="AH534"/>
  <c r="AI534"/>
  <c r="AJ534"/>
  <c r="AK534"/>
  <c r="C535"/>
  <c r="H535"/>
  <c r="I535"/>
  <c r="J535"/>
  <c r="K535"/>
  <c r="M535"/>
  <c r="P535"/>
  <c r="R535"/>
  <c r="S535"/>
  <c r="T535"/>
  <c r="U535"/>
  <c r="X535"/>
  <c r="Y535"/>
  <c r="Z535"/>
  <c r="AA535"/>
  <c r="AB535"/>
  <c r="AC535"/>
  <c r="AD535"/>
  <c r="AE535"/>
  <c r="AF535"/>
  <c r="AG535"/>
  <c r="AH535"/>
  <c r="AI535"/>
  <c r="AJ535"/>
  <c r="AK535"/>
  <c r="C536"/>
  <c r="H536"/>
  <c r="I536"/>
  <c r="J536"/>
  <c r="K536"/>
  <c r="M536"/>
  <c r="P536"/>
  <c r="R536"/>
  <c r="S536"/>
  <c r="T536"/>
  <c r="U536"/>
  <c r="X536"/>
  <c r="Y536"/>
  <c r="Z536"/>
  <c r="AA536"/>
  <c r="AB536"/>
  <c r="AC536"/>
  <c r="AD536"/>
  <c r="AE536"/>
  <c r="AF536"/>
  <c r="AG536"/>
  <c r="AH536"/>
  <c r="AI536"/>
  <c r="AJ536"/>
  <c r="AK536"/>
  <c r="C537"/>
  <c r="H537"/>
  <c r="I537"/>
  <c r="J537"/>
  <c r="K537"/>
  <c r="M537"/>
  <c r="P537"/>
  <c r="R537"/>
  <c r="S537"/>
  <c r="T537"/>
  <c r="U537"/>
  <c r="X537"/>
  <c r="Y537"/>
  <c r="Z537"/>
  <c r="AA537"/>
  <c r="AB537"/>
  <c r="AC537"/>
  <c r="AD537"/>
  <c r="AE537"/>
  <c r="AF537"/>
  <c r="AG537"/>
  <c r="AH537"/>
  <c r="AI537"/>
  <c r="AJ537"/>
  <c r="AK537"/>
  <c r="C538"/>
  <c r="H538"/>
  <c r="I538"/>
  <c r="J538"/>
  <c r="K538"/>
  <c r="M538"/>
  <c r="P538"/>
  <c r="R538"/>
  <c r="S538"/>
  <c r="T538"/>
  <c r="U538"/>
  <c r="X538"/>
  <c r="Y538"/>
  <c r="Z538"/>
  <c r="AA538"/>
  <c r="AB538"/>
  <c r="AC538"/>
  <c r="AD538"/>
  <c r="AE538"/>
  <c r="AF538"/>
  <c r="AG538"/>
  <c r="AH538"/>
  <c r="AI538"/>
  <c r="AJ538"/>
  <c r="AK538"/>
  <c r="C539"/>
  <c r="H539"/>
  <c r="I539"/>
  <c r="J539"/>
  <c r="K539"/>
  <c r="M539"/>
  <c r="P539"/>
  <c r="R539"/>
  <c r="S539"/>
  <c r="T539"/>
  <c r="U539"/>
  <c r="X539"/>
  <c r="Y539"/>
  <c r="Z539"/>
  <c r="AA539"/>
  <c r="AB539"/>
  <c r="AC539"/>
  <c r="AD539"/>
  <c r="AE539"/>
  <c r="AF539"/>
  <c r="AG539"/>
  <c r="AH539"/>
  <c r="AI539"/>
  <c r="AJ539"/>
  <c r="AK539"/>
  <c r="C540"/>
  <c r="H540"/>
  <c r="I540"/>
  <c r="J540"/>
  <c r="K540"/>
  <c r="M540"/>
  <c r="P540"/>
  <c r="R540"/>
  <c r="S540"/>
  <c r="T540"/>
  <c r="U540"/>
  <c r="X540"/>
  <c r="Y540"/>
  <c r="Z540"/>
  <c r="AA540"/>
  <c r="AB540"/>
  <c r="AC540"/>
  <c r="AD540"/>
  <c r="AE540"/>
  <c r="AF540"/>
  <c r="AG540"/>
  <c r="AH540"/>
  <c r="AI540"/>
  <c r="AJ540"/>
  <c r="AK540"/>
  <c r="C541"/>
  <c r="H541"/>
  <c r="I541"/>
  <c r="J541"/>
  <c r="K541"/>
  <c r="M541"/>
  <c r="P541"/>
  <c r="R541"/>
  <c r="S541"/>
  <c r="T541"/>
  <c r="U541"/>
  <c r="X541"/>
  <c r="Y541"/>
  <c r="Z541"/>
  <c r="AA541"/>
  <c r="AB541"/>
  <c r="AC541"/>
  <c r="AD541"/>
  <c r="AE541"/>
  <c r="AF541"/>
  <c r="AG541"/>
  <c r="AH541"/>
  <c r="AI541"/>
  <c r="AJ541"/>
  <c r="AK541"/>
  <c r="C522"/>
  <c r="H522"/>
  <c r="I522"/>
  <c r="J522"/>
  <c r="K522"/>
  <c r="M522"/>
  <c r="P522"/>
  <c r="R522"/>
  <c r="S522"/>
  <c r="T522"/>
  <c r="U522"/>
  <c r="X522"/>
  <c r="Y522"/>
  <c r="Z522"/>
  <c r="AA522"/>
  <c r="AB522"/>
  <c r="AC522"/>
  <c r="AD522"/>
  <c r="AE522"/>
  <c r="AF522"/>
  <c r="AG522"/>
  <c r="AH522"/>
  <c r="AI522"/>
  <c r="AJ522"/>
  <c r="AK522"/>
  <c r="C523"/>
  <c r="H523"/>
  <c r="I523"/>
  <c r="J523"/>
  <c r="K523"/>
  <c r="M523"/>
  <c r="P523"/>
  <c r="R523"/>
  <c r="S523"/>
  <c r="T523"/>
  <c r="U523"/>
  <c r="X523"/>
  <c r="Y523"/>
  <c r="Z523"/>
  <c r="AA523"/>
  <c r="AB523"/>
  <c r="AC523"/>
  <c r="AD523"/>
  <c r="AE523"/>
  <c r="AF523"/>
  <c r="AG523"/>
  <c r="AH523"/>
  <c r="AI523"/>
  <c r="AJ523"/>
  <c r="AK523"/>
  <c r="C524"/>
  <c r="H524"/>
  <c r="I524"/>
  <c r="J524"/>
  <c r="K524"/>
  <c r="M524"/>
  <c r="P524"/>
  <c r="R524"/>
  <c r="S524"/>
  <c r="T524"/>
  <c r="U524"/>
  <c r="X524"/>
  <c r="Y524"/>
  <c r="Z524"/>
  <c r="AA524"/>
  <c r="AB524"/>
  <c r="AC524"/>
  <c r="AD524"/>
  <c r="AE524"/>
  <c r="AF524"/>
  <c r="AG524"/>
  <c r="AH524"/>
  <c r="AI524"/>
  <c r="AJ524"/>
  <c r="AK524"/>
  <c r="C525"/>
  <c r="H525"/>
  <c r="I525"/>
  <c r="J525"/>
  <c r="K525"/>
  <c r="M525"/>
  <c r="P525"/>
  <c r="R525"/>
  <c r="S525"/>
  <c r="T525"/>
  <c r="U525"/>
  <c r="X525"/>
  <c r="Y525"/>
  <c r="Z525"/>
  <c r="AA525"/>
  <c r="AB525"/>
  <c r="AC525"/>
  <c r="AD525"/>
  <c r="AE525"/>
  <c r="AF525"/>
  <c r="AG525"/>
  <c r="AH525"/>
  <c r="AI525"/>
  <c r="AJ525"/>
  <c r="AK525"/>
  <c r="C526"/>
  <c r="H526"/>
  <c r="I526"/>
  <c r="J526"/>
  <c r="K526"/>
  <c r="M526"/>
  <c r="P526"/>
  <c r="R526"/>
  <c r="S526"/>
  <c r="T526"/>
  <c r="U526"/>
  <c r="X526"/>
  <c r="Y526"/>
  <c r="Z526"/>
  <c r="AA526"/>
  <c r="AB526"/>
  <c r="AC526"/>
  <c r="AD526"/>
  <c r="AE526"/>
  <c r="AF526"/>
  <c r="AG526"/>
  <c r="AH526"/>
  <c r="AI526"/>
  <c r="AJ526"/>
  <c r="AK526"/>
  <c r="C527"/>
  <c r="H527"/>
  <c r="I527"/>
  <c r="J527"/>
  <c r="K527"/>
  <c r="M527"/>
  <c r="P527"/>
  <c r="R527"/>
  <c r="S527"/>
  <c r="T527"/>
  <c r="U527"/>
  <c r="X527"/>
  <c r="Y527"/>
  <c r="Z527"/>
  <c r="AA527"/>
  <c r="AB527"/>
  <c r="AC527"/>
  <c r="AD527"/>
  <c r="AE527"/>
  <c r="AF527"/>
  <c r="AG527"/>
  <c r="AH527"/>
  <c r="AI527"/>
  <c r="AJ527"/>
  <c r="AK527"/>
  <c r="C528"/>
  <c r="H528"/>
  <c r="I528"/>
  <c r="J528"/>
  <c r="K528"/>
  <c r="M528"/>
  <c r="P528"/>
  <c r="R528"/>
  <c r="S528"/>
  <c r="T528"/>
  <c r="U528"/>
  <c r="X528"/>
  <c r="Y528"/>
  <c r="Z528"/>
  <c r="AA528"/>
  <c r="AB528"/>
  <c r="AC528"/>
  <c r="AD528"/>
  <c r="AE528"/>
  <c r="AF528"/>
  <c r="AG528"/>
  <c r="AH528"/>
  <c r="AI528"/>
  <c r="AJ528"/>
  <c r="AK528"/>
  <c r="C529"/>
  <c r="H529"/>
  <c r="I529"/>
  <c r="J529"/>
  <c r="K529"/>
  <c r="M529"/>
  <c r="P529"/>
  <c r="R529"/>
  <c r="S529"/>
  <c r="T529"/>
  <c r="U529"/>
  <c r="X529"/>
  <c r="Y529"/>
  <c r="Z529"/>
  <c r="AA529"/>
  <c r="AB529"/>
  <c r="AC529"/>
  <c r="AD529"/>
  <c r="AE529"/>
  <c r="AF529"/>
  <c r="AG529"/>
  <c r="AH529"/>
  <c r="AI529"/>
  <c r="AJ529"/>
  <c r="AK529"/>
  <c r="C530"/>
  <c r="H530"/>
  <c r="I530"/>
  <c r="J530"/>
  <c r="K530"/>
  <c r="M530"/>
  <c r="P530"/>
  <c r="R530"/>
  <c r="S530"/>
  <c r="T530"/>
  <c r="U530"/>
  <c r="X530"/>
  <c r="Y530"/>
  <c r="Z530"/>
  <c r="AA530"/>
  <c r="AB530"/>
  <c r="AC530"/>
  <c r="AD530"/>
  <c r="AE530"/>
  <c r="AF530"/>
  <c r="AG530"/>
  <c r="AH530"/>
  <c r="AI530"/>
  <c r="AJ530"/>
  <c r="AK530"/>
  <c r="C531"/>
  <c r="H531"/>
  <c r="I531"/>
  <c r="J531"/>
  <c r="K531"/>
  <c r="M531"/>
  <c r="P531"/>
  <c r="R531"/>
  <c r="S531"/>
  <c r="T531"/>
  <c r="U531"/>
  <c r="X531"/>
  <c r="Y531"/>
  <c r="Z531"/>
  <c r="AA531"/>
  <c r="AB531"/>
  <c r="AC531"/>
  <c r="AD531"/>
  <c r="AE531"/>
  <c r="AF531"/>
  <c r="AG531"/>
  <c r="AH531"/>
  <c r="AI531"/>
  <c r="AJ531"/>
  <c r="AK531"/>
  <c r="C512"/>
  <c r="H512"/>
  <c r="I512"/>
  <c r="J512"/>
  <c r="K512"/>
  <c r="M512"/>
  <c r="P512"/>
  <c r="R512"/>
  <c r="S512"/>
  <c r="T512"/>
  <c r="U512"/>
  <c r="X512"/>
  <c r="Y512"/>
  <c r="Z512"/>
  <c r="AA512"/>
  <c r="AB512"/>
  <c r="AC512"/>
  <c r="AD512"/>
  <c r="AE512"/>
  <c r="AF512"/>
  <c r="AG512"/>
  <c r="AH512"/>
  <c r="AI512"/>
  <c r="AJ512"/>
  <c r="AK512"/>
  <c r="C513"/>
  <c r="H513"/>
  <c r="I513"/>
  <c r="J513"/>
  <c r="K513"/>
  <c r="M513"/>
  <c r="P513"/>
  <c r="R513"/>
  <c r="S513"/>
  <c r="T513"/>
  <c r="U513"/>
  <c r="X513"/>
  <c r="Y513"/>
  <c r="Z513"/>
  <c r="AA513"/>
  <c r="AB513"/>
  <c r="AC513"/>
  <c r="AD513"/>
  <c r="AE513"/>
  <c r="AF513"/>
  <c r="AG513"/>
  <c r="AH513"/>
  <c r="AI513"/>
  <c r="AJ513"/>
  <c r="AK513"/>
  <c r="C514"/>
  <c r="H514"/>
  <c r="I514"/>
  <c r="J514"/>
  <c r="K514"/>
  <c r="M514"/>
  <c r="P514"/>
  <c r="R514"/>
  <c r="S514"/>
  <c r="T514"/>
  <c r="U514"/>
  <c r="X514"/>
  <c r="Y514"/>
  <c r="Z514"/>
  <c r="AA514"/>
  <c r="AB514"/>
  <c r="AC514"/>
  <c r="AD514"/>
  <c r="AE514"/>
  <c r="AF514"/>
  <c r="AG514"/>
  <c r="AH514"/>
  <c r="AI514"/>
  <c r="AJ514"/>
  <c r="AK514"/>
  <c r="C515"/>
  <c r="H515"/>
  <c r="I515"/>
  <c r="J515"/>
  <c r="K515"/>
  <c r="M515"/>
  <c r="P515"/>
  <c r="R515"/>
  <c r="S515"/>
  <c r="T515"/>
  <c r="U515"/>
  <c r="X515"/>
  <c r="Y515"/>
  <c r="Z515"/>
  <c r="AA515"/>
  <c r="AB515"/>
  <c r="AC515"/>
  <c r="AD515"/>
  <c r="AE515"/>
  <c r="AF515"/>
  <c r="AG515"/>
  <c r="AH515"/>
  <c r="AI515"/>
  <c r="AJ515"/>
  <c r="AK515"/>
  <c r="C516"/>
  <c r="H516"/>
  <c r="I516"/>
  <c r="J516"/>
  <c r="K516"/>
  <c r="M516"/>
  <c r="P516"/>
  <c r="R516"/>
  <c r="S516"/>
  <c r="T516"/>
  <c r="U516"/>
  <c r="X516"/>
  <c r="Y516"/>
  <c r="Z516"/>
  <c r="AA516"/>
  <c r="AB516"/>
  <c r="AC516"/>
  <c r="AD516"/>
  <c r="AE516"/>
  <c r="AF516"/>
  <c r="AG516"/>
  <c r="AH516"/>
  <c r="AI516"/>
  <c r="AJ516"/>
  <c r="AK516"/>
  <c r="C517"/>
  <c r="H517"/>
  <c r="I517"/>
  <c r="J517"/>
  <c r="K517"/>
  <c r="M517"/>
  <c r="P517"/>
  <c r="R517"/>
  <c r="S517"/>
  <c r="T517"/>
  <c r="U517"/>
  <c r="X517"/>
  <c r="Y517"/>
  <c r="Z517"/>
  <c r="AA517"/>
  <c r="AB517"/>
  <c r="AC517"/>
  <c r="AD517"/>
  <c r="AE517"/>
  <c r="AF517"/>
  <c r="AG517"/>
  <c r="AH517"/>
  <c r="AI517"/>
  <c r="AJ517"/>
  <c r="AK517"/>
  <c r="C518"/>
  <c r="H518"/>
  <c r="I518"/>
  <c r="J518"/>
  <c r="K518"/>
  <c r="M518"/>
  <c r="P518"/>
  <c r="R518"/>
  <c r="S518"/>
  <c r="T518"/>
  <c r="U518"/>
  <c r="X518"/>
  <c r="Y518"/>
  <c r="Z518"/>
  <c r="AA518"/>
  <c r="AB518"/>
  <c r="AC518"/>
  <c r="AD518"/>
  <c r="AE518"/>
  <c r="AF518"/>
  <c r="AG518"/>
  <c r="AH518"/>
  <c r="AI518"/>
  <c r="AJ518"/>
  <c r="AK518"/>
  <c r="C519"/>
  <c r="H519"/>
  <c r="I519"/>
  <c r="J519"/>
  <c r="K519"/>
  <c r="M519"/>
  <c r="P519"/>
  <c r="R519"/>
  <c r="S519"/>
  <c r="T519"/>
  <c r="U519"/>
  <c r="X519"/>
  <c r="Y519"/>
  <c r="Z519"/>
  <c r="AA519"/>
  <c r="AB519"/>
  <c r="AC519"/>
  <c r="AD519"/>
  <c r="AE519"/>
  <c r="AF519"/>
  <c r="AG519"/>
  <c r="AH519"/>
  <c r="AI519"/>
  <c r="AJ519"/>
  <c r="AK519"/>
  <c r="C520"/>
  <c r="H520"/>
  <c r="I520"/>
  <c r="J520"/>
  <c r="K520"/>
  <c r="M520"/>
  <c r="P520"/>
  <c r="R520"/>
  <c r="S520"/>
  <c r="T520"/>
  <c r="U520"/>
  <c r="X520"/>
  <c r="Y520"/>
  <c r="Z520"/>
  <c r="AA520"/>
  <c r="AB520"/>
  <c r="AC520"/>
  <c r="AD520"/>
  <c r="AE520"/>
  <c r="AF520"/>
  <c r="AG520"/>
  <c r="AH520"/>
  <c r="AI520"/>
  <c r="AJ520"/>
  <c r="AK520"/>
  <c r="C521"/>
  <c r="H521"/>
  <c r="I521"/>
  <c r="J521"/>
  <c r="K521"/>
  <c r="M521"/>
  <c r="P521"/>
  <c r="R521"/>
  <c r="S521"/>
  <c r="T521"/>
  <c r="U521"/>
  <c r="X521"/>
  <c r="Y521"/>
  <c r="Z521"/>
  <c r="AA521"/>
  <c r="AB521"/>
  <c r="AC521"/>
  <c r="AD521"/>
  <c r="AE521"/>
  <c r="AF521"/>
  <c r="AG521"/>
  <c r="AH521"/>
  <c r="AI521"/>
  <c r="AJ521"/>
  <c r="AK521"/>
  <c r="C502"/>
  <c r="H502"/>
  <c r="I502"/>
  <c r="J502"/>
  <c r="K502"/>
  <c r="M502"/>
  <c r="P502"/>
  <c r="R502"/>
  <c r="S502"/>
  <c r="T502"/>
  <c r="U502"/>
  <c r="X502"/>
  <c r="Y502"/>
  <c r="Z502"/>
  <c r="AA502"/>
  <c r="AB502"/>
  <c r="AC502"/>
  <c r="AD502"/>
  <c r="AE502"/>
  <c r="AF502"/>
  <c r="AG502"/>
  <c r="AH502"/>
  <c r="AI502"/>
  <c r="AJ502"/>
  <c r="AK502"/>
  <c r="C503"/>
  <c r="H503"/>
  <c r="I503"/>
  <c r="J503"/>
  <c r="K503"/>
  <c r="M503"/>
  <c r="P503"/>
  <c r="R503"/>
  <c r="S503"/>
  <c r="T503"/>
  <c r="U503"/>
  <c r="X503"/>
  <c r="Y503"/>
  <c r="Z503"/>
  <c r="AA503"/>
  <c r="AB503"/>
  <c r="AC503"/>
  <c r="AD503"/>
  <c r="AE503"/>
  <c r="AF503"/>
  <c r="AG503"/>
  <c r="AH503"/>
  <c r="AI503"/>
  <c r="AJ503"/>
  <c r="AK503"/>
  <c r="C504"/>
  <c r="H504"/>
  <c r="I504"/>
  <c r="J504"/>
  <c r="K504"/>
  <c r="M504"/>
  <c r="P504"/>
  <c r="R504"/>
  <c r="S504"/>
  <c r="T504"/>
  <c r="U504"/>
  <c r="X504"/>
  <c r="Y504"/>
  <c r="Z504"/>
  <c r="AA504"/>
  <c r="AB504"/>
  <c r="AC504"/>
  <c r="AD504"/>
  <c r="AE504"/>
  <c r="AF504"/>
  <c r="AG504"/>
  <c r="AH504"/>
  <c r="AI504"/>
  <c r="AJ504"/>
  <c r="AK504"/>
  <c r="C505"/>
  <c r="H505"/>
  <c r="I505"/>
  <c r="J505"/>
  <c r="K505"/>
  <c r="M505"/>
  <c r="P505"/>
  <c r="R505"/>
  <c r="S505"/>
  <c r="T505"/>
  <c r="U505"/>
  <c r="X505"/>
  <c r="Y505"/>
  <c r="Z505"/>
  <c r="AA505"/>
  <c r="AB505"/>
  <c r="AC505"/>
  <c r="AD505"/>
  <c r="AE505"/>
  <c r="AF505"/>
  <c r="AG505"/>
  <c r="AH505"/>
  <c r="AI505"/>
  <c r="AJ505"/>
  <c r="AK505"/>
  <c r="C506"/>
  <c r="H506"/>
  <c r="I506"/>
  <c r="J506"/>
  <c r="K506"/>
  <c r="M506"/>
  <c r="P506"/>
  <c r="R506"/>
  <c r="S506"/>
  <c r="T506"/>
  <c r="U506"/>
  <c r="X506"/>
  <c r="Y506"/>
  <c r="Z506"/>
  <c r="AA506"/>
  <c r="AB506"/>
  <c r="AC506"/>
  <c r="AD506"/>
  <c r="AE506"/>
  <c r="AF506"/>
  <c r="AG506"/>
  <c r="AH506"/>
  <c r="AI506"/>
  <c r="AJ506"/>
  <c r="AK506"/>
  <c r="C507"/>
  <c r="H507"/>
  <c r="I507"/>
  <c r="J507"/>
  <c r="K507"/>
  <c r="M507"/>
  <c r="P507"/>
  <c r="R507"/>
  <c r="S507"/>
  <c r="T507"/>
  <c r="U507"/>
  <c r="X507"/>
  <c r="Y507"/>
  <c r="Z507"/>
  <c r="AA507"/>
  <c r="AB507"/>
  <c r="AC507"/>
  <c r="AD507"/>
  <c r="AE507"/>
  <c r="AF507"/>
  <c r="AG507"/>
  <c r="AH507"/>
  <c r="AI507"/>
  <c r="AJ507"/>
  <c r="AK507"/>
  <c r="C508"/>
  <c r="H508"/>
  <c r="I508"/>
  <c r="J508"/>
  <c r="K508"/>
  <c r="M508"/>
  <c r="P508"/>
  <c r="R508"/>
  <c r="S508"/>
  <c r="T508"/>
  <c r="U508"/>
  <c r="X508"/>
  <c r="Y508"/>
  <c r="Z508"/>
  <c r="AA508"/>
  <c r="AB508"/>
  <c r="AC508"/>
  <c r="AD508"/>
  <c r="AE508"/>
  <c r="AF508"/>
  <c r="AG508"/>
  <c r="AH508"/>
  <c r="AI508"/>
  <c r="AJ508"/>
  <c r="AK508"/>
  <c r="C509"/>
  <c r="H509"/>
  <c r="I509"/>
  <c r="J509"/>
  <c r="K509"/>
  <c r="M509"/>
  <c r="P509"/>
  <c r="R509"/>
  <c r="S509"/>
  <c r="T509"/>
  <c r="U509"/>
  <c r="X509"/>
  <c r="Y509"/>
  <c r="Z509"/>
  <c r="AA509"/>
  <c r="AB509"/>
  <c r="AC509"/>
  <c r="AD509"/>
  <c r="AE509"/>
  <c r="AF509"/>
  <c r="AG509"/>
  <c r="AH509"/>
  <c r="AI509"/>
  <c r="AJ509"/>
  <c r="AK509"/>
  <c r="C510"/>
  <c r="H510"/>
  <c r="I510"/>
  <c r="J510"/>
  <c r="K510"/>
  <c r="M510"/>
  <c r="P510"/>
  <c r="R510"/>
  <c r="S510"/>
  <c r="T510"/>
  <c r="U510"/>
  <c r="X510"/>
  <c r="Y510"/>
  <c r="Z510"/>
  <c r="AA510"/>
  <c r="AB510"/>
  <c r="AC510"/>
  <c r="AD510"/>
  <c r="AE510"/>
  <c r="AF510"/>
  <c r="AG510"/>
  <c r="AH510"/>
  <c r="AI510"/>
  <c r="AJ510"/>
  <c r="AK510"/>
  <c r="C511"/>
  <c r="H511"/>
  <c r="I511"/>
  <c r="J511"/>
  <c r="K511"/>
  <c r="M511"/>
  <c r="P511"/>
  <c r="R511"/>
  <c r="S511"/>
  <c r="T511"/>
  <c r="U511"/>
  <c r="X511"/>
  <c r="Y511"/>
  <c r="Z511"/>
  <c r="AA511"/>
  <c r="AB511"/>
  <c r="AC511"/>
  <c r="AD511"/>
  <c r="AE511"/>
  <c r="AF511"/>
  <c r="AG511"/>
  <c r="AH511"/>
  <c r="AI511"/>
  <c r="AJ511"/>
  <c r="AK511"/>
  <c r="C492"/>
  <c r="H492"/>
  <c r="I492"/>
  <c r="J492"/>
  <c r="K492"/>
  <c r="M492"/>
  <c r="P492"/>
  <c r="R492"/>
  <c r="S492"/>
  <c r="T492"/>
  <c r="U492"/>
  <c r="X492"/>
  <c r="Y492"/>
  <c r="Z492"/>
  <c r="AA492"/>
  <c r="AB492"/>
  <c r="AC492"/>
  <c r="AD492"/>
  <c r="AE492"/>
  <c r="AF492"/>
  <c r="AG492"/>
  <c r="AH492"/>
  <c r="AI492"/>
  <c r="AJ492"/>
  <c r="AK492"/>
  <c r="C493"/>
  <c r="H493"/>
  <c r="I493"/>
  <c r="J493"/>
  <c r="K493"/>
  <c r="M493"/>
  <c r="P493"/>
  <c r="R493"/>
  <c r="S493"/>
  <c r="T493"/>
  <c r="U493"/>
  <c r="X493"/>
  <c r="Y493"/>
  <c r="Z493"/>
  <c r="AA493"/>
  <c r="AB493"/>
  <c r="AC493"/>
  <c r="AD493"/>
  <c r="AE493"/>
  <c r="AF493"/>
  <c r="AG493"/>
  <c r="AH493"/>
  <c r="AI493"/>
  <c r="AJ493"/>
  <c r="AK493"/>
  <c r="C494"/>
  <c r="H494"/>
  <c r="I494"/>
  <c r="J494"/>
  <c r="K494"/>
  <c r="M494"/>
  <c r="P494"/>
  <c r="R494"/>
  <c r="S494"/>
  <c r="T494"/>
  <c r="U494"/>
  <c r="X494"/>
  <c r="Y494"/>
  <c r="Z494"/>
  <c r="AA494"/>
  <c r="AB494"/>
  <c r="AC494"/>
  <c r="AD494"/>
  <c r="AE494"/>
  <c r="AF494"/>
  <c r="AG494"/>
  <c r="AH494"/>
  <c r="AI494"/>
  <c r="AJ494"/>
  <c r="AK494"/>
  <c r="C495"/>
  <c r="H495"/>
  <c r="I495"/>
  <c r="J495"/>
  <c r="K495"/>
  <c r="M495"/>
  <c r="P495"/>
  <c r="R495"/>
  <c r="S495"/>
  <c r="T495"/>
  <c r="U495"/>
  <c r="X495"/>
  <c r="Y495"/>
  <c r="Z495"/>
  <c r="AA495"/>
  <c r="AB495"/>
  <c r="AC495"/>
  <c r="AD495"/>
  <c r="AE495"/>
  <c r="AF495"/>
  <c r="AG495"/>
  <c r="AH495"/>
  <c r="AI495"/>
  <c r="AJ495"/>
  <c r="AK495"/>
  <c r="C496"/>
  <c r="H496"/>
  <c r="I496"/>
  <c r="J496"/>
  <c r="K496"/>
  <c r="M496"/>
  <c r="P496"/>
  <c r="R496"/>
  <c r="S496"/>
  <c r="T496"/>
  <c r="U496"/>
  <c r="X496"/>
  <c r="Y496"/>
  <c r="Z496"/>
  <c r="AA496"/>
  <c r="AB496"/>
  <c r="AC496"/>
  <c r="AD496"/>
  <c r="AE496"/>
  <c r="AF496"/>
  <c r="AG496"/>
  <c r="AH496"/>
  <c r="AI496"/>
  <c r="AJ496"/>
  <c r="AK496"/>
  <c r="C497"/>
  <c r="H497"/>
  <c r="I497"/>
  <c r="J497"/>
  <c r="K497"/>
  <c r="M497"/>
  <c r="P497"/>
  <c r="R497"/>
  <c r="S497"/>
  <c r="T497"/>
  <c r="U497"/>
  <c r="X497"/>
  <c r="Y497"/>
  <c r="Z497"/>
  <c r="AA497"/>
  <c r="AB497"/>
  <c r="AC497"/>
  <c r="AD497"/>
  <c r="AE497"/>
  <c r="AF497"/>
  <c r="AG497"/>
  <c r="AH497"/>
  <c r="AI497"/>
  <c r="AJ497"/>
  <c r="AK497"/>
  <c r="C498"/>
  <c r="H498"/>
  <c r="I498"/>
  <c r="J498"/>
  <c r="K498"/>
  <c r="M498"/>
  <c r="P498"/>
  <c r="R498"/>
  <c r="S498"/>
  <c r="T498"/>
  <c r="U498"/>
  <c r="X498"/>
  <c r="Y498"/>
  <c r="Z498"/>
  <c r="AA498"/>
  <c r="AB498"/>
  <c r="AC498"/>
  <c r="AD498"/>
  <c r="AE498"/>
  <c r="AF498"/>
  <c r="AG498"/>
  <c r="AH498"/>
  <c r="AI498"/>
  <c r="AJ498"/>
  <c r="AK498"/>
  <c r="C499"/>
  <c r="H499"/>
  <c r="I499"/>
  <c r="J499"/>
  <c r="K499"/>
  <c r="M499"/>
  <c r="P499"/>
  <c r="R499"/>
  <c r="S499"/>
  <c r="T499"/>
  <c r="U499"/>
  <c r="X499"/>
  <c r="Y499"/>
  <c r="Z499"/>
  <c r="AA499"/>
  <c r="AB499"/>
  <c r="AC499"/>
  <c r="AD499"/>
  <c r="AE499"/>
  <c r="AF499"/>
  <c r="AG499"/>
  <c r="AH499"/>
  <c r="AI499"/>
  <c r="AJ499"/>
  <c r="AK499"/>
  <c r="C500"/>
  <c r="H500"/>
  <c r="I500"/>
  <c r="J500"/>
  <c r="K500"/>
  <c r="M500"/>
  <c r="P500"/>
  <c r="R500"/>
  <c r="S500"/>
  <c r="T500"/>
  <c r="U500"/>
  <c r="X500"/>
  <c r="Y500"/>
  <c r="Z500"/>
  <c r="AA500"/>
  <c r="AB500"/>
  <c r="AC500"/>
  <c r="AD500"/>
  <c r="AE500"/>
  <c r="AF500"/>
  <c r="AG500"/>
  <c r="AH500"/>
  <c r="AI500"/>
  <c r="AJ500"/>
  <c r="AK500"/>
  <c r="C501"/>
  <c r="H501"/>
  <c r="I501"/>
  <c r="J501"/>
  <c r="K501"/>
  <c r="M501"/>
  <c r="P501"/>
  <c r="R501"/>
  <c r="S501"/>
  <c r="T501"/>
  <c r="U501"/>
  <c r="X501"/>
  <c r="Y501"/>
  <c r="Z501"/>
  <c r="AA501"/>
  <c r="AB501"/>
  <c r="AC501"/>
  <c r="AD501"/>
  <c r="AE501"/>
  <c r="AF501"/>
  <c r="AG501"/>
  <c r="AH501"/>
  <c r="AI501"/>
  <c r="AJ501"/>
  <c r="AK501"/>
  <c r="C482"/>
  <c r="H482"/>
  <c r="I482"/>
  <c r="J482"/>
  <c r="K482"/>
  <c r="M482"/>
  <c r="P482"/>
  <c r="R482"/>
  <c r="S482"/>
  <c r="T482"/>
  <c r="U482"/>
  <c r="X482"/>
  <c r="Y482"/>
  <c r="Z482"/>
  <c r="AA482"/>
  <c r="AB482"/>
  <c r="AC482"/>
  <c r="AD482"/>
  <c r="AE482"/>
  <c r="AF482"/>
  <c r="AG482"/>
  <c r="AH482"/>
  <c r="AI482"/>
  <c r="AJ482"/>
  <c r="AK482"/>
  <c r="C483"/>
  <c r="H483"/>
  <c r="I483"/>
  <c r="J483"/>
  <c r="K483"/>
  <c r="M483"/>
  <c r="P483"/>
  <c r="R483"/>
  <c r="S483"/>
  <c r="T483"/>
  <c r="U483"/>
  <c r="X483"/>
  <c r="Y483"/>
  <c r="Z483"/>
  <c r="AA483"/>
  <c r="AB483"/>
  <c r="AC483"/>
  <c r="AD483"/>
  <c r="AE483"/>
  <c r="AF483"/>
  <c r="AG483"/>
  <c r="AH483"/>
  <c r="AI483"/>
  <c r="AJ483"/>
  <c r="AK483"/>
  <c r="C484"/>
  <c r="H484"/>
  <c r="I484"/>
  <c r="J484"/>
  <c r="K484"/>
  <c r="M484"/>
  <c r="P484"/>
  <c r="R484"/>
  <c r="S484"/>
  <c r="T484"/>
  <c r="U484"/>
  <c r="X484"/>
  <c r="Y484"/>
  <c r="Z484"/>
  <c r="AA484"/>
  <c r="AB484"/>
  <c r="AC484"/>
  <c r="AD484"/>
  <c r="AE484"/>
  <c r="AF484"/>
  <c r="AG484"/>
  <c r="AH484"/>
  <c r="AI484"/>
  <c r="AJ484"/>
  <c r="AK484"/>
  <c r="C485"/>
  <c r="H485"/>
  <c r="I485"/>
  <c r="J485"/>
  <c r="K485"/>
  <c r="M485"/>
  <c r="P485"/>
  <c r="R485"/>
  <c r="S485"/>
  <c r="T485"/>
  <c r="U485"/>
  <c r="X485"/>
  <c r="Y485"/>
  <c r="Z485"/>
  <c r="AA485"/>
  <c r="AB485"/>
  <c r="AC485"/>
  <c r="AD485"/>
  <c r="AE485"/>
  <c r="AF485"/>
  <c r="AG485"/>
  <c r="AH485"/>
  <c r="AI485"/>
  <c r="AJ485"/>
  <c r="AK485"/>
  <c r="C486"/>
  <c r="H486"/>
  <c r="I486"/>
  <c r="J486"/>
  <c r="K486"/>
  <c r="M486"/>
  <c r="P486"/>
  <c r="R486"/>
  <c r="S486"/>
  <c r="T486"/>
  <c r="U486"/>
  <c r="X486"/>
  <c r="Y486"/>
  <c r="Z486"/>
  <c r="AA486"/>
  <c r="AB486"/>
  <c r="AC486"/>
  <c r="AD486"/>
  <c r="AE486"/>
  <c r="AF486"/>
  <c r="AG486"/>
  <c r="AH486"/>
  <c r="AI486"/>
  <c r="AJ486"/>
  <c r="AK486"/>
  <c r="C487"/>
  <c r="H487"/>
  <c r="I487"/>
  <c r="J487"/>
  <c r="K487"/>
  <c r="M487"/>
  <c r="P487"/>
  <c r="R487"/>
  <c r="S487"/>
  <c r="T487"/>
  <c r="U487"/>
  <c r="X487"/>
  <c r="Y487"/>
  <c r="Z487"/>
  <c r="AA487"/>
  <c r="AB487"/>
  <c r="AC487"/>
  <c r="AD487"/>
  <c r="AE487"/>
  <c r="AF487"/>
  <c r="AG487"/>
  <c r="AH487"/>
  <c r="AI487"/>
  <c r="AJ487"/>
  <c r="AK487"/>
  <c r="C488"/>
  <c r="H488"/>
  <c r="I488"/>
  <c r="J488"/>
  <c r="K488"/>
  <c r="M488"/>
  <c r="P488"/>
  <c r="R488"/>
  <c r="S488"/>
  <c r="T488"/>
  <c r="U488"/>
  <c r="X488"/>
  <c r="Y488"/>
  <c r="Z488"/>
  <c r="AA488"/>
  <c r="AB488"/>
  <c r="AC488"/>
  <c r="AD488"/>
  <c r="AE488"/>
  <c r="AF488"/>
  <c r="AG488"/>
  <c r="AH488"/>
  <c r="AI488"/>
  <c r="AJ488"/>
  <c r="AK488"/>
  <c r="C489"/>
  <c r="H489"/>
  <c r="I489"/>
  <c r="J489"/>
  <c r="K489"/>
  <c r="M489"/>
  <c r="P489"/>
  <c r="R489"/>
  <c r="S489"/>
  <c r="T489"/>
  <c r="U489"/>
  <c r="X489"/>
  <c r="Y489"/>
  <c r="Z489"/>
  <c r="AA489"/>
  <c r="AB489"/>
  <c r="AC489"/>
  <c r="AD489"/>
  <c r="AE489"/>
  <c r="AF489"/>
  <c r="AG489"/>
  <c r="AH489"/>
  <c r="AI489"/>
  <c r="AJ489"/>
  <c r="AK489"/>
  <c r="C490"/>
  <c r="H490"/>
  <c r="I490"/>
  <c r="J490"/>
  <c r="K490"/>
  <c r="M490"/>
  <c r="P490"/>
  <c r="R490"/>
  <c r="S490"/>
  <c r="T490"/>
  <c r="U490"/>
  <c r="X490"/>
  <c r="Y490"/>
  <c r="Z490"/>
  <c r="AA490"/>
  <c r="AB490"/>
  <c r="AC490"/>
  <c r="AD490"/>
  <c r="AE490"/>
  <c r="AF490"/>
  <c r="AG490"/>
  <c r="AH490"/>
  <c r="AI490"/>
  <c r="AJ490"/>
  <c r="AK490"/>
  <c r="C491"/>
  <c r="H491"/>
  <c r="I491"/>
  <c r="J491"/>
  <c r="K491"/>
  <c r="M491"/>
  <c r="P491"/>
  <c r="R491"/>
  <c r="S491"/>
  <c r="T491"/>
  <c r="U491"/>
  <c r="X491"/>
  <c r="Y491"/>
  <c r="Z491"/>
  <c r="AA491"/>
  <c r="AB491"/>
  <c r="AC491"/>
  <c r="AD491"/>
  <c r="AE491"/>
  <c r="AF491"/>
  <c r="AG491"/>
  <c r="AH491"/>
  <c r="AI491"/>
  <c r="AJ491"/>
  <c r="AK491"/>
  <c r="C472"/>
  <c r="H472"/>
  <c r="I472"/>
  <c r="J472"/>
  <c r="K472"/>
  <c r="M472"/>
  <c r="P472"/>
  <c r="R472"/>
  <c r="S472"/>
  <c r="T472"/>
  <c r="U472"/>
  <c r="X472"/>
  <c r="Y472"/>
  <c r="Z472"/>
  <c r="AA472"/>
  <c r="AB472"/>
  <c r="AC472"/>
  <c r="AD472"/>
  <c r="AE472"/>
  <c r="AF472"/>
  <c r="AG472"/>
  <c r="AH472"/>
  <c r="AI472"/>
  <c r="AJ472"/>
  <c r="AK472"/>
  <c r="C473"/>
  <c r="H473"/>
  <c r="I473"/>
  <c r="J473"/>
  <c r="K473"/>
  <c r="M473"/>
  <c r="P473"/>
  <c r="R473"/>
  <c r="S473"/>
  <c r="T473"/>
  <c r="U473"/>
  <c r="X473"/>
  <c r="Y473"/>
  <c r="Z473"/>
  <c r="AA473"/>
  <c r="AB473"/>
  <c r="AC473"/>
  <c r="AD473"/>
  <c r="AE473"/>
  <c r="AF473"/>
  <c r="AG473"/>
  <c r="AH473"/>
  <c r="AI473"/>
  <c r="AJ473"/>
  <c r="AK473"/>
  <c r="C474"/>
  <c r="H474"/>
  <c r="I474"/>
  <c r="J474"/>
  <c r="K474"/>
  <c r="M474"/>
  <c r="P474"/>
  <c r="R474"/>
  <c r="S474"/>
  <c r="T474"/>
  <c r="U474"/>
  <c r="X474"/>
  <c r="Y474"/>
  <c r="Z474"/>
  <c r="AA474"/>
  <c r="AB474"/>
  <c r="AC474"/>
  <c r="AD474"/>
  <c r="AE474"/>
  <c r="AF474"/>
  <c r="AG474"/>
  <c r="AH474"/>
  <c r="AI474"/>
  <c r="AJ474"/>
  <c r="AK474"/>
  <c r="C475"/>
  <c r="H475"/>
  <c r="I475"/>
  <c r="J475"/>
  <c r="K475"/>
  <c r="M475"/>
  <c r="P475"/>
  <c r="R475"/>
  <c r="S475"/>
  <c r="T475"/>
  <c r="U475"/>
  <c r="X475"/>
  <c r="Y475"/>
  <c r="Z475"/>
  <c r="AA475"/>
  <c r="AB475"/>
  <c r="AC475"/>
  <c r="AD475"/>
  <c r="AE475"/>
  <c r="AF475"/>
  <c r="AG475"/>
  <c r="AH475"/>
  <c r="AI475"/>
  <c r="AJ475"/>
  <c r="AK475"/>
  <c r="C476"/>
  <c r="H476"/>
  <c r="I476"/>
  <c r="J476"/>
  <c r="K476"/>
  <c r="M476"/>
  <c r="P476"/>
  <c r="R476"/>
  <c r="S476"/>
  <c r="T476"/>
  <c r="U476"/>
  <c r="X476"/>
  <c r="Y476"/>
  <c r="Z476"/>
  <c r="AA476"/>
  <c r="AB476"/>
  <c r="AC476"/>
  <c r="AD476"/>
  <c r="AE476"/>
  <c r="AF476"/>
  <c r="AG476"/>
  <c r="AH476"/>
  <c r="AI476"/>
  <c r="AJ476"/>
  <c r="AK476"/>
  <c r="C477"/>
  <c r="H477"/>
  <c r="I477"/>
  <c r="J477"/>
  <c r="K477"/>
  <c r="M477"/>
  <c r="P477"/>
  <c r="R477"/>
  <c r="S477"/>
  <c r="T477"/>
  <c r="U477"/>
  <c r="X477"/>
  <c r="Y477"/>
  <c r="Z477"/>
  <c r="AA477"/>
  <c r="AB477"/>
  <c r="AC477"/>
  <c r="AD477"/>
  <c r="AE477"/>
  <c r="AF477"/>
  <c r="AG477"/>
  <c r="AH477"/>
  <c r="AI477"/>
  <c r="AJ477"/>
  <c r="AK477"/>
  <c r="C478"/>
  <c r="H478"/>
  <c r="I478"/>
  <c r="J478"/>
  <c r="K478"/>
  <c r="M478"/>
  <c r="P478"/>
  <c r="R478"/>
  <c r="S478"/>
  <c r="T478"/>
  <c r="U478"/>
  <c r="X478"/>
  <c r="Y478"/>
  <c r="Z478"/>
  <c r="AA478"/>
  <c r="AB478"/>
  <c r="AC478"/>
  <c r="AD478"/>
  <c r="AE478"/>
  <c r="AF478"/>
  <c r="AG478"/>
  <c r="AH478"/>
  <c r="AI478"/>
  <c r="AJ478"/>
  <c r="AK478"/>
  <c r="C479"/>
  <c r="H479"/>
  <c r="I479"/>
  <c r="J479"/>
  <c r="K479"/>
  <c r="M479"/>
  <c r="P479"/>
  <c r="R479"/>
  <c r="S479"/>
  <c r="T479"/>
  <c r="U479"/>
  <c r="X479"/>
  <c r="Y479"/>
  <c r="Z479"/>
  <c r="AA479"/>
  <c r="AB479"/>
  <c r="AC479"/>
  <c r="AD479"/>
  <c r="AE479"/>
  <c r="AF479"/>
  <c r="AG479"/>
  <c r="AH479"/>
  <c r="AI479"/>
  <c r="AJ479"/>
  <c r="AK479"/>
  <c r="C480"/>
  <c r="H480"/>
  <c r="I480"/>
  <c r="J480"/>
  <c r="K480"/>
  <c r="M480"/>
  <c r="P480"/>
  <c r="R480"/>
  <c r="S480"/>
  <c r="T480"/>
  <c r="U480"/>
  <c r="X480"/>
  <c r="Y480"/>
  <c r="Z480"/>
  <c r="AA480"/>
  <c r="AB480"/>
  <c r="AC480"/>
  <c r="AD480"/>
  <c r="AE480"/>
  <c r="AF480"/>
  <c r="AG480"/>
  <c r="AH480"/>
  <c r="AI480"/>
  <c r="AJ480"/>
  <c r="AK480"/>
  <c r="C481"/>
  <c r="H481"/>
  <c r="I481"/>
  <c r="J481"/>
  <c r="K481"/>
  <c r="M481"/>
  <c r="P481"/>
  <c r="R481"/>
  <c r="S481"/>
  <c r="T481"/>
  <c r="U481"/>
  <c r="X481"/>
  <c r="Y481"/>
  <c r="Z481"/>
  <c r="AA481"/>
  <c r="AB481"/>
  <c r="AC481"/>
  <c r="AD481"/>
  <c r="AE481"/>
  <c r="AF481"/>
  <c r="AG481"/>
  <c r="AH481"/>
  <c r="AI481"/>
  <c r="AJ481"/>
  <c r="AK481"/>
  <c r="C462"/>
  <c r="H462"/>
  <c r="I462"/>
  <c r="J462"/>
  <c r="K462"/>
  <c r="M462"/>
  <c r="P462"/>
  <c r="R462"/>
  <c r="S462"/>
  <c r="T462"/>
  <c r="U462"/>
  <c r="X462"/>
  <c r="Y462"/>
  <c r="Z462"/>
  <c r="AA462"/>
  <c r="AB462"/>
  <c r="AC462"/>
  <c r="AD462"/>
  <c r="AE462"/>
  <c r="AF462"/>
  <c r="AG462"/>
  <c r="AH462"/>
  <c r="AI462"/>
  <c r="AJ462"/>
  <c r="AK462"/>
  <c r="C463"/>
  <c r="H463"/>
  <c r="I463"/>
  <c r="J463"/>
  <c r="K463"/>
  <c r="M463"/>
  <c r="P463"/>
  <c r="R463"/>
  <c r="S463"/>
  <c r="T463"/>
  <c r="U463"/>
  <c r="X463"/>
  <c r="Y463"/>
  <c r="Z463"/>
  <c r="AA463"/>
  <c r="AB463"/>
  <c r="AC463"/>
  <c r="AD463"/>
  <c r="AE463"/>
  <c r="AF463"/>
  <c r="AG463"/>
  <c r="AH463"/>
  <c r="AI463"/>
  <c r="AJ463"/>
  <c r="AK463"/>
  <c r="C464"/>
  <c r="H464"/>
  <c r="I464"/>
  <c r="J464"/>
  <c r="K464"/>
  <c r="M464"/>
  <c r="P464"/>
  <c r="R464"/>
  <c r="S464"/>
  <c r="T464"/>
  <c r="U464"/>
  <c r="X464"/>
  <c r="Y464"/>
  <c r="Z464"/>
  <c r="AA464"/>
  <c r="AB464"/>
  <c r="AC464"/>
  <c r="AD464"/>
  <c r="AE464"/>
  <c r="AF464"/>
  <c r="AG464"/>
  <c r="AH464"/>
  <c r="AI464"/>
  <c r="AJ464"/>
  <c r="AK464"/>
  <c r="C465"/>
  <c r="H465"/>
  <c r="I465"/>
  <c r="J465"/>
  <c r="K465"/>
  <c r="M465"/>
  <c r="P465"/>
  <c r="R465"/>
  <c r="S465"/>
  <c r="T465"/>
  <c r="U465"/>
  <c r="X465"/>
  <c r="Y465"/>
  <c r="Z465"/>
  <c r="AA465"/>
  <c r="AB465"/>
  <c r="AC465"/>
  <c r="AD465"/>
  <c r="AE465"/>
  <c r="AF465"/>
  <c r="AG465"/>
  <c r="AH465"/>
  <c r="AI465"/>
  <c r="AJ465"/>
  <c r="AK465"/>
  <c r="C466"/>
  <c r="H466"/>
  <c r="I466"/>
  <c r="J466"/>
  <c r="K466"/>
  <c r="M466"/>
  <c r="P466"/>
  <c r="R466"/>
  <c r="S466"/>
  <c r="T466"/>
  <c r="U466"/>
  <c r="X466"/>
  <c r="Y466"/>
  <c r="Z466"/>
  <c r="AA466"/>
  <c r="AB466"/>
  <c r="AC466"/>
  <c r="AD466"/>
  <c r="AE466"/>
  <c r="AF466"/>
  <c r="AG466"/>
  <c r="AH466"/>
  <c r="AI466"/>
  <c r="AJ466"/>
  <c r="AK466"/>
  <c r="C467"/>
  <c r="H467"/>
  <c r="I467"/>
  <c r="J467"/>
  <c r="K467"/>
  <c r="M467"/>
  <c r="P467"/>
  <c r="R467"/>
  <c r="S467"/>
  <c r="T467"/>
  <c r="U467"/>
  <c r="X467"/>
  <c r="Y467"/>
  <c r="Z467"/>
  <c r="AA467"/>
  <c r="AB467"/>
  <c r="AC467"/>
  <c r="AD467"/>
  <c r="AE467"/>
  <c r="AF467"/>
  <c r="AG467"/>
  <c r="AH467"/>
  <c r="AI467"/>
  <c r="AJ467"/>
  <c r="AK467"/>
  <c r="C468"/>
  <c r="H468"/>
  <c r="I468"/>
  <c r="J468"/>
  <c r="K468"/>
  <c r="M468"/>
  <c r="P468"/>
  <c r="R468"/>
  <c r="S468"/>
  <c r="T468"/>
  <c r="U468"/>
  <c r="X468"/>
  <c r="Y468"/>
  <c r="Z468"/>
  <c r="AA468"/>
  <c r="AB468"/>
  <c r="AC468"/>
  <c r="AD468"/>
  <c r="AE468"/>
  <c r="AF468"/>
  <c r="AG468"/>
  <c r="AH468"/>
  <c r="AI468"/>
  <c r="AJ468"/>
  <c r="AK468"/>
  <c r="C469"/>
  <c r="H469"/>
  <c r="I469"/>
  <c r="J469"/>
  <c r="K469"/>
  <c r="M469"/>
  <c r="P469"/>
  <c r="R469"/>
  <c r="S469"/>
  <c r="T469"/>
  <c r="U469"/>
  <c r="X469"/>
  <c r="Y469"/>
  <c r="Z469"/>
  <c r="AA469"/>
  <c r="AB469"/>
  <c r="AC469"/>
  <c r="AD469"/>
  <c r="AE469"/>
  <c r="AF469"/>
  <c r="AG469"/>
  <c r="AH469"/>
  <c r="AI469"/>
  <c r="AJ469"/>
  <c r="AK469"/>
  <c r="C470"/>
  <c r="H470"/>
  <c r="I470"/>
  <c r="J470"/>
  <c r="K470"/>
  <c r="M470"/>
  <c r="P470"/>
  <c r="R470"/>
  <c r="S470"/>
  <c r="T470"/>
  <c r="U470"/>
  <c r="X470"/>
  <c r="Y470"/>
  <c r="Z470"/>
  <c r="AA470"/>
  <c r="AB470"/>
  <c r="AC470"/>
  <c r="AD470"/>
  <c r="AE470"/>
  <c r="AF470"/>
  <c r="AG470"/>
  <c r="AH470"/>
  <c r="AI470"/>
  <c r="AJ470"/>
  <c r="AK470"/>
  <c r="C471"/>
  <c r="H471"/>
  <c r="I471"/>
  <c r="J471"/>
  <c r="K471"/>
  <c r="M471"/>
  <c r="P471"/>
  <c r="R471"/>
  <c r="S471"/>
  <c r="T471"/>
  <c r="U471"/>
  <c r="X471"/>
  <c r="Y471"/>
  <c r="Z471"/>
  <c r="AA471"/>
  <c r="AB471"/>
  <c r="AC471"/>
  <c r="AD471"/>
  <c r="AE471"/>
  <c r="AF471"/>
  <c r="AG471"/>
  <c r="AH471"/>
  <c r="AI471"/>
  <c r="AJ471"/>
  <c r="AK471"/>
  <c r="C452"/>
  <c r="H452"/>
  <c r="I452"/>
  <c r="J452"/>
  <c r="K452"/>
  <c r="M452"/>
  <c r="P452"/>
  <c r="R452"/>
  <c r="S452"/>
  <c r="T452"/>
  <c r="U452"/>
  <c r="X452"/>
  <c r="Y452"/>
  <c r="Z452"/>
  <c r="AA452"/>
  <c r="AB452"/>
  <c r="AC452"/>
  <c r="AD452"/>
  <c r="AE452"/>
  <c r="AF452"/>
  <c r="AG452"/>
  <c r="AH452"/>
  <c r="AI452"/>
  <c r="AJ452"/>
  <c r="AK452"/>
  <c r="C453"/>
  <c r="H453"/>
  <c r="I453"/>
  <c r="J453"/>
  <c r="K453"/>
  <c r="M453"/>
  <c r="P453"/>
  <c r="R453"/>
  <c r="S453"/>
  <c r="T453"/>
  <c r="U453"/>
  <c r="X453"/>
  <c r="Y453"/>
  <c r="Z453"/>
  <c r="AA453"/>
  <c r="AB453"/>
  <c r="AC453"/>
  <c r="AD453"/>
  <c r="AE453"/>
  <c r="AF453"/>
  <c r="AG453"/>
  <c r="AH453"/>
  <c r="AI453"/>
  <c r="AJ453"/>
  <c r="AK453"/>
  <c r="C454"/>
  <c r="H454"/>
  <c r="I454"/>
  <c r="J454"/>
  <c r="K454"/>
  <c r="M454"/>
  <c r="P454"/>
  <c r="R454"/>
  <c r="S454"/>
  <c r="T454"/>
  <c r="U454"/>
  <c r="X454"/>
  <c r="Y454"/>
  <c r="Z454"/>
  <c r="AA454"/>
  <c r="AB454"/>
  <c r="AC454"/>
  <c r="AD454"/>
  <c r="AE454"/>
  <c r="AF454"/>
  <c r="AG454"/>
  <c r="AH454"/>
  <c r="AI454"/>
  <c r="AJ454"/>
  <c r="AK454"/>
  <c r="C455"/>
  <c r="H455"/>
  <c r="I455"/>
  <c r="J455"/>
  <c r="K455"/>
  <c r="M455"/>
  <c r="P455"/>
  <c r="R455"/>
  <c r="S455"/>
  <c r="T455"/>
  <c r="U455"/>
  <c r="X455"/>
  <c r="Y455"/>
  <c r="Z455"/>
  <c r="AA455"/>
  <c r="AB455"/>
  <c r="AC455"/>
  <c r="AD455"/>
  <c r="AE455"/>
  <c r="AF455"/>
  <c r="AG455"/>
  <c r="AH455"/>
  <c r="AI455"/>
  <c r="AJ455"/>
  <c r="AK455"/>
  <c r="C456"/>
  <c r="H456"/>
  <c r="I456"/>
  <c r="J456"/>
  <c r="K456"/>
  <c r="M456"/>
  <c r="P456"/>
  <c r="R456"/>
  <c r="S456"/>
  <c r="T456"/>
  <c r="U456"/>
  <c r="X456"/>
  <c r="Y456"/>
  <c r="Z456"/>
  <c r="AA456"/>
  <c r="AB456"/>
  <c r="AC456"/>
  <c r="AD456"/>
  <c r="AE456"/>
  <c r="AF456"/>
  <c r="AG456"/>
  <c r="AH456"/>
  <c r="AI456"/>
  <c r="AJ456"/>
  <c r="AK456"/>
  <c r="C457"/>
  <c r="H457"/>
  <c r="I457"/>
  <c r="J457"/>
  <c r="K457"/>
  <c r="M457"/>
  <c r="P457"/>
  <c r="R457"/>
  <c r="S457"/>
  <c r="T457"/>
  <c r="U457"/>
  <c r="X457"/>
  <c r="Y457"/>
  <c r="Z457"/>
  <c r="AA457"/>
  <c r="AB457"/>
  <c r="AC457"/>
  <c r="AD457"/>
  <c r="AE457"/>
  <c r="AF457"/>
  <c r="AG457"/>
  <c r="AH457"/>
  <c r="AI457"/>
  <c r="AJ457"/>
  <c r="AK457"/>
  <c r="C458"/>
  <c r="H458"/>
  <c r="I458"/>
  <c r="J458"/>
  <c r="K458"/>
  <c r="M458"/>
  <c r="P458"/>
  <c r="R458"/>
  <c r="S458"/>
  <c r="T458"/>
  <c r="U458"/>
  <c r="X458"/>
  <c r="Y458"/>
  <c r="Z458"/>
  <c r="AA458"/>
  <c r="AB458"/>
  <c r="AC458"/>
  <c r="AD458"/>
  <c r="AE458"/>
  <c r="AF458"/>
  <c r="AG458"/>
  <c r="AH458"/>
  <c r="AI458"/>
  <c r="AJ458"/>
  <c r="AK458"/>
  <c r="C459"/>
  <c r="H459"/>
  <c r="I459"/>
  <c r="J459"/>
  <c r="K459"/>
  <c r="M459"/>
  <c r="P459"/>
  <c r="R459"/>
  <c r="S459"/>
  <c r="T459"/>
  <c r="U459"/>
  <c r="X459"/>
  <c r="Y459"/>
  <c r="Z459"/>
  <c r="AA459"/>
  <c r="AB459"/>
  <c r="AC459"/>
  <c r="AD459"/>
  <c r="AE459"/>
  <c r="AF459"/>
  <c r="AG459"/>
  <c r="AH459"/>
  <c r="AI459"/>
  <c r="AJ459"/>
  <c r="AK459"/>
  <c r="C460"/>
  <c r="H460"/>
  <c r="I460"/>
  <c r="J460"/>
  <c r="K460"/>
  <c r="M460"/>
  <c r="P460"/>
  <c r="R460"/>
  <c r="S460"/>
  <c r="T460"/>
  <c r="U460"/>
  <c r="X460"/>
  <c r="Y460"/>
  <c r="Z460"/>
  <c r="AA460"/>
  <c r="AB460"/>
  <c r="AC460"/>
  <c r="AD460"/>
  <c r="AE460"/>
  <c r="AF460"/>
  <c r="AG460"/>
  <c r="AH460"/>
  <c r="AI460"/>
  <c r="AJ460"/>
  <c r="AK460"/>
  <c r="C461"/>
  <c r="H461"/>
  <c r="I461"/>
  <c r="J461"/>
  <c r="K461"/>
  <c r="M461"/>
  <c r="P461"/>
  <c r="R461"/>
  <c r="S461"/>
  <c r="T461"/>
  <c r="U461"/>
  <c r="X461"/>
  <c r="Y461"/>
  <c r="Z461"/>
  <c r="AA461"/>
  <c r="AB461"/>
  <c r="AC461"/>
  <c r="AD461"/>
  <c r="AE461"/>
  <c r="AF461"/>
  <c r="AG461"/>
  <c r="AH461"/>
  <c r="AI461"/>
  <c r="AJ461"/>
  <c r="AK461"/>
  <c r="C442"/>
  <c r="H442"/>
  <c r="I442"/>
  <c r="J442"/>
  <c r="K442"/>
  <c r="M442"/>
  <c r="P442"/>
  <c r="R442"/>
  <c r="S442"/>
  <c r="T442"/>
  <c r="U442"/>
  <c r="X442"/>
  <c r="Y442"/>
  <c r="Z442"/>
  <c r="AA442"/>
  <c r="AB442"/>
  <c r="AC442"/>
  <c r="AD442"/>
  <c r="AE442"/>
  <c r="AF442"/>
  <c r="AG442"/>
  <c r="AH442"/>
  <c r="AI442"/>
  <c r="AJ442"/>
  <c r="AK442"/>
  <c r="C443"/>
  <c r="H443"/>
  <c r="I443"/>
  <c r="J443"/>
  <c r="K443"/>
  <c r="M443"/>
  <c r="P443"/>
  <c r="R443"/>
  <c r="S443"/>
  <c r="T443"/>
  <c r="U443"/>
  <c r="X443"/>
  <c r="Y443"/>
  <c r="Z443"/>
  <c r="AA443"/>
  <c r="AB443"/>
  <c r="AC443"/>
  <c r="AD443"/>
  <c r="AE443"/>
  <c r="AF443"/>
  <c r="AG443"/>
  <c r="AH443"/>
  <c r="AI443"/>
  <c r="AJ443"/>
  <c r="AK443"/>
  <c r="C444"/>
  <c r="H444"/>
  <c r="I444"/>
  <c r="J444"/>
  <c r="K444"/>
  <c r="M444"/>
  <c r="P444"/>
  <c r="R444"/>
  <c r="S444"/>
  <c r="T444"/>
  <c r="U444"/>
  <c r="X444"/>
  <c r="Y444"/>
  <c r="Z444"/>
  <c r="AA444"/>
  <c r="AB444"/>
  <c r="AC444"/>
  <c r="AD444"/>
  <c r="AE444"/>
  <c r="AF444"/>
  <c r="AG444"/>
  <c r="AH444"/>
  <c r="AI444"/>
  <c r="AJ444"/>
  <c r="AK444"/>
  <c r="C445"/>
  <c r="H445"/>
  <c r="I445"/>
  <c r="J445"/>
  <c r="K445"/>
  <c r="M445"/>
  <c r="P445"/>
  <c r="R445"/>
  <c r="S445"/>
  <c r="T445"/>
  <c r="U445"/>
  <c r="X445"/>
  <c r="Y445"/>
  <c r="Z445"/>
  <c r="AA445"/>
  <c r="AB445"/>
  <c r="AC445"/>
  <c r="AD445"/>
  <c r="AE445"/>
  <c r="AF445"/>
  <c r="AG445"/>
  <c r="AH445"/>
  <c r="AI445"/>
  <c r="AJ445"/>
  <c r="AK445"/>
  <c r="C446"/>
  <c r="H446"/>
  <c r="I446"/>
  <c r="J446"/>
  <c r="K446"/>
  <c r="M446"/>
  <c r="P446"/>
  <c r="R446"/>
  <c r="S446"/>
  <c r="T446"/>
  <c r="U446"/>
  <c r="X446"/>
  <c r="Y446"/>
  <c r="Z446"/>
  <c r="AA446"/>
  <c r="AB446"/>
  <c r="AC446"/>
  <c r="AD446"/>
  <c r="AE446"/>
  <c r="AF446"/>
  <c r="AG446"/>
  <c r="AH446"/>
  <c r="AI446"/>
  <c r="AJ446"/>
  <c r="AK446"/>
  <c r="C447"/>
  <c r="H447"/>
  <c r="I447"/>
  <c r="J447"/>
  <c r="K447"/>
  <c r="M447"/>
  <c r="P447"/>
  <c r="R447"/>
  <c r="S447"/>
  <c r="T447"/>
  <c r="U447"/>
  <c r="X447"/>
  <c r="Y447"/>
  <c r="Z447"/>
  <c r="AA447"/>
  <c r="AB447"/>
  <c r="AC447"/>
  <c r="AD447"/>
  <c r="AE447"/>
  <c r="AF447"/>
  <c r="AG447"/>
  <c r="AH447"/>
  <c r="AI447"/>
  <c r="AJ447"/>
  <c r="AK447"/>
  <c r="C448"/>
  <c r="H448"/>
  <c r="I448"/>
  <c r="J448"/>
  <c r="K448"/>
  <c r="M448"/>
  <c r="P448"/>
  <c r="R448"/>
  <c r="S448"/>
  <c r="T448"/>
  <c r="U448"/>
  <c r="X448"/>
  <c r="Y448"/>
  <c r="Z448"/>
  <c r="AA448"/>
  <c r="AB448"/>
  <c r="AC448"/>
  <c r="AD448"/>
  <c r="AE448"/>
  <c r="AF448"/>
  <c r="AG448"/>
  <c r="AH448"/>
  <c r="AI448"/>
  <c r="AJ448"/>
  <c r="AK448"/>
  <c r="C449"/>
  <c r="H449"/>
  <c r="I449"/>
  <c r="J449"/>
  <c r="K449"/>
  <c r="M449"/>
  <c r="P449"/>
  <c r="R449"/>
  <c r="S449"/>
  <c r="T449"/>
  <c r="U449"/>
  <c r="X449"/>
  <c r="Y449"/>
  <c r="Z449"/>
  <c r="AA449"/>
  <c r="AB449"/>
  <c r="AC449"/>
  <c r="AD449"/>
  <c r="AE449"/>
  <c r="AF449"/>
  <c r="AG449"/>
  <c r="AH449"/>
  <c r="AI449"/>
  <c r="AJ449"/>
  <c r="AK449"/>
  <c r="C450"/>
  <c r="H450"/>
  <c r="I450"/>
  <c r="J450"/>
  <c r="K450"/>
  <c r="M450"/>
  <c r="P450"/>
  <c r="R450"/>
  <c r="S450"/>
  <c r="T450"/>
  <c r="U450"/>
  <c r="X450"/>
  <c r="Y450"/>
  <c r="Z450"/>
  <c r="AA450"/>
  <c r="AB450"/>
  <c r="AC450"/>
  <c r="AD450"/>
  <c r="AE450"/>
  <c r="AF450"/>
  <c r="AG450"/>
  <c r="AH450"/>
  <c r="AI450"/>
  <c r="AJ450"/>
  <c r="AK450"/>
  <c r="C451"/>
  <c r="H451"/>
  <c r="I451"/>
  <c r="J451"/>
  <c r="K451"/>
  <c r="M451"/>
  <c r="P451"/>
  <c r="R451"/>
  <c r="S451"/>
  <c r="T451"/>
  <c r="U451"/>
  <c r="X451"/>
  <c r="Y451"/>
  <c r="Z451"/>
  <c r="AA451"/>
  <c r="AB451"/>
  <c r="AC451"/>
  <c r="AD451"/>
  <c r="AE451"/>
  <c r="AF451"/>
  <c r="AG451"/>
  <c r="AH451"/>
  <c r="AI451"/>
  <c r="AJ451"/>
  <c r="AK451"/>
  <c r="C432"/>
  <c r="H432"/>
  <c r="I432"/>
  <c r="J432"/>
  <c r="K432"/>
  <c r="M432"/>
  <c r="P432"/>
  <c r="R432"/>
  <c r="S432"/>
  <c r="T432"/>
  <c r="U432"/>
  <c r="X432"/>
  <c r="Y432"/>
  <c r="Z432"/>
  <c r="AA432"/>
  <c r="AB432"/>
  <c r="AC432"/>
  <c r="AD432"/>
  <c r="AE432"/>
  <c r="AF432"/>
  <c r="AG432"/>
  <c r="AH432"/>
  <c r="AI432"/>
  <c r="AJ432"/>
  <c r="AK432"/>
  <c r="C433"/>
  <c r="H433"/>
  <c r="I433"/>
  <c r="J433"/>
  <c r="K433"/>
  <c r="M433"/>
  <c r="P433"/>
  <c r="R433"/>
  <c r="S433"/>
  <c r="T433"/>
  <c r="U433"/>
  <c r="X433"/>
  <c r="Y433"/>
  <c r="Z433"/>
  <c r="AA433"/>
  <c r="AB433"/>
  <c r="AC433"/>
  <c r="AD433"/>
  <c r="AE433"/>
  <c r="AF433"/>
  <c r="AG433"/>
  <c r="AH433"/>
  <c r="AI433"/>
  <c r="AJ433"/>
  <c r="AK433"/>
  <c r="C434"/>
  <c r="H434"/>
  <c r="I434"/>
  <c r="J434"/>
  <c r="K434"/>
  <c r="M434"/>
  <c r="P434"/>
  <c r="R434"/>
  <c r="S434"/>
  <c r="T434"/>
  <c r="U434"/>
  <c r="X434"/>
  <c r="Y434"/>
  <c r="Z434"/>
  <c r="AA434"/>
  <c r="AB434"/>
  <c r="AC434"/>
  <c r="AD434"/>
  <c r="AE434"/>
  <c r="AF434"/>
  <c r="AG434"/>
  <c r="AH434"/>
  <c r="AI434"/>
  <c r="AJ434"/>
  <c r="AK434"/>
  <c r="C435"/>
  <c r="H435"/>
  <c r="I435"/>
  <c r="J435"/>
  <c r="K435"/>
  <c r="M435"/>
  <c r="P435"/>
  <c r="R435"/>
  <c r="S435"/>
  <c r="T435"/>
  <c r="U435"/>
  <c r="X435"/>
  <c r="Y435"/>
  <c r="Z435"/>
  <c r="AA435"/>
  <c r="AB435"/>
  <c r="AC435"/>
  <c r="AD435"/>
  <c r="AE435"/>
  <c r="AF435"/>
  <c r="AG435"/>
  <c r="AH435"/>
  <c r="AI435"/>
  <c r="AJ435"/>
  <c r="AK435"/>
  <c r="C436"/>
  <c r="H436"/>
  <c r="I436"/>
  <c r="J436"/>
  <c r="K436"/>
  <c r="M436"/>
  <c r="P436"/>
  <c r="R436"/>
  <c r="S436"/>
  <c r="T436"/>
  <c r="U436"/>
  <c r="X436"/>
  <c r="Y436"/>
  <c r="Z436"/>
  <c r="AA436"/>
  <c r="AB436"/>
  <c r="AC436"/>
  <c r="AD436"/>
  <c r="AE436"/>
  <c r="AF436"/>
  <c r="AG436"/>
  <c r="AH436"/>
  <c r="AI436"/>
  <c r="AJ436"/>
  <c r="AK436"/>
  <c r="C437"/>
  <c r="H437"/>
  <c r="I437"/>
  <c r="J437"/>
  <c r="K437"/>
  <c r="M437"/>
  <c r="P437"/>
  <c r="R437"/>
  <c r="S437"/>
  <c r="T437"/>
  <c r="U437"/>
  <c r="X437"/>
  <c r="Y437"/>
  <c r="Z437"/>
  <c r="AA437"/>
  <c r="AB437"/>
  <c r="AC437"/>
  <c r="AD437"/>
  <c r="AE437"/>
  <c r="AF437"/>
  <c r="AG437"/>
  <c r="AH437"/>
  <c r="AI437"/>
  <c r="AJ437"/>
  <c r="AK437"/>
  <c r="C438"/>
  <c r="H438"/>
  <c r="I438"/>
  <c r="J438"/>
  <c r="K438"/>
  <c r="M438"/>
  <c r="P438"/>
  <c r="R438"/>
  <c r="S438"/>
  <c r="T438"/>
  <c r="U438"/>
  <c r="X438"/>
  <c r="Y438"/>
  <c r="Z438"/>
  <c r="AA438"/>
  <c r="AB438"/>
  <c r="AC438"/>
  <c r="AD438"/>
  <c r="AE438"/>
  <c r="AF438"/>
  <c r="AG438"/>
  <c r="AH438"/>
  <c r="AI438"/>
  <c r="AJ438"/>
  <c r="AK438"/>
  <c r="C439"/>
  <c r="H439"/>
  <c r="I439"/>
  <c r="J439"/>
  <c r="K439"/>
  <c r="M439"/>
  <c r="P439"/>
  <c r="R439"/>
  <c r="S439"/>
  <c r="T439"/>
  <c r="U439"/>
  <c r="X439"/>
  <c r="Y439"/>
  <c r="Z439"/>
  <c r="AA439"/>
  <c r="AB439"/>
  <c r="AC439"/>
  <c r="AD439"/>
  <c r="AE439"/>
  <c r="AF439"/>
  <c r="AG439"/>
  <c r="AH439"/>
  <c r="AI439"/>
  <c r="AJ439"/>
  <c r="AK439"/>
  <c r="C440"/>
  <c r="H440"/>
  <c r="I440"/>
  <c r="J440"/>
  <c r="K440"/>
  <c r="M440"/>
  <c r="P440"/>
  <c r="R440"/>
  <c r="S440"/>
  <c r="T440"/>
  <c r="U440"/>
  <c r="X440"/>
  <c r="Y440"/>
  <c r="Z440"/>
  <c r="AA440"/>
  <c r="AB440"/>
  <c r="AC440"/>
  <c r="AD440"/>
  <c r="AE440"/>
  <c r="AF440"/>
  <c r="AG440"/>
  <c r="AH440"/>
  <c r="AI440"/>
  <c r="AJ440"/>
  <c r="AK440"/>
  <c r="C441"/>
  <c r="H441"/>
  <c r="I441"/>
  <c r="J441"/>
  <c r="K441"/>
  <c r="M441"/>
  <c r="P441"/>
  <c r="R441"/>
  <c r="S441"/>
  <c r="T441"/>
  <c r="U441"/>
  <c r="X441"/>
  <c r="Y441"/>
  <c r="Z441"/>
  <c r="AA441"/>
  <c r="AB441"/>
  <c r="AC441"/>
  <c r="AD441"/>
  <c r="AE441"/>
  <c r="AF441"/>
  <c r="AG441"/>
  <c r="AH441"/>
  <c r="AI441"/>
  <c r="AJ441"/>
  <c r="AK441"/>
  <c r="C422"/>
  <c r="H422"/>
  <c r="I422"/>
  <c r="J422"/>
  <c r="K422"/>
  <c r="M422"/>
  <c r="P422"/>
  <c r="R422"/>
  <c r="S422"/>
  <c r="T422"/>
  <c r="U422"/>
  <c r="X422"/>
  <c r="Y422"/>
  <c r="Z422"/>
  <c r="AA422"/>
  <c r="AB422"/>
  <c r="AC422"/>
  <c r="AD422"/>
  <c r="AE422"/>
  <c r="AF422"/>
  <c r="AG422"/>
  <c r="AH422"/>
  <c r="AI422"/>
  <c r="AJ422"/>
  <c r="AK422"/>
  <c r="C423"/>
  <c r="H423"/>
  <c r="I423"/>
  <c r="J423"/>
  <c r="K423"/>
  <c r="M423"/>
  <c r="P423"/>
  <c r="R423"/>
  <c r="S423"/>
  <c r="T423"/>
  <c r="U423"/>
  <c r="X423"/>
  <c r="Y423"/>
  <c r="Z423"/>
  <c r="AA423"/>
  <c r="AB423"/>
  <c r="AC423"/>
  <c r="AD423"/>
  <c r="AE423"/>
  <c r="AF423"/>
  <c r="AG423"/>
  <c r="AH423"/>
  <c r="AI423"/>
  <c r="AJ423"/>
  <c r="AK423"/>
  <c r="C424"/>
  <c r="H424"/>
  <c r="I424"/>
  <c r="J424"/>
  <c r="K424"/>
  <c r="M424"/>
  <c r="P424"/>
  <c r="R424"/>
  <c r="S424"/>
  <c r="T424"/>
  <c r="U424"/>
  <c r="X424"/>
  <c r="Y424"/>
  <c r="Z424"/>
  <c r="AA424"/>
  <c r="AB424"/>
  <c r="AC424"/>
  <c r="AD424"/>
  <c r="AE424"/>
  <c r="AF424"/>
  <c r="AG424"/>
  <c r="AH424"/>
  <c r="AI424"/>
  <c r="AJ424"/>
  <c r="AK424"/>
  <c r="C425"/>
  <c r="H425"/>
  <c r="I425"/>
  <c r="J425"/>
  <c r="K425"/>
  <c r="M425"/>
  <c r="P425"/>
  <c r="R425"/>
  <c r="S425"/>
  <c r="T425"/>
  <c r="U425"/>
  <c r="X425"/>
  <c r="Y425"/>
  <c r="Z425"/>
  <c r="AA425"/>
  <c r="AB425"/>
  <c r="AC425"/>
  <c r="AD425"/>
  <c r="AE425"/>
  <c r="AF425"/>
  <c r="AG425"/>
  <c r="AH425"/>
  <c r="AI425"/>
  <c r="AJ425"/>
  <c r="AK425"/>
  <c r="C426"/>
  <c r="H426"/>
  <c r="I426"/>
  <c r="J426"/>
  <c r="K426"/>
  <c r="M426"/>
  <c r="P426"/>
  <c r="R426"/>
  <c r="S426"/>
  <c r="T426"/>
  <c r="U426"/>
  <c r="X426"/>
  <c r="Y426"/>
  <c r="Z426"/>
  <c r="AA426"/>
  <c r="AB426"/>
  <c r="AC426"/>
  <c r="AD426"/>
  <c r="AE426"/>
  <c r="AF426"/>
  <c r="AG426"/>
  <c r="AH426"/>
  <c r="AI426"/>
  <c r="AJ426"/>
  <c r="AK426"/>
  <c r="C427"/>
  <c r="H427"/>
  <c r="I427"/>
  <c r="J427"/>
  <c r="K427"/>
  <c r="M427"/>
  <c r="P427"/>
  <c r="R427"/>
  <c r="S427"/>
  <c r="T427"/>
  <c r="U427"/>
  <c r="X427"/>
  <c r="Y427"/>
  <c r="Z427"/>
  <c r="AA427"/>
  <c r="AB427"/>
  <c r="AC427"/>
  <c r="AD427"/>
  <c r="AE427"/>
  <c r="AF427"/>
  <c r="AG427"/>
  <c r="AH427"/>
  <c r="AI427"/>
  <c r="AJ427"/>
  <c r="AK427"/>
  <c r="C428"/>
  <c r="H428"/>
  <c r="I428"/>
  <c r="J428"/>
  <c r="K428"/>
  <c r="M428"/>
  <c r="P428"/>
  <c r="R428"/>
  <c r="S428"/>
  <c r="T428"/>
  <c r="U428"/>
  <c r="X428"/>
  <c r="Y428"/>
  <c r="Z428"/>
  <c r="AA428"/>
  <c r="AB428"/>
  <c r="AC428"/>
  <c r="AD428"/>
  <c r="AE428"/>
  <c r="AF428"/>
  <c r="AG428"/>
  <c r="AH428"/>
  <c r="AI428"/>
  <c r="AJ428"/>
  <c r="AK428"/>
  <c r="C429"/>
  <c r="H429"/>
  <c r="I429"/>
  <c r="J429"/>
  <c r="K429"/>
  <c r="M429"/>
  <c r="P429"/>
  <c r="R429"/>
  <c r="S429"/>
  <c r="T429"/>
  <c r="U429"/>
  <c r="X429"/>
  <c r="Y429"/>
  <c r="Z429"/>
  <c r="AA429"/>
  <c r="AB429"/>
  <c r="AC429"/>
  <c r="AD429"/>
  <c r="AE429"/>
  <c r="AF429"/>
  <c r="AG429"/>
  <c r="AH429"/>
  <c r="AI429"/>
  <c r="AJ429"/>
  <c r="AK429"/>
  <c r="C430"/>
  <c r="H430"/>
  <c r="I430"/>
  <c r="J430"/>
  <c r="K430"/>
  <c r="M430"/>
  <c r="P430"/>
  <c r="R430"/>
  <c r="S430"/>
  <c r="T430"/>
  <c r="U430"/>
  <c r="X430"/>
  <c r="Y430"/>
  <c r="Z430"/>
  <c r="AA430"/>
  <c r="AB430"/>
  <c r="AC430"/>
  <c r="AD430"/>
  <c r="AE430"/>
  <c r="AF430"/>
  <c r="AG430"/>
  <c r="AH430"/>
  <c r="AI430"/>
  <c r="AJ430"/>
  <c r="AK430"/>
  <c r="C431"/>
  <c r="H431"/>
  <c r="I431"/>
  <c r="J431"/>
  <c r="K431"/>
  <c r="M431"/>
  <c r="P431"/>
  <c r="R431"/>
  <c r="S431"/>
  <c r="T431"/>
  <c r="U431"/>
  <c r="X431"/>
  <c r="Y431"/>
  <c r="Z431"/>
  <c r="AA431"/>
  <c r="AB431"/>
  <c r="AC431"/>
  <c r="AD431"/>
  <c r="AE431"/>
  <c r="AF431"/>
  <c r="AG431"/>
  <c r="AH431"/>
  <c r="AI431"/>
  <c r="AJ431"/>
  <c r="AK431"/>
  <c r="C412"/>
  <c r="H412"/>
  <c r="I412"/>
  <c r="J412"/>
  <c r="K412"/>
  <c r="M412"/>
  <c r="P412"/>
  <c r="R412"/>
  <c r="S412"/>
  <c r="T412"/>
  <c r="U412"/>
  <c r="X412"/>
  <c r="Y412"/>
  <c r="Z412"/>
  <c r="AA412"/>
  <c r="AB412"/>
  <c r="AC412"/>
  <c r="AD412"/>
  <c r="AE412"/>
  <c r="AF412"/>
  <c r="AG412"/>
  <c r="AH412"/>
  <c r="AI412"/>
  <c r="AJ412"/>
  <c r="AK412"/>
  <c r="C413"/>
  <c r="H413"/>
  <c r="I413"/>
  <c r="J413"/>
  <c r="K413"/>
  <c r="M413"/>
  <c r="P413"/>
  <c r="R413"/>
  <c r="S413"/>
  <c r="T413"/>
  <c r="U413"/>
  <c r="X413"/>
  <c r="Y413"/>
  <c r="Z413"/>
  <c r="AA413"/>
  <c r="AB413"/>
  <c r="AC413"/>
  <c r="AD413"/>
  <c r="AE413"/>
  <c r="AF413"/>
  <c r="AG413"/>
  <c r="AH413"/>
  <c r="AI413"/>
  <c r="AJ413"/>
  <c r="AK413"/>
  <c r="C414"/>
  <c r="H414"/>
  <c r="I414"/>
  <c r="J414"/>
  <c r="K414"/>
  <c r="M414"/>
  <c r="P414"/>
  <c r="R414"/>
  <c r="S414"/>
  <c r="T414"/>
  <c r="U414"/>
  <c r="X414"/>
  <c r="Y414"/>
  <c r="Z414"/>
  <c r="AA414"/>
  <c r="AB414"/>
  <c r="AC414"/>
  <c r="AD414"/>
  <c r="AE414"/>
  <c r="AF414"/>
  <c r="AG414"/>
  <c r="AH414"/>
  <c r="AI414"/>
  <c r="AJ414"/>
  <c r="AK414"/>
  <c r="C415"/>
  <c r="H415"/>
  <c r="I415"/>
  <c r="J415"/>
  <c r="K415"/>
  <c r="M415"/>
  <c r="P415"/>
  <c r="R415"/>
  <c r="S415"/>
  <c r="T415"/>
  <c r="U415"/>
  <c r="X415"/>
  <c r="Y415"/>
  <c r="Z415"/>
  <c r="AA415"/>
  <c r="AB415"/>
  <c r="AC415"/>
  <c r="AD415"/>
  <c r="AE415"/>
  <c r="AF415"/>
  <c r="AG415"/>
  <c r="AH415"/>
  <c r="AI415"/>
  <c r="AJ415"/>
  <c r="AK415"/>
  <c r="C416"/>
  <c r="H416"/>
  <c r="I416"/>
  <c r="J416"/>
  <c r="K416"/>
  <c r="M416"/>
  <c r="P416"/>
  <c r="R416"/>
  <c r="S416"/>
  <c r="T416"/>
  <c r="U416"/>
  <c r="X416"/>
  <c r="Y416"/>
  <c r="Z416"/>
  <c r="AA416"/>
  <c r="AB416"/>
  <c r="AC416"/>
  <c r="AD416"/>
  <c r="AE416"/>
  <c r="AF416"/>
  <c r="AG416"/>
  <c r="AH416"/>
  <c r="AI416"/>
  <c r="AJ416"/>
  <c r="AK416"/>
  <c r="C417"/>
  <c r="H417"/>
  <c r="I417"/>
  <c r="J417"/>
  <c r="K417"/>
  <c r="M417"/>
  <c r="P417"/>
  <c r="R417"/>
  <c r="S417"/>
  <c r="T417"/>
  <c r="U417"/>
  <c r="X417"/>
  <c r="Y417"/>
  <c r="Z417"/>
  <c r="AA417"/>
  <c r="AB417"/>
  <c r="AC417"/>
  <c r="AD417"/>
  <c r="AE417"/>
  <c r="AF417"/>
  <c r="AG417"/>
  <c r="AH417"/>
  <c r="AI417"/>
  <c r="AJ417"/>
  <c r="AK417"/>
  <c r="C418"/>
  <c r="H418"/>
  <c r="I418"/>
  <c r="J418"/>
  <c r="K418"/>
  <c r="M418"/>
  <c r="P418"/>
  <c r="R418"/>
  <c r="S418"/>
  <c r="T418"/>
  <c r="U418"/>
  <c r="X418"/>
  <c r="Y418"/>
  <c r="Z418"/>
  <c r="AA418"/>
  <c r="AB418"/>
  <c r="AC418"/>
  <c r="AD418"/>
  <c r="AE418"/>
  <c r="AF418"/>
  <c r="AG418"/>
  <c r="AH418"/>
  <c r="AI418"/>
  <c r="AJ418"/>
  <c r="AK418"/>
  <c r="C419"/>
  <c r="H419"/>
  <c r="I419"/>
  <c r="J419"/>
  <c r="K419"/>
  <c r="M419"/>
  <c r="P419"/>
  <c r="R419"/>
  <c r="S419"/>
  <c r="T419"/>
  <c r="U419"/>
  <c r="X419"/>
  <c r="Y419"/>
  <c r="Z419"/>
  <c r="AA419"/>
  <c r="AB419"/>
  <c r="AC419"/>
  <c r="AD419"/>
  <c r="AE419"/>
  <c r="AF419"/>
  <c r="AG419"/>
  <c r="AH419"/>
  <c r="AI419"/>
  <c r="AJ419"/>
  <c r="AK419"/>
  <c r="C420"/>
  <c r="H420"/>
  <c r="I420"/>
  <c r="J420"/>
  <c r="K420"/>
  <c r="M420"/>
  <c r="P420"/>
  <c r="R420"/>
  <c r="S420"/>
  <c r="T420"/>
  <c r="U420"/>
  <c r="X420"/>
  <c r="Y420"/>
  <c r="Z420"/>
  <c r="AA420"/>
  <c r="AB420"/>
  <c r="AC420"/>
  <c r="AD420"/>
  <c r="AE420"/>
  <c r="AF420"/>
  <c r="AG420"/>
  <c r="AH420"/>
  <c r="AI420"/>
  <c r="AJ420"/>
  <c r="AK420"/>
  <c r="C421"/>
  <c r="H421"/>
  <c r="I421"/>
  <c r="J421"/>
  <c r="K421"/>
  <c r="M421"/>
  <c r="P421"/>
  <c r="R421"/>
  <c r="S421"/>
  <c r="T421"/>
  <c r="U421"/>
  <c r="X421"/>
  <c r="Y421"/>
  <c r="Z421"/>
  <c r="AA421"/>
  <c r="AB421"/>
  <c r="AC421"/>
  <c r="AD421"/>
  <c r="AE421"/>
  <c r="AF421"/>
  <c r="AG421"/>
  <c r="AH421"/>
  <c r="AI421"/>
  <c r="AJ421"/>
  <c r="AK421"/>
  <c r="C402"/>
  <c r="H402"/>
  <c r="I402"/>
  <c r="J402"/>
  <c r="K402"/>
  <c r="M402"/>
  <c r="P402"/>
  <c r="R402"/>
  <c r="S402"/>
  <c r="T402"/>
  <c r="U402"/>
  <c r="X402"/>
  <c r="Y402"/>
  <c r="Z402"/>
  <c r="AA402"/>
  <c r="AB402"/>
  <c r="AC402"/>
  <c r="AD402"/>
  <c r="AE402"/>
  <c r="AF402"/>
  <c r="AG402"/>
  <c r="AH402"/>
  <c r="AI402"/>
  <c r="AJ402"/>
  <c r="AK402"/>
  <c r="C403"/>
  <c r="H403"/>
  <c r="I403"/>
  <c r="J403"/>
  <c r="K403"/>
  <c r="M403"/>
  <c r="P403"/>
  <c r="R403"/>
  <c r="S403"/>
  <c r="T403"/>
  <c r="U403"/>
  <c r="X403"/>
  <c r="Y403"/>
  <c r="Z403"/>
  <c r="AA403"/>
  <c r="AB403"/>
  <c r="AC403"/>
  <c r="AD403"/>
  <c r="AE403"/>
  <c r="AF403"/>
  <c r="AG403"/>
  <c r="AH403"/>
  <c r="AI403"/>
  <c r="AJ403"/>
  <c r="AK403"/>
  <c r="C404"/>
  <c r="H404"/>
  <c r="I404"/>
  <c r="J404"/>
  <c r="K404"/>
  <c r="M404"/>
  <c r="P404"/>
  <c r="R404"/>
  <c r="S404"/>
  <c r="T404"/>
  <c r="U404"/>
  <c r="X404"/>
  <c r="Y404"/>
  <c r="Z404"/>
  <c r="AA404"/>
  <c r="AB404"/>
  <c r="AC404"/>
  <c r="AD404"/>
  <c r="AE404"/>
  <c r="AF404"/>
  <c r="AG404"/>
  <c r="AH404"/>
  <c r="AI404"/>
  <c r="AJ404"/>
  <c r="AK404"/>
  <c r="C405"/>
  <c r="H405"/>
  <c r="I405"/>
  <c r="J405"/>
  <c r="K405"/>
  <c r="M405"/>
  <c r="P405"/>
  <c r="R405"/>
  <c r="S405"/>
  <c r="T405"/>
  <c r="U405"/>
  <c r="X405"/>
  <c r="Y405"/>
  <c r="Z405"/>
  <c r="AA405"/>
  <c r="AB405"/>
  <c r="AC405"/>
  <c r="AD405"/>
  <c r="AE405"/>
  <c r="AF405"/>
  <c r="AG405"/>
  <c r="AH405"/>
  <c r="AI405"/>
  <c r="AJ405"/>
  <c r="AK405"/>
  <c r="C406"/>
  <c r="H406"/>
  <c r="I406"/>
  <c r="J406"/>
  <c r="K406"/>
  <c r="M406"/>
  <c r="P406"/>
  <c r="R406"/>
  <c r="S406"/>
  <c r="T406"/>
  <c r="U406"/>
  <c r="X406"/>
  <c r="Y406"/>
  <c r="Z406"/>
  <c r="AA406"/>
  <c r="AB406"/>
  <c r="AC406"/>
  <c r="AD406"/>
  <c r="AE406"/>
  <c r="AF406"/>
  <c r="AG406"/>
  <c r="AH406"/>
  <c r="AI406"/>
  <c r="AJ406"/>
  <c r="AK406"/>
  <c r="C407"/>
  <c r="H407"/>
  <c r="I407"/>
  <c r="J407"/>
  <c r="K407"/>
  <c r="M407"/>
  <c r="P407"/>
  <c r="R407"/>
  <c r="S407"/>
  <c r="T407"/>
  <c r="U407"/>
  <c r="X407"/>
  <c r="Y407"/>
  <c r="Z407"/>
  <c r="AA407"/>
  <c r="AB407"/>
  <c r="AC407"/>
  <c r="AD407"/>
  <c r="AE407"/>
  <c r="AF407"/>
  <c r="AG407"/>
  <c r="AH407"/>
  <c r="AI407"/>
  <c r="AJ407"/>
  <c r="AK407"/>
  <c r="C408"/>
  <c r="H408"/>
  <c r="I408"/>
  <c r="J408"/>
  <c r="K408"/>
  <c r="M408"/>
  <c r="P408"/>
  <c r="R408"/>
  <c r="S408"/>
  <c r="T408"/>
  <c r="U408"/>
  <c r="X408"/>
  <c r="Y408"/>
  <c r="Z408"/>
  <c r="AA408"/>
  <c r="AB408"/>
  <c r="AC408"/>
  <c r="AD408"/>
  <c r="AE408"/>
  <c r="AF408"/>
  <c r="AG408"/>
  <c r="AH408"/>
  <c r="AI408"/>
  <c r="AJ408"/>
  <c r="AK408"/>
  <c r="C409"/>
  <c r="H409"/>
  <c r="I409"/>
  <c r="J409"/>
  <c r="K409"/>
  <c r="M409"/>
  <c r="P409"/>
  <c r="R409"/>
  <c r="S409"/>
  <c r="T409"/>
  <c r="U409"/>
  <c r="X409"/>
  <c r="Y409"/>
  <c r="Z409"/>
  <c r="AA409"/>
  <c r="AB409"/>
  <c r="AC409"/>
  <c r="AD409"/>
  <c r="AE409"/>
  <c r="AF409"/>
  <c r="AG409"/>
  <c r="AH409"/>
  <c r="AI409"/>
  <c r="AJ409"/>
  <c r="AK409"/>
  <c r="C410"/>
  <c r="H410"/>
  <c r="I410"/>
  <c r="J410"/>
  <c r="K410"/>
  <c r="M410"/>
  <c r="P410"/>
  <c r="R410"/>
  <c r="S410"/>
  <c r="T410"/>
  <c r="U410"/>
  <c r="X410"/>
  <c r="Y410"/>
  <c r="Z410"/>
  <c r="AA410"/>
  <c r="AB410"/>
  <c r="AC410"/>
  <c r="AD410"/>
  <c r="AE410"/>
  <c r="AF410"/>
  <c r="AG410"/>
  <c r="AH410"/>
  <c r="AI410"/>
  <c r="AJ410"/>
  <c r="AK410"/>
  <c r="C411"/>
  <c r="H411"/>
  <c r="I411"/>
  <c r="J411"/>
  <c r="K411"/>
  <c r="M411"/>
  <c r="P411"/>
  <c r="R411"/>
  <c r="S411"/>
  <c r="T411"/>
  <c r="U411"/>
  <c r="X411"/>
  <c r="Y411"/>
  <c r="Z411"/>
  <c r="AA411"/>
  <c r="AB411"/>
  <c r="AC411"/>
  <c r="AD411"/>
  <c r="AE411"/>
  <c r="AF411"/>
  <c r="AG411"/>
  <c r="AH411"/>
  <c r="AI411"/>
  <c r="AJ411"/>
  <c r="AK411"/>
  <c r="C392"/>
  <c r="H392"/>
  <c r="I392"/>
  <c r="J392"/>
  <c r="K392"/>
  <c r="M392"/>
  <c r="P392"/>
  <c r="R392"/>
  <c r="S392"/>
  <c r="T392"/>
  <c r="U392"/>
  <c r="X392"/>
  <c r="Y392"/>
  <c r="Z392"/>
  <c r="AA392"/>
  <c r="AB392"/>
  <c r="AC392"/>
  <c r="AD392"/>
  <c r="AE392"/>
  <c r="AF392"/>
  <c r="AG392"/>
  <c r="AH392"/>
  <c r="AI392"/>
  <c r="AJ392"/>
  <c r="AK392"/>
  <c r="C393"/>
  <c r="H393"/>
  <c r="I393"/>
  <c r="J393"/>
  <c r="K393"/>
  <c r="M393"/>
  <c r="P393"/>
  <c r="R393"/>
  <c r="S393"/>
  <c r="T393"/>
  <c r="U393"/>
  <c r="X393"/>
  <c r="Y393"/>
  <c r="Z393"/>
  <c r="AA393"/>
  <c r="AB393"/>
  <c r="AC393"/>
  <c r="AD393"/>
  <c r="AE393"/>
  <c r="AF393"/>
  <c r="AG393"/>
  <c r="AH393"/>
  <c r="AI393"/>
  <c r="AJ393"/>
  <c r="AK393"/>
  <c r="C394"/>
  <c r="H394"/>
  <c r="I394"/>
  <c r="J394"/>
  <c r="K394"/>
  <c r="M394"/>
  <c r="P394"/>
  <c r="R394"/>
  <c r="S394"/>
  <c r="T394"/>
  <c r="U394"/>
  <c r="X394"/>
  <c r="Y394"/>
  <c r="Z394"/>
  <c r="AA394"/>
  <c r="AB394"/>
  <c r="AC394"/>
  <c r="AD394"/>
  <c r="AE394"/>
  <c r="AF394"/>
  <c r="AG394"/>
  <c r="AH394"/>
  <c r="AI394"/>
  <c r="AJ394"/>
  <c r="AK394"/>
  <c r="C395"/>
  <c r="H395"/>
  <c r="I395"/>
  <c r="J395"/>
  <c r="K395"/>
  <c r="M395"/>
  <c r="P395"/>
  <c r="R395"/>
  <c r="S395"/>
  <c r="T395"/>
  <c r="U395"/>
  <c r="X395"/>
  <c r="Y395"/>
  <c r="Z395"/>
  <c r="AA395"/>
  <c r="AB395"/>
  <c r="AC395"/>
  <c r="AD395"/>
  <c r="AE395"/>
  <c r="AF395"/>
  <c r="AG395"/>
  <c r="AH395"/>
  <c r="AI395"/>
  <c r="AJ395"/>
  <c r="AK395"/>
  <c r="C396"/>
  <c r="H396"/>
  <c r="I396"/>
  <c r="J396"/>
  <c r="K396"/>
  <c r="M396"/>
  <c r="P396"/>
  <c r="R396"/>
  <c r="S396"/>
  <c r="T396"/>
  <c r="U396"/>
  <c r="X396"/>
  <c r="Y396"/>
  <c r="Z396"/>
  <c r="AA396"/>
  <c r="AB396"/>
  <c r="AC396"/>
  <c r="AD396"/>
  <c r="AE396"/>
  <c r="AF396"/>
  <c r="AG396"/>
  <c r="AH396"/>
  <c r="AI396"/>
  <c r="AJ396"/>
  <c r="AK396"/>
  <c r="C397"/>
  <c r="H397"/>
  <c r="I397"/>
  <c r="J397"/>
  <c r="K397"/>
  <c r="M397"/>
  <c r="P397"/>
  <c r="R397"/>
  <c r="S397"/>
  <c r="T397"/>
  <c r="U397"/>
  <c r="X397"/>
  <c r="Y397"/>
  <c r="Z397"/>
  <c r="AA397"/>
  <c r="AB397"/>
  <c r="AC397"/>
  <c r="AD397"/>
  <c r="AE397"/>
  <c r="AF397"/>
  <c r="AG397"/>
  <c r="AH397"/>
  <c r="AI397"/>
  <c r="AJ397"/>
  <c r="AK397"/>
  <c r="C398"/>
  <c r="H398"/>
  <c r="I398"/>
  <c r="J398"/>
  <c r="K398"/>
  <c r="M398"/>
  <c r="P398"/>
  <c r="R398"/>
  <c r="S398"/>
  <c r="T398"/>
  <c r="U398"/>
  <c r="X398"/>
  <c r="Y398"/>
  <c r="Z398"/>
  <c r="AA398"/>
  <c r="AB398"/>
  <c r="AC398"/>
  <c r="AD398"/>
  <c r="AE398"/>
  <c r="AF398"/>
  <c r="AG398"/>
  <c r="AH398"/>
  <c r="AI398"/>
  <c r="AJ398"/>
  <c r="AK398"/>
  <c r="C399"/>
  <c r="H399"/>
  <c r="I399"/>
  <c r="J399"/>
  <c r="K399"/>
  <c r="M399"/>
  <c r="P399"/>
  <c r="R399"/>
  <c r="S399"/>
  <c r="T399"/>
  <c r="U399"/>
  <c r="X399"/>
  <c r="Y399"/>
  <c r="Z399"/>
  <c r="AA399"/>
  <c r="AB399"/>
  <c r="AC399"/>
  <c r="AD399"/>
  <c r="AE399"/>
  <c r="AF399"/>
  <c r="AG399"/>
  <c r="AH399"/>
  <c r="AI399"/>
  <c r="AJ399"/>
  <c r="AK399"/>
  <c r="C400"/>
  <c r="H400"/>
  <c r="I400"/>
  <c r="J400"/>
  <c r="K400"/>
  <c r="M400"/>
  <c r="P400"/>
  <c r="R400"/>
  <c r="S400"/>
  <c r="T400"/>
  <c r="U400"/>
  <c r="X400"/>
  <c r="Y400"/>
  <c r="Z400"/>
  <c r="AA400"/>
  <c r="AB400"/>
  <c r="AC400"/>
  <c r="AD400"/>
  <c r="AE400"/>
  <c r="AF400"/>
  <c r="AG400"/>
  <c r="AH400"/>
  <c r="AI400"/>
  <c r="AJ400"/>
  <c r="AK400"/>
  <c r="C401"/>
  <c r="H401"/>
  <c r="I401"/>
  <c r="J401"/>
  <c r="K401"/>
  <c r="M401"/>
  <c r="P401"/>
  <c r="R401"/>
  <c r="S401"/>
  <c r="T401"/>
  <c r="U401"/>
  <c r="X401"/>
  <c r="Y401"/>
  <c r="Z401"/>
  <c r="AA401"/>
  <c r="AB401"/>
  <c r="AC401"/>
  <c r="AD401"/>
  <c r="AE401"/>
  <c r="AF401"/>
  <c r="AG401"/>
  <c r="AH401"/>
  <c r="AI401"/>
  <c r="AJ401"/>
  <c r="AK401"/>
  <c r="C382"/>
  <c r="H382"/>
  <c r="I382"/>
  <c r="J382"/>
  <c r="K382"/>
  <c r="M382"/>
  <c r="P382"/>
  <c r="R382"/>
  <c r="S382"/>
  <c r="T382"/>
  <c r="U382"/>
  <c r="X382"/>
  <c r="Y382"/>
  <c r="Z382"/>
  <c r="AA382"/>
  <c r="AB382"/>
  <c r="AC382"/>
  <c r="AD382"/>
  <c r="AE382"/>
  <c r="AF382"/>
  <c r="AG382"/>
  <c r="AH382"/>
  <c r="AI382"/>
  <c r="AJ382"/>
  <c r="AK382"/>
  <c r="C383"/>
  <c r="H383"/>
  <c r="I383"/>
  <c r="J383"/>
  <c r="K383"/>
  <c r="M383"/>
  <c r="P383"/>
  <c r="R383"/>
  <c r="S383"/>
  <c r="T383"/>
  <c r="U383"/>
  <c r="X383"/>
  <c r="Y383"/>
  <c r="Z383"/>
  <c r="AA383"/>
  <c r="AB383"/>
  <c r="AC383"/>
  <c r="AD383"/>
  <c r="AE383"/>
  <c r="AF383"/>
  <c r="AG383"/>
  <c r="AH383"/>
  <c r="AI383"/>
  <c r="AJ383"/>
  <c r="AK383"/>
  <c r="C384"/>
  <c r="H384"/>
  <c r="I384"/>
  <c r="J384"/>
  <c r="K384"/>
  <c r="M384"/>
  <c r="P384"/>
  <c r="R384"/>
  <c r="S384"/>
  <c r="T384"/>
  <c r="U384"/>
  <c r="X384"/>
  <c r="Y384"/>
  <c r="Z384"/>
  <c r="AA384"/>
  <c r="AB384"/>
  <c r="AC384"/>
  <c r="AD384"/>
  <c r="AE384"/>
  <c r="AF384"/>
  <c r="AG384"/>
  <c r="AH384"/>
  <c r="AI384"/>
  <c r="AJ384"/>
  <c r="AK384"/>
  <c r="C385"/>
  <c r="H385"/>
  <c r="I385"/>
  <c r="J385"/>
  <c r="K385"/>
  <c r="M385"/>
  <c r="P385"/>
  <c r="R385"/>
  <c r="S385"/>
  <c r="T385"/>
  <c r="U385"/>
  <c r="X385"/>
  <c r="Y385"/>
  <c r="Z385"/>
  <c r="AA385"/>
  <c r="AB385"/>
  <c r="AC385"/>
  <c r="AD385"/>
  <c r="AE385"/>
  <c r="AF385"/>
  <c r="AG385"/>
  <c r="AH385"/>
  <c r="AI385"/>
  <c r="AJ385"/>
  <c r="AK385"/>
  <c r="C386"/>
  <c r="H386"/>
  <c r="I386"/>
  <c r="J386"/>
  <c r="K386"/>
  <c r="M386"/>
  <c r="P386"/>
  <c r="R386"/>
  <c r="S386"/>
  <c r="T386"/>
  <c r="U386"/>
  <c r="X386"/>
  <c r="Y386"/>
  <c r="Z386"/>
  <c r="AA386"/>
  <c r="AB386"/>
  <c r="AC386"/>
  <c r="AD386"/>
  <c r="AE386"/>
  <c r="AF386"/>
  <c r="AG386"/>
  <c r="AH386"/>
  <c r="AI386"/>
  <c r="AJ386"/>
  <c r="AK386"/>
  <c r="C387"/>
  <c r="H387"/>
  <c r="I387"/>
  <c r="J387"/>
  <c r="K387"/>
  <c r="M387"/>
  <c r="P387"/>
  <c r="R387"/>
  <c r="S387"/>
  <c r="T387"/>
  <c r="U387"/>
  <c r="X387"/>
  <c r="Y387"/>
  <c r="Z387"/>
  <c r="AA387"/>
  <c r="AB387"/>
  <c r="AC387"/>
  <c r="AD387"/>
  <c r="AE387"/>
  <c r="AF387"/>
  <c r="AG387"/>
  <c r="AH387"/>
  <c r="AI387"/>
  <c r="AJ387"/>
  <c r="AK387"/>
  <c r="C388"/>
  <c r="H388"/>
  <c r="I388"/>
  <c r="J388"/>
  <c r="K388"/>
  <c r="M388"/>
  <c r="P388"/>
  <c r="R388"/>
  <c r="S388"/>
  <c r="T388"/>
  <c r="U388"/>
  <c r="X388"/>
  <c r="Y388"/>
  <c r="Z388"/>
  <c r="AA388"/>
  <c r="AB388"/>
  <c r="AC388"/>
  <c r="AD388"/>
  <c r="AE388"/>
  <c r="AF388"/>
  <c r="AG388"/>
  <c r="AH388"/>
  <c r="AI388"/>
  <c r="AJ388"/>
  <c r="AK388"/>
  <c r="C389"/>
  <c r="H389"/>
  <c r="I389"/>
  <c r="J389"/>
  <c r="K389"/>
  <c r="M389"/>
  <c r="P389"/>
  <c r="R389"/>
  <c r="S389"/>
  <c r="T389"/>
  <c r="U389"/>
  <c r="X389"/>
  <c r="Y389"/>
  <c r="Z389"/>
  <c r="AA389"/>
  <c r="AB389"/>
  <c r="AC389"/>
  <c r="AD389"/>
  <c r="AE389"/>
  <c r="AF389"/>
  <c r="AG389"/>
  <c r="AH389"/>
  <c r="AI389"/>
  <c r="AJ389"/>
  <c r="AK389"/>
  <c r="C390"/>
  <c r="H390"/>
  <c r="I390"/>
  <c r="J390"/>
  <c r="K390"/>
  <c r="M390"/>
  <c r="P390"/>
  <c r="R390"/>
  <c r="S390"/>
  <c r="T390"/>
  <c r="U390"/>
  <c r="X390"/>
  <c r="Y390"/>
  <c r="Z390"/>
  <c r="AA390"/>
  <c r="AB390"/>
  <c r="AC390"/>
  <c r="AD390"/>
  <c r="AE390"/>
  <c r="AF390"/>
  <c r="AG390"/>
  <c r="AH390"/>
  <c r="AI390"/>
  <c r="AJ390"/>
  <c r="AK390"/>
  <c r="C391"/>
  <c r="H391"/>
  <c r="I391"/>
  <c r="J391"/>
  <c r="K391"/>
  <c r="M391"/>
  <c r="P391"/>
  <c r="R391"/>
  <c r="S391"/>
  <c r="T391"/>
  <c r="U391"/>
  <c r="X391"/>
  <c r="Y391"/>
  <c r="Z391"/>
  <c r="AA391"/>
  <c r="AB391"/>
  <c r="AC391"/>
  <c r="AD391"/>
  <c r="AE391"/>
  <c r="AF391"/>
  <c r="AG391"/>
  <c r="AH391"/>
  <c r="AI391"/>
  <c r="AJ391"/>
  <c r="AK391"/>
  <c r="C372"/>
  <c r="H372"/>
  <c r="I372"/>
  <c r="J372"/>
  <c r="K372"/>
  <c r="M372"/>
  <c r="P372"/>
  <c r="R372"/>
  <c r="S372"/>
  <c r="T372"/>
  <c r="U372"/>
  <c r="X372"/>
  <c r="Y372"/>
  <c r="Z372"/>
  <c r="AA372"/>
  <c r="AB372"/>
  <c r="AC372"/>
  <c r="AD372"/>
  <c r="AE372"/>
  <c r="AF372"/>
  <c r="AG372"/>
  <c r="AH372"/>
  <c r="AI372"/>
  <c r="AJ372"/>
  <c r="AK372"/>
  <c r="C373"/>
  <c r="H373"/>
  <c r="I373"/>
  <c r="J373"/>
  <c r="K373"/>
  <c r="M373"/>
  <c r="P373"/>
  <c r="R373"/>
  <c r="S373"/>
  <c r="T373"/>
  <c r="U373"/>
  <c r="X373"/>
  <c r="Y373"/>
  <c r="Z373"/>
  <c r="AA373"/>
  <c r="AB373"/>
  <c r="AC373"/>
  <c r="AD373"/>
  <c r="AE373"/>
  <c r="AF373"/>
  <c r="AG373"/>
  <c r="AH373"/>
  <c r="AI373"/>
  <c r="AJ373"/>
  <c r="AK373"/>
  <c r="C374"/>
  <c r="H374"/>
  <c r="I374"/>
  <c r="J374"/>
  <c r="K374"/>
  <c r="M374"/>
  <c r="P374"/>
  <c r="R374"/>
  <c r="S374"/>
  <c r="T374"/>
  <c r="U374"/>
  <c r="X374"/>
  <c r="Y374"/>
  <c r="Z374"/>
  <c r="AA374"/>
  <c r="AB374"/>
  <c r="AC374"/>
  <c r="AD374"/>
  <c r="AE374"/>
  <c r="AF374"/>
  <c r="AG374"/>
  <c r="AH374"/>
  <c r="AI374"/>
  <c r="AJ374"/>
  <c r="AK374"/>
  <c r="C375"/>
  <c r="H375"/>
  <c r="I375"/>
  <c r="J375"/>
  <c r="K375"/>
  <c r="M375"/>
  <c r="P375"/>
  <c r="R375"/>
  <c r="S375"/>
  <c r="T375"/>
  <c r="U375"/>
  <c r="X375"/>
  <c r="Y375"/>
  <c r="Z375"/>
  <c r="AA375"/>
  <c r="AB375"/>
  <c r="AC375"/>
  <c r="AD375"/>
  <c r="AE375"/>
  <c r="AF375"/>
  <c r="AG375"/>
  <c r="AH375"/>
  <c r="AI375"/>
  <c r="AJ375"/>
  <c r="AK375"/>
  <c r="C376"/>
  <c r="H376"/>
  <c r="I376"/>
  <c r="J376"/>
  <c r="K376"/>
  <c r="M376"/>
  <c r="P376"/>
  <c r="R376"/>
  <c r="S376"/>
  <c r="T376"/>
  <c r="U376"/>
  <c r="X376"/>
  <c r="Y376"/>
  <c r="Z376"/>
  <c r="AA376"/>
  <c r="AB376"/>
  <c r="AC376"/>
  <c r="AD376"/>
  <c r="AE376"/>
  <c r="AF376"/>
  <c r="AG376"/>
  <c r="AH376"/>
  <c r="AI376"/>
  <c r="AJ376"/>
  <c r="AK376"/>
  <c r="C377"/>
  <c r="H377"/>
  <c r="I377"/>
  <c r="J377"/>
  <c r="K377"/>
  <c r="M377"/>
  <c r="P377"/>
  <c r="R377"/>
  <c r="S377"/>
  <c r="T377"/>
  <c r="U377"/>
  <c r="X377"/>
  <c r="Y377"/>
  <c r="Z377"/>
  <c r="AA377"/>
  <c r="AB377"/>
  <c r="AC377"/>
  <c r="AD377"/>
  <c r="AE377"/>
  <c r="AF377"/>
  <c r="AG377"/>
  <c r="AH377"/>
  <c r="AI377"/>
  <c r="AJ377"/>
  <c r="AK377"/>
  <c r="C378"/>
  <c r="H378"/>
  <c r="I378"/>
  <c r="J378"/>
  <c r="K378"/>
  <c r="M378"/>
  <c r="P378"/>
  <c r="R378"/>
  <c r="S378"/>
  <c r="T378"/>
  <c r="U378"/>
  <c r="X378"/>
  <c r="Y378"/>
  <c r="Z378"/>
  <c r="AA378"/>
  <c r="AB378"/>
  <c r="AC378"/>
  <c r="AD378"/>
  <c r="AE378"/>
  <c r="AF378"/>
  <c r="AG378"/>
  <c r="AH378"/>
  <c r="AI378"/>
  <c r="AJ378"/>
  <c r="AK378"/>
  <c r="C379"/>
  <c r="H379"/>
  <c r="I379"/>
  <c r="J379"/>
  <c r="K379"/>
  <c r="M379"/>
  <c r="P379"/>
  <c r="R379"/>
  <c r="S379"/>
  <c r="T379"/>
  <c r="U379"/>
  <c r="X379"/>
  <c r="Y379"/>
  <c r="Z379"/>
  <c r="AA379"/>
  <c r="AB379"/>
  <c r="AC379"/>
  <c r="AD379"/>
  <c r="AE379"/>
  <c r="AF379"/>
  <c r="AG379"/>
  <c r="AH379"/>
  <c r="AI379"/>
  <c r="AJ379"/>
  <c r="AK379"/>
  <c r="C380"/>
  <c r="H380"/>
  <c r="I380"/>
  <c r="J380"/>
  <c r="K380"/>
  <c r="M380"/>
  <c r="P380"/>
  <c r="R380"/>
  <c r="S380"/>
  <c r="T380"/>
  <c r="U380"/>
  <c r="X380"/>
  <c r="Y380"/>
  <c r="Z380"/>
  <c r="AA380"/>
  <c r="AB380"/>
  <c r="AC380"/>
  <c r="AD380"/>
  <c r="AE380"/>
  <c r="AF380"/>
  <c r="AG380"/>
  <c r="AH380"/>
  <c r="AI380"/>
  <c r="AJ380"/>
  <c r="AK380"/>
  <c r="C381"/>
  <c r="H381"/>
  <c r="I381"/>
  <c r="J381"/>
  <c r="K381"/>
  <c r="M381"/>
  <c r="P381"/>
  <c r="R381"/>
  <c r="S381"/>
  <c r="T381"/>
  <c r="U381"/>
  <c r="X381"/>
  <c r="Y381"/>
  <c r="Z381"/>
  <c r="AA381"/>
  <c r="AB381"/>
  <c r="AC381"/>
  <c r="AD381"/>
  <c r="AE381"/>
  <c r="AF381"/>
  <c r="AG381"/>
  <c r="AH381"/>
  <c r="AI381"/>
  <c r="AJ381"/>
  <c r="AK381"/>
  <c r="C362"/>
  <c r="H362"/>
  <c r="I362"/>
  <c r="J362"/>
  <c r="K362"/>
  <c r="M362"/>
  <c r="P362"/>
  <c r="R362"/>
  <c r="S362"/>
  <c r="T362"/>
  <c r="U362"/>
  <c r="X362"/>
  <c r="Y362"/>
  <c r="Z362"/>
  <c r="AA362"/>
  <c r="AB362"/>
  <c r="AC362"/>
  <c r="AD362"/>
  <c r="AE362"/>
  <c r="AF362"/>
  <c r="AG362"/>
  <c r="AH362"/>
  <c r="AI362"/>
  <c r="AJ362"/>
  <c r="AK362"/>
  <c r="C363"/>
  <c r="H363"/>
  <c r="I363"/>
  <c r="J363"/>
  <c r="K363"/>
  <c r="M363"/>
  <c r="P363"/>
  <c r="R363"/>
  <c r="S363"/>
  <c r="T363"/>
  <c r="U363"/>
  <c r="X363"/>
  <c r="Y363"/>
  <c r="Z363"/>
  <c r="AA363"/>
  <c r="AB363"/>
  <c r="AC363"/>
  <c r="AD363"/>
  <c r="AE363"/>
  <c r="AF363"/>
  <c r="AG363"/>
  <c r="AH363"/>
  <c r="AI363"/>
  <c r="AJ363"/>
  <c r="AK363"/>
  <c r="C364"/>
  <c r="H364"/>
  <c r="I364"/>
  <c r="J364"/>
  <c r="K364"/>
  <c r="M364"/>
  <c r="P364"/>
  <c r="R364"/>
  <c r="S364"/>
  <c r="T364"/>
  <c r="U364"/>
  <c r="X364"/>
  <c r="Y364"/>
  <c r="Z364"/>
  <c r="AA364"/>
  <c r="AB364"/>
  <c r="AC364"/>
  <c r="AD364"/>
  <c r="AE364"/>
  <c r="AF364"/>
  <c r="AG364"/>
  <c r="AH364"/>
  <c r="AI364"/>
  <c r="AJ364"/>
  <c r="AK364"/>
  <c r="C365"/>
  <c r="H365"/>
  <c r="I365"/>
  <c r="J365"/>
  <c r="K365"/>
  <c r="M365"/>
  <c r="P365"/>
  <c r="R365"/>
  <c r="S365"/>
  <c r="T365"/>
  <c r="U365"/>
  <c r="X365"/>
  <c r="Y365"/>
  <c r="Z365"/>
  <c r="AA365"/>
  <c r="AB365"/>
  <c r="AC365"/>
  <c r="AD365"/>
  <c r="AE365"/>
  <c r="AF365"/>
  <c r="AG365"/>
  <c r="AH365"/>
  <c r="AI365"/>
  <c r="AJ365"/>
  <c r="AK365"/>
  <c r="C366"/>
  <c r="H366"/>
  <c r="I366"/>
  <c r="J366"/>
  <c r="K366"/>
  <c r="M366"/>
  <c r="P366"/>
  <c r="R366"/>
  <c r="S366"/>
  <c r="T366"/>
  <c r="U366"/>
  <c r="X366"/>
  <c r="Y366"/>
  <c r="Z366"/>
  <c r="AA366"/>
  <c r="AB366"/>
  <c r="AC366"/>
  <c r="AD366"/>
  <c r="AE366"/>
  <c r="AF366"/>
  <c r="AG366"/>
  <c r="AH366"/>
  <c r="AI366"/>
  <c r="AJ366"/>
  <c r="AK366"/>
  <c r="C367"/>
  <c r="H367"/>
  <c r="I367"/>
  <c r="J367"/>
  <c r="K367"/>
  <c r="M367"/>
  <c r="P367"/>
  <c r="R367"/>
  <c r="S367"/>
  <c r="T367"/>
  <c r="U367"/>
  <c r="X367"/>
  <c r="Y367"/>
  <c r="Z367"/>
  <c r="AA367"/>
  <c r="AB367"/>
  <c r="AC367"/>
  <c r="AD367"/>
  <c r="AE367"/>
  <c r="AF367"/>
  <c r="AG367"/>
  <c r="AH367"/>
  <c r="AI367"/>
  <c r="AJ367"/>
  <c r="AK367"/>
  <c r="C368"/>
  <c r="H368"/>
  <c r="I368"/>
  <c r="J368"/>
  <c r="K368"/>
  <c r="M368"/>
  <c r="P368"/>
  <c r="R368"/>
  <c r="S368"/>
  <c r="T368"/>
  <c r="U368"/>
  <c r="X368"/>
  <c r="Y368"/>
  <c r="Z368"/>
  <c r="AA368"/>
  <c r="AB368"/>
  <c r="AC368"/>
  <c r="AD368"/>
  <c r="AE368"/>
  <c r="AF368"/>
  <c r="AG368"/>
  <c r="AH368"/>
  <c r="AI368"/>
  <c r="AJ368"/>
  <c r="AK368"/>
  <c r="C369"/>
  <c r="H369"/>
  <c r="I369"/>
  <c r="J369"/>
  <c r="K369"/>
  <c r="M369"/>
  <c r="P369"/>
  <c r="R369"/>
  <c r="S369"/>
  <c r="T369"/>
  <c r="U369"/>
  <c r="X369"/>
  <c r="Y369"/>
  <c r="Z369"/>
  <c r="AA369"/>
  <c r="AB369"/>
  <c r="AC369"/>
  <c r="AD369"/>
  <c r="AE369"/>
  <c r="AF369"/>
  <c r="AG369"/>
  <c r="AH369"/>
  <c r="AI369"/>
  <c r="AJ369"/>
  <c r="AK369"/>
  <c r="C370"/>
  <c r="H370"/>
  <c r="I370"/>
  <c r="J370"/>
  <c r="K370"/>
  <c r="M370"/>
  <c r="P370"/>
  <c r="R370"/>
  <c r="S370"/>
  <c r="T370"/>
  <c r="U370"/>
  <c r="X370"/>
  <c r="Y370"/>
  <c r="Z370"/>
  <c r="AA370"/>
  <c r="AB370"/>
  <c r="AC370"/>
  <c r="AD370"/>
  <c r="AE370"/>
  <c r="AF370"/>
  <c r="AG370"/>
  <c r="AH370"/>
  <c r="AI370"/>
  <c r="AJ370"/>
  <c r="AK370"/>
  <c r="C371"/>
  <c r="H371"/>
  <c r="I371"/>
  <c r="J371"/>
  <c r="K371"/>
  <c r="M371"/>
  <c r="P371"/>
  <c r="R371"/>
  <c r="S371"/>
  <c r="T371"/>
  <c r="U371"/>
  <c r="X371"/>
  <c r="Y371"/>
  <c r="Z371"/>
  <c r="AA371"/>
  <c r="AB371"/>
  <c r="AC371"/>
  <c r="AD371"/>
  <c r="AE371"/>
  <c r="AF371"/>
  <c r="AG371"/>
  <c r="AH371"/>
  <c r="AI371"/>
  <c r="AJ371"/>
  <c r="AK371"/>
  <c r="C352"/>
  <c r="H352"/>
  <c r="I352"/>
  <c r="J352"/>
  <c r="K352"/>
  <c r="M352"/>
  <c r="P352"/>
  <c r="R352"/>
  <c r="S352"/>
  <c r="T352"/>
  <c r="U352"/>
  <c r="X352"/>
  <c r="Y352"/>
  <c r="Z352"/>
  <c r="AA352"/>
  <c r="AB352"/>
  <c r="AC352"/>
  <c r="AD352"/>
  <c r="AE352"/>
  <c r="AF352"/>
  <c r="AG352"/>
  <c r="AH352"/>
  <c r="AI352"/>
  <c r="AJ352"/>
  <c r="AK352"/>
  <c r="C353"/>
  <c r="H353"/>
  <c r="I353"/>
  <c r="J353"/>
  <c r="K353"/>
  <c r="M353"/>
  <c r="P353"/>
  <c r="R353"/>
  <c r="S353"/>
  <c r="T353"/>
  <c r="U353"/>
  <c r="X353"/>
  <c r="Y353"/>
  <c r="Z353"/>
  <c r="AA353"/>
  <c r="AB353"/>
  <c r="AC353"/>
  <c r="AD353"/>
  <c r="AE353"/>
  <c r="AF353"/>
  <c r="AG353"/>
  <c r="AH353"/>
  <c r="AI353"/>
  <c r="AJ353"/>
  <c r="AK353"/>
  <c r="C354"/>
  <c r="H354"/>
  <c r="I354"/>
  <c r="J354"/>
  <c r="K354"/>
  <c r="M354"/>
  <c r="P354"/>
  <c r="R354"/>
  <c r="S354"/>
  <c r="T354"/>
  <c r="U354"/>
  <c r="X354"/>
  <c r="Y354"/>
  <c r="Z354"/>
  <c r="AA354"/>
  <c r="AB354"/>
  <c r="AC354"/>
  <c r="AD354"/>
  <c r="AE354"/>
  <c r="AF354"/>
  <c r="AG354"/>
  <c r="AH354"/>
  <c r="AI354"/>
  <c r="AJ354"/>
  <c r="AK354"/>
  <c r="C355"/>
  <c r="H355"/>
  <c r="I355"/>
  <c r="J355"/>
  <c r="K355"/>
  <c r="M355"/>
  <c r="P355"/>
  <c r="R355"/>
  <c r="S355"/>
  <c r="T355"/>
  <c r="U355"/>
  <c r="X355"/>
  <c r="Y355"/>
  <c r="Z355"/>
  <c r="AA355"/>
  <c r="AB355"/>
  <c r="AC355"/>
  <c r="AD355"/>
  <c r="AE355"/>
  <c r="AF355"/>
  <c r="AG355"/>
  <c r="AH355"/>
  <c r="AI355"/>
  <c r="AJ355"/>
  <c r="AK355"/>
  <c r="C356"/>
  <c r="H356"/>
  <c r="I356"/>
  <c r="J356"/>
  <c r="K356"/>
  <c r="M356"/>
  <c r="P356"/>
  <c r="R356"/>
  <c r="S356"/>
  <c r="T356"/>
  <c r="U356"/>
  <c r="X356"/>
  <c r="Y356"/>
  <c r="Z356"/>
  <c r="AA356"/>
  <c r="AB356"/>
  <c r="AC356"/>
  <c r="AD356"/>
  <c r="AE356"/>
  <c r="AF356"/>
  <c r="AG356"/>
  <c r="AH356"/>
  <c r="AI356"/>
  <c r="AJ356"/>
  <c r="AK356"/>
  <c r="C357"/>
  <c r="H357"/>
  <c r="I357"/>
  <c r="J357"/>
  <c r="K357"/>
  <c r="M357"/>
  <c r="P357"/>
  <c r="R357"/>
  <c r="S357"/>
  <c r="T357"/>
  <c r="U357"/>
  <c r="X357"/>
  <c r="Y357"/>
  <c r="Z357"/>
  <c r="AA357"/>
  <c r="AB357"/>
  <c r="AC357"/>
  <c r="AD357"/>
  <c r="AE357"/>
  <c r="AF357"/>
  <c r="AG357"/>
  <c r="AH357"/>
  <c r="AI357"/>
  <c r="AJ357"/>
  <c r="AK357"/>
  <c r="C358"/>
  <c r="H358"/>
  <c r="I358"/>
  <c r="J358"/>
  <c r="K358"/>
  <c r="M358"/>
  <c r="P358"/>
  <c r="R358"/>
  <c r="S358"/>
  <c r="T358"/>
  <c r="U358"/>
  <c r="X358"/>
  <c r="Y358"/>
  <c r="Z358"/>
  <c r="AA358"/>
  <c r="AB358"/>
  <c r="AC358"/>
  <c r="AD358"/>
  <c r="AE358"/>
  <c r="AF358"/>
  <c r="AG358"/>
  <c r="AH358"/>
  <c r="AI358"/>
  <c r="AJ358"/>
  <c r="AK358"/>
  <c r="C359"/>
  <c r="H359"/>
  <c r="I359"/>
  <c r="J359"/>
  <c r="K359"/>
  <c r="M359"/>
  <c r="P359"/>
  <c r="R359"/>
  <c r="S359"/>
  <c r="T359"/>
  <c r="U359"/>
  <c r="X359"/>
  <c r="Y359"/>
  <c r="Z359"/>
  <c r="AA359"/>
  <c r="AB359"/>
  <c r="AC359"/>
  <c r="AD359"/>
  <c r="AE359"/>
  <c r="AF359"/>
  <c r="AG359"/>
  <c r="AH359"/>
  <c r="AI359"/>
  <c r="AJ359"/>
  <c r="AK359"/>
  <c r="C360"/>
  <c r="H360"/>
  <c r="I360"/>
  <c r="J360"/>
  <c r="K360"/>
  <c r="M360"/>
  <c r="P360"/>
  <c r="R360"/>
  <c r="S360"/>
  <c r="T360"/>
  <c r="U360"/>
  <c r="X360"/>
  <c r="Y360"/>
  <c r="Z360"/>
  <c r="AA360"/>
  <c r="AB360"/>
  <c r="AC360"/>
  <c r="AD360"/>
  <c r="AE360"/>
  <c r="AF360"/>
  <c r="AG360"/>
  <c r="AH360"/>
  <c r="AI360"/>
  <c r="AJ360"/>
  <c r="AK360"/>
  <c r="C361"/>
  <c r="H361"/>
  <c r="I361"/>
  <c r="J361"/>
  <c r="K361"/>
  <c r="M361"/>
  <c r="P361"/>
  <c r="R361"/>
  <c r="S361"/>
  <c r="T361"/>
  <c r="U361"/>
  <c r="X361"/>
  <c r="Y361"/>
  <c r="Z361"/>
  <c r="AA361"/>
  <c r="AB361"/>
  <c r="AC361"/>
  <c r="AD361"/>
  <c r="AE361"/>
  <c r="AF361"/>
  <c r="AG361"/>
  <c r="AH361"/>
  <c r="AI361"/>
  <c r="AJ361"/>
  <c r="AK361"/>
  <c r="C342"/>
  <c r="H342"/>
  <c r="I342"/>
  <c r="J342"/>
  <c r="K342"/>
  <c r="M342"/>
  <c r="P342"/>
  <c r="R342"/>
  <c r="S342"/>
  <c r="T342"/>
  <c r="U342"/>
  <c r="X342"/>
  <c r="Y342"/>
  <c r="Z342"/>
  <c r="AA342"/>
  <c r="AB342"/>
  <c r="AC342"/>
  <c r="AD342"/>
  <c r="AE342"/>
  <c r="AF342"/>
  <c r="AG342"/>
  <c r="AH342"/>
  <c r="AI342"/>
  <c r="AJ342"/>
  <c r="AK342"/>
  <c r="C343"/>
  <c r="H343"/>
  <c r="I343"/>
  <c r="J343"/>
  <c r="K343"/>
  <c r="M343"/>
  <c r="P343"/>
  <c r="R343"/>
  <c r="S343"/>
  <c r="T343"/>
  <c r="U343"/>
  <c r="X343"/>
  <c r="Y343"/>
  <c r="Z343"/>
  <c r="AA343"/>
  <c r="AB343"/>
  <c r="AC343"/>
  <c r="AD343"/>
  <c r="AE343"/>
  <c r="AF343"/>
  <c r="AG343"/>
  <c r="AH343"/>
  <c r="AI343"/>
  <c r="AJ343"/>
  <c r="AK343"/>
  <c r="C344"/>
  <c r="H344"/>
  <c r="I344"/>
  <c r="J344"/>
  <c r="K344"/>
  <c r="M344"/>
  <c r="P344"/>
  <c r="R344"/>
  <c r="S344"/>
  <c r="T344"/>
  <c r="U344"/>
  <c r="X344"/>
  <c r="Y344"/>
  <c r="Z344"/>
  <c r="AA344"/>
  <c r="AB344"/>
  <c r="AC344"/>
  <c r="AD344"/>
  <c r="AE344"/>
  <c r="AF344"/>
  <c r="AG344"/>
  <c r="AH344"/>
  <c r="AI344"/>
  <c r="AJ344"/>
  <c r="AK344"/>
  <c r="C345"/>
  <c r="H345"/>
  <c r="I345"/>
  <c r="J345"/>
  <c r="K345"/>
  <c r="M345"/>
  <c r="P345"/>
  <c r="R345"/>
  <c r="S345"/>
  <c r="T345"/>
  <c r="U345"/>
  <c r="X345"/>
  <c r="Y345"/>
  <c r="Z345"/>
  <c r="AA345"/>
  <c r="AB345"/>
  <c r="AC345"/>
  <c r="AD345"/>
  <c r="AE345"/>
  <c r="AF345"/>
  <c r="AG345"/>
  <c r="AH345"/>
  <c r="AI345"/>
  <c r="AJ345"/>
  <c r="AK345"/>
  <c r="C346"/>
  <c r="H346"/>
  <c r="I346"/>
  <c r="J346"/>
  <c r="K346"/>
  <c r="M346"/>
  <c r="P346"/>
  <c r="R346"/>
  <c r="S346"/>
  <c r="T346"/>
  <c r="U346"/>
  <c r="X346"/>
  <c r="Y346"/>
  <c r="Z346"/>
  <c r="AA346"/>
  <c r="AB346"/>
  <c r="AC346"/>
  <c r="AD346"/>
  <c r="AE346"/>
  <c r="AF346"/>
  <c r="AG346"/>
  <c r="AH346"/>
  <c r="AI346"/>
  <c r="AJ346"/>
  <c r="AK346"/>
  <c r="C347"/>
  <c r="H347"/>
  <c r="I347"/>
  <c r="J347"/>
  <c r="K347"/>
  <c r="M347"/>
  <c r="P347"/>
  <c r="R347"/>
  <c r="S347"/>
  <c r="T347"/>
  <c r="U347"/>
  <c r="X347"/>
  <c r="Y347"/>
  <c r="Z347"/>
  <c r="AA347"/>
  <c r="AB347"/>
  <c r="AC347"/>
  <c r="AD347"/>
  <c r="AE347"/>
  <c r="AF347"/>
  <c r="AG347"/>
  <c r="AH347"/>
  <c r="AI347"/>
  <c r="AJ347"/>
  <c r="AK347"/>
  <c r="C348"/>
  <c r="H348"/>
  <c r="I348"/>
  <c r="J348"/>
  <c r="K348"/>
  <c r="M348"/>
  <c r="P348"/>
  <c r="R348"/>
  <c r="S348"/>
  <c r="T348"/>
  <c r="U348"/>
  <c r="X348"/>
  <c r="Y348"/>
  <c r="Z348"/>
  <c r="AA348"/>
  <c r="AB348"/>
  <c r="AC348"/>
  <c r="AD348"/>
  <c r="AE348"/>
  <c r="AF348"/>
  <c r="AG348"/>
  <c r="AH348"/>
  <c r="AI348"/>
  <c r="AJ348"/>
  <c r="AK348"/>
  <c r="C349"/>
  <c r="H349"/>
  <c r="I349"/>
  <c r="J349"/>
  <c r="K349"/>
  <c r="M349"/>
  <c r="P349"/>
  <c r="R349"/>
  <c r="S349"/>
  <c r="T349"/>
  <c r="U349"/>
  <c r="X349"/>
  <c r="Y349"/>
  <c r="Z349"/>
  <c r="AA349"/>
  <c r="AB349"/>
  <c r="AC349"/>
  <c r="AD349"/>
  <c r="AE349"/>
  <c r="AF349"/>
  <c r="AG349"/>
  <c r="AH349"/>
  <c r="AI349"/>
  <c r="AJ349"/>
  <c r="AK349"/>
  <c r="C350"/>
  <c r="H350"/>
  <c r="I350"/>
  <c r="J350"/>
  <c r="K350"/>
  <c r="M350"/>
  <c r="P350"/>
  <c r="R350"/>
  <c r="S350"/>
  <c r="T350"/>
  <c r="U350"/>
  <c r="X350"/>
  <c r="Y350"/>
  <c r="Z350"/>
  <c r="AA350"/>
  <c r="AB350"/>
  <c r="AC350"/>
  <c r="AD350"/>
  <c r="AE350"/>
  <c r="AF350"/>
  <c r="AG350"/>
  <c r="AH350"/>
  <c r="AI350"/>
  <c r="AJ350"/>
  <c r="AK350"/>
  <c r="C351"/>
  <c r="H351"/>
  <c r="I351"/>
  <c r="J351"/>
  <c r="K351"/>
  <c r="M351"/>
  <c r="P351"/>
  <c r="R351"/>
  <c r="S351"/>
  <c r="T351"/>
  <c r="U351"/>
  <c r="X351"/>
  <c r="Y351"/>
  <c r="Z351"/>
  <c r="AA351"/>
  <c r="AB351"/>
  <c r="AC351"/>
  <c r="AD351"/>
  <c r="AE351"/>
  <c r="AF351"/>
  <c r="AG351"/>
  <c r="AH351"/>
  <c r="AI351"/>
  <c r="AJ351"/>
  <c r="AK351"/>
  <c r="C332"/>
  <c r="H332"/>
  <c r="I332"/>
  <c r="J332"/>
  <c r="K332"/>
  <c r="M332"/>
  <c r="P332"/>
  <c r="R332"/>
  <c r="S332"/>
  <c r="T332"/>
  <c r="U332"/>
  <c r="X332"/>
  <c r="Y332"/>
  <c r="Z332"/>
  <c r="AA332"/>
  <c r="AB332"/>
  <c r="AC332"/>
  <c r="AD332"/>
  <c r="AE332"/>
  <c r="AF332"/>
  <c r="AG332"/>
  <c r="AH332"/>
  <c r="AI332"/>
  <c r="AJ332"/>
  <c r="AK332"/>
  <c r="C333"/>
  <c r="H333"/>
  <c r="I333"/>
  <c r="J333"/>
  <c r="K333"/>
  <c r="M333"/>
  <c r="P333"/>
  <c r="R333"/>
  <c r="S333"/>
  <c r="T333"/>
  <c r="U333"/>
  <c r="X333"/>
  <c r="Y333"/>
  <c r="Z333"/>
  <c r="AA333"/>
  <c r="AB333"/>
  <c r="AC333"/>
  <c r="AD333"/>
  <c r="AE333"/>
  <c r="AF333"/>
  <c r="AG333"/>
  <c r="AH333"/>
  <c r="AI333"/>
  <c r="AJ333"/>
  <c r="AK333"/>
  <c r="C334"/>
  <c r="H334"/>
  <c r="I334"/>
  <c r="J334"/>
  <c r="K334"/>
  <c r="M334"/>
  <c r="P334"/>
  <c r="R334"/>
  <c r="S334"/>
  <c r="T334"/>
  <c r="U334"/>
  <c r="X334"/>
  <c r="Y334"/>
  <c r="Z334"/>
  <c r="AA334"/>
  <c r="AB334"/>
  <c r="AC334"/>
  <c r="AD334"/>
  <c r="AE334"/>
  <c r="AF334"/>
  <c r="AG334"/>
  <c r="AH334"/>
  <c r="AI334"/>
  <c r="AJ334"/>
  <c r="AK334"/>
  <c r="C335"/>
  <c r="H335"/>
  <c r="I335"/>
  <c r="J335"/>
  <c r="K335"/>
  <c r="M335"/>
  <c r="P335"/>
  <c r="R335"/>
  <c r="S335"/>
  <c r="T335"/>
  <c r="U335"/>
  <c r="X335"/>
  <c r="Y335"/>
  <c r="Z335"/>
  <c r="AA335"/>
  <c r="AB335"/>
  <c r="AC335"/>
  <c r="AD335"/>
  <c r="AE335"/>
  <c r="AF335"/>
  <c r="AG335"/>
  <c r="AH335"/>
  <c r="AI335"/>
  <c r="AJ335"/>
  <c r="AK335"/>
  <c r="C336"/>
  <c r="H336"/>
  <c r="I336"/>
  <c r="J336"/>
  <c r="K336"/>
  <c r="M336"/>
  <c r="P336"/>
  <c r="R336"/>
  <c r="S336"/>
  <c r="T336"/>
  <c r="U336"/>
  <c r="X336"/>
  <c r="Y336"/>
  <c r="Z336"/>
  <c r="AA336"/>
  <c r="AB336"/>
  <c r="AC336"/>
  <c r="AD336"/>
  <c r="AE336"/>
  <c r="AF336"/>
  <c r="AG336"/>
  <c r="AH336"/>
  <c r="AI336"/>
  <c r="AJ336"/>
  <c r="AK336"/>
  <c r="C337"/>
  <c r="H337"/>
  <c r="I337"/>
  <c r="J337"/>
  <c r="K337"/>
  <c r="M337"/>
  <c r="P337"/>
  <c r="R337"/>
  <c r="S337"/>
  <c r="T337"/>
  <c r="U337"/>
  <c r="X337"/>
  <c r="Y337"/>
  <c r="Z337"/>
  <c r="AA337"/>
  <c r="AB337"/>
  <c r="AC337"/>
  <c r="AD337"/>
  <c r="AE337"/>
  <c r="AF337"/>
  <c r="AG337"/>
  <c r="AH337"/>
  <c r="AI337"/>
  <c r="AJ337"/>
  <c r="AK337"/>
  <c r="C338"/>
  <c r="H338"/>
  <c r="I338"/>
  <c r="J338"/>
  <c r="K338"/>
  <c r="M338"/>
  <c r="P338"/>
  <c r="R338"/>
  <c r="S338"/>
  <c r="T338"/>
  <c r="U338"/>
  <c r="X338"/>
  <c r="Y338"/>
  <c r="Z338"/>
  <c r="AA338"/>
  <c r="AB338"/>
  <c r="AC338"/>
  <c r="AD338"/>
  <c r="AE338"/>
  <c r="AF338"/>
  <c r="AG338"/>
  <c r="AH338"/>
  <c r="AI338"/>
  <c r="AJ338"/>
  <c r="AK338"/>
  <c r="C339"/>
  <c r="H339"/>
  <c r="I339"/>
  <c r="J339"/>
  <c r="K339"/>
  <c r="M339"/>
  <c r="P339"/>
  <c r="R339"/>
  <c r="S339"/>
  <c r="T339"/>
  <c r="U339"/>
  <c r="X339"/>
  <c r="Y339"/>
  <c r="Z339"/>
  <c r="AA339"/>
  <c r="AB339"/>
  <c r="AC339"/>
  <c r="AD339"/>
  <c r="AE339"/>
  <c r="AF339"/>
  <c r="AG339"/>
  <c r="AH339"/>
  <c r="AI339"/>
  <c r="AJ339"/>
  <c r="AK339"/>
  <c r="C340"/>
  <c r="H340"/>
  <c r="I340"/>
  <c r="J340"/>
  <c r="K340"/>
  <c r="M340"/>
  <c r="P340"/>
  <c r="R340"/>
  <c r="S340"/>
  <c r="T340"/>
  <c r="U340"/>
  <c r="X340"/>
  <c r="Y340"/>
  <c r="Z340"/>
  <c r="AA340"/>
  <c r="AB340"/>
  <c r="AC340"/>
  <c r="AD340"/>
  <c r="AE340"/>
  <c r="AF340"/>
  <c r="AG340"/>
  <c r="AH340"/>
  <c r="AI340"/>
  <c r="AJ340"/>
  <c r="AK340"/>
  <c r="C341"/>
  <c r="H341"/>
  <c r="I341"/>
  <c r="J341"/>
  <c r="K341"/>
  <c r="M341"/>
  <c r="P341"/>
  <c r="R341"/>
  <c r="S341"/>
  <c r="T341"/>
  <c r="U341"/>
  <c r="X341"/>
  <c r="Y341"/>
  <c r="Z341"/>
  <c r="AA341"/>
  <c r="AB341"/>
  <c r="AC341"/>
  <c r="AD341"/>
  <c r="AE341"/>
  <c r="AF341"/>
  <c r="AG341"/>
  <c r="AH341"/>
  <c r="AI341"/>
  <c r="AJ341"/>
  <c r="AK341"/>
  <c r="C322"/>
  <c r="H322"/>
  <c r="I322"/>
  <c r="J322"/>
  <c r="K322"/>
  <c r="M322"/>
  <c r="P322"/>
  <c r="R322"/>
  <c r="S322"/>
  <c r="T322"/>
  <c r="U322"/>
  <c r="X322"/>
  <c r="Y322"/>
  <c r="Z322"/>
  <c r="AA322"/>
  <c r="AB322"/>
  <c r="AC322"/>
  <c r="AD322"/>
  <c r="AE322"/>
  <c r="AF322"/>
  <c r="AG322"/>
  <c r="AH322"/>
  <c r="AI322"/>
  <c r="AJ322"/>
  <c r="AK322"/>
  <c r="C323"/>
  <c r="H323"/>
  <c r="I323"/>
  <c r="J323"/>
  <c r="K323"/>
  <c r="M323"/>
  <c r="P323"/>
  <c r="R323"/>
  <c r="S323"/>
  <c r="T323"/>
  <c r="U323"/>
  <c r="X323"/>
  <c r="Y323"/>
  <c r="Z323"/>
  <c r="AA323"/>
  <c r="AB323"/>
  <c r="AC323"/>
  <c r="AD323"/>
  <c r="AE323"/>
  <c r="AF323"/>
  <c r="AG323"/>
  <c r="AH323"/>
  <c r="AI323"/>
  <c r="AJ323"/>
  <c r="AK323"/>
  <c r="C324"/>
  <c r="H324"/>
  <c r="I324"/>
  <c r="J324"/>
  <c r="K324"/>
  <c r="M324"/>
  <c r="P324"/>
  <c r="R324"/>
  <c r="S324"/>
  <c r="T324"/>
  <c r="U324"/>
  <c r="X324"/>
  <c r="Y324"/>
  <c r="Z324"/>
  <c r="AA324"/>
  <c r="AB324"/>
  <c r="AC324"/>
  <c r="AD324"/>
  <c r="AE324"/>
  <c r="AF324"/>
  <c r="AG324"/>
  <c r="AH324"/>
  <c r="AI324"/>
  <c r="AJ324"/>
  <c r="AK324"/>
  <c r="C325"/>
  <c r="H325"/>
  <c r="I325"/>
  <c r="J325"/>
  <c r="K325"/>
  <c r="M325"/>
  <c r="P325"/>
  <c r="R325"/>
  <c r="S325"/>
  <c r="T325"/>
  <c r="U325"/>
  <c r="X325"/>
  <c r="Y325"/>
  <c r="Z325"/>
  <c r="AA325"/>
  <c r="AB325"/>
  <c r="AC325"/>
  <c r="AD325"/>
  <c r="AE325"/>
  <c r="AF325"/>
  <c r="AG325"/>
  <c r="AH325"/>
  <c r="AI325"/>
  <c r="AJ325"/>
  <c r="AK325"/>
  <c r="C326"/>
  <c r="H326"/>
  <c r="I326"/>
  <c r="J326"/>
  <c r="K326"/>
  <c r="M326"/>
  <c r="P326"/>
  <c r="R326"/>
  <c r="S326"/>
  <c r="T326"/>
  <c r="U326"/>
  <c r="X326"/>
  <c r="Y326"/>
  <c r="Z326"/>
  <c r="AA326"/>
  <c r="AB326"/>
  <c r="AC326"/>
  <c r="AD326"/>
  <c r="AE326"/>
  <c r="AF326"/>
  <c r="AG326"/>
  <c r="AH326"/>
  <c r="AI326"/>
  <c r="AJ326"/>
  <c r="AK326"/>
  <c r="C327"/>
  <c r="H327"/>
  <c r="I327"/>
  <c r="J327"/>
  <c r="K327"/>
  <c r="M327"/>
  <c r="P327"/>
  <c r="R327"/>
  <c r="S327"/>
  <c r="T327"/>
  <c r="U327"/>
  <c r="X327"/>
  <c r="Y327"/>
  <c r="Z327"/>
  <c r="AA327"/>
  <c r="AB327"/>
  <c r="AC327"/>
  <c r="AD327"/>
  <c r="AE327"/>
  <c r="AF327"/>
  <c r="AG327"/>
  <c r="AH327"/>
  <c r="AI327"/>
  <c r="AJ327"/>
  <c r="AK327"/>
  <c r="C328"/>
  <c r="H328"/>
  <c r="I328"/>
  <c r="J328"/>
  <c r="K328"/>
  <c r="M328"/>
  <c r="P328"/>
  <c r="R328"/>
  <c r="S328"/>
  <c r="T328"/>
  <c r="U328"/>
  <c r="X328"/>
  <c r="Y328"/>
  <c r="Z328"/>
  <c r="AA328"/>
  <c r="AB328"/>
  <c r="AC328"/>
  <c r="AD328"/>
  <c r="AE328"/>
  <c r="AF328"/>
  <c r="AG328"/>
  <c r="AH328"/>
  <c r="AI328"/>
  <c r="AJ328"/>
  <c r="AK328"/>
  <c r="C329"/>
  <c r="H329"/>
  <c r="I329"/>
  <c r="J329"/>
  <c r="K329"/>
  <c r="M329"/>
  <c r="P329"/>
  <c r="R329"/>
  <c r="S329"/>
  <c r="T329"/>
  <c r="U329"/>
  <c r="X329"/>
  <c r="Y329"/>
  <c r="Z329"/>
  <c r="AA329"/>
  <c r="AB329"/>
  <c r="AC329"/>
  <c r="AD329"/>
  <c r="AE329"/>
  <c r="AF329"/>
  <c r="AG329"/>
  <c r="AH329"/>
  <c r="AI329"/>
  <c r="AJ329"/>
  <c r="AK329"/>
  <c r="C330"/>
  <c r="H330"/>
  <c r="I330"/>
  <c r="J330"/>
  <c r="K330"/>
  <c r="M330"/>
  <c r="P330"/>
  <c r="R330"/>
  <c r="S330"/>
  <c r="T330"/>
  <c r="U330"/>
  <c r="X330"/>
  <c r="Y330"/>
  <c r="Z330"/>
  <c r="AA330"/>
  <c r="AB330"/>
  <c r="AC330"/>
  <c r="AD330"/>
  <c r="AE330"/>
  <c r="AF330"/>
  <c r="AG330"/>
  <c r="AH330"/>
  <c r="AI330"/>
  <c r="AJ330"/>
  <c r="AK330"/>
  <c r="C331"/>
  <c r="H331"/>
  <c r="I331"/>
  <c r="J331"/>
  <c r="K331"/>
  <c r="M331"/>
  <c r="P331"/>
  <c r="R331"/>
  <c r="S331"/>
  <c r="T331"/>
  <c r="U331"/>
  <c r="X331"/>
  <c r="Y331"/>
  <c r="Z331"/>
  <c r="AA331"/>
  <c r="AB331"/>
  <c r="AC331"/>
  <c r="AD331"/>
  <c r="AE331"/>
  <c r="AF331"/>
  <c r="AG331"/>
  <c r="AH331"/>
  <c r="AI331"/>
  <c r="AJ331"/>
  <c r="AK331"/>
  <c r="C312"/>
  <c r="H312"/>
  <c r="I312"/>
  <c r="J312"/>
  <c r="K312"/>
  <c r="M312"/>
  <c r="P312"/>
  <c r="R312"/>
  <c r="S312"/>
  <c r="T312"/>
  <c r="U312"/>
  <c r="X312"/>
  <c r="Y312"/>
  <c r="Z312"/>
  <c r="AA312"/>
  <c r="AB312"/>
  <c r="AC312"/>
  <c r="AD312"/>
  <c r="AE312"/>
  <c r="AF312"/>
  <c r="AG312"/>
  <c r="AH312"/>
  <c r="AI312"/>
  <c r="AJ312"/>
  <c r="AK312"/>
  <c r="C313"/>
  <c r="H313"/>
  <c r="I313"/>
  <c r="J313"/>
  <c r="K313"/>
  <c r="M313"/>
  <c r="P313"/>
  <c r="R313"/>
  <c r="S313"/>
  <c r="T313"/>
  <c r="U313"/>
  <c r="X313"/>
  <c r="Y313"/>
  <c r="Z313"/>
  <c r="AA313"/>
  <c r="AB313"/>
  <c r="AC313"/>
  <c r="AD313"/>
  <c r="AE313"/>
  <c r="AF313"/>
  <c r="AG313"/>
  <c r="AH313"/>
  <c r="AI313"/>
  <c r="AJ313"/>
  <c r="AK313"/>
  <c r="C314"/>
  <c r="H314"/>
  <c r="I314"/>
  <c r="J314"/>
  <c r="K314"/>
  <c r="M314"/>
  <c r="P314"/>
  <c r="R314"/>
  <c r="S314"/>
  <c r="T314"/>
  <c r="U314"/>
  <c r="X314"/>
  <c r="Y314"/>
  <c r="Z314"/>
  <c r="AA314"/>
  <c r="AB314"/>
  <c r="AC314"/>
  <c r="AD314"/>
  <c r="AE314"/>
  <c r="AF314"/>
  <c r="AG314"/>
  <c r="AH314"/>
  <c r="AI314"/>
  <c r="AJ314"/>
  <c r="AK314"/>
  <c r="C315"/>
  <c r="H315"/>
  <c r="I315"/>
  <c r="J315"/>
  <c r="K315"/>
  <c r="M315"/>
  <c r="P315"/>
  <c r="R315"/>
  <c r="S315"/>
  <c r="T315"/>
  <c r="U315"/>
  <c r="X315"/>
  <c r="Y315"/>
  <c r="Z315"/>
  <c r="AA315"/>
  <c r="AB315"/>
  <c r="AC315"/>
  <c r="AD315"/>
  <c r="AE315"/>
  <c r="AF315"/>
  <c r="AG315"/>
  <c r="AH315"/>
  <c r="AI315"/>
  <c r="AJ315"/>
  <c r="AK315"/>
  <c r="C316"/>
  <c r="H316"/>
  <c r="I316"/>
  <c r="J316"/>
  <c r="K316"/>
  <c r="M316"/>
  <c r="P316"/>
  <c r="R316"/>
  <c r="S316"/>
  <c r="T316"/>
  <c r="U316"/>
  <c r="X316"/>
  <c r="Y316"/>
  <c r="Z316"/>
  <c r="AA316"/>
  <c r="AB316"/>
  <c r="AC316"/>
  <c r="AD316"/>
  <c r="AE316"/>
  <c r="AF316"/>
  <c r="AG316"/>
  <c r="AH316"/>
  <c r="AI316"/>
  <c r="AJ316"/>
  <c r="AK316"/>
  <c r="C317"/>
  <c r="H317"/>
  <c r="I317"/>
  <c r="J317"/>
  <c r="K317"/>
  <c r="M317"/>
  <c r="P317"/>
  <c r="R317"/>
  <c r="S317"/>
  <c r="T317"/>
  <c r="U317"/>
  <c r="X317"/>
  <c r="Y317"/>
  <c r="Z317"/>
  <c r="AA317"/>
  <c r="AB317"/>
  <c r="AC317"/>
  <c r="AD317"/>
  <c r="AE317"/>
  <c r="AF317"/>
  <c r="AG317"/>
  <c r="AH317"/>
  <c r="AI317"/>
  <c r="AJ317"/>
  <c r="AK317"/>
  <c r="C318"/>
  <c r="H318"/>
  <c r="I318"/>
  <c r="J318"/>
  <c r="K318"/>
  <c r="M318"/>
  <c r="P318"/>
  <c r="R318"/>
  <c r="S318"/>
  <c r="T318"/>
  <c r="U318"/>
  <c r="X318"/>
  <c r="Y318"/>
  <c r="Z318"/>
  <c r="AA318"/>
  <c r="AB318"/>
  <c r="AC318"/>
  <c r="AD318"/>
  <c r="AE318"/>
  <c r="AF318"/>
  <c r="AG318"/>
  <c r="AH318"/>
  <c r="AI318"/>
  <c r="AJ318"/>
  <c r="AK318"/>
  <c r="C319"/>
  <c r="H319"/>
  <c r="I319"/>
  <c r="J319"/>
  <c r="K319"/>
  <c r="M319"/>
  <c r="P319"/>
  <c r="R319"/>
  <c r="S319"/>
  <c r="T319"/>
  <c r="U319"/>
  <c r="X319"/>
  <c r="Y319"/>
  <c r="Z319"/>
  <c r="AA319"/>
  <c r="AB319"/>
  <c r="AC319"/>
  <c r="AD319"/>
  <c r="AE319"/>
  <c r="AF319"/>
  <c r="AG319"/>
  <c r="AH319"/>
  <c r="AI319"/>
  <c r="AJ319"/>
  <c r="AK319"/>
  <c r="C320"/>
  <c r="H320"/>
  <c r="I320"/>
  <c r="J320"/>
  <c r="K320"/>
  <c r="M320"/>
  <c r="P320"/>
  <c r="R320"/>
  <c r="S320"/>
  <c r="T320"/>
  <c r="U320"/>
  <c r="X320"/>
  <c r="Y320"/>
  <c r="Z320"/>
  <c r="AA320"/>
  <c r="AB320"/>
  <c r="AC320"/>
  <c r="AD320"/>
  <c r="AE320"/>
  <c r="AF320"/>
  <c r="AG320"/>
  <c r="AH320"/>
  <c r="AI320"/>
  <c r="AJ320"/>
  <c r="AK320"/>
  <c r="C321"/>
  <c r="H321"/>
  <c r="I321"/>
  <c r="J321"/>
  <c r="K321"/>
  <c r="M321"/>
  <c r="P321"/>
  <c r="R321"/>
  <c r="S321"/>
  <c r="T321"/>
  <c r="U321"/>
  <c r="X321"/>
  <c r="Y321"/>
  <c r="Z321"/>
  <c r="AA321"/>
  <c r="AB321"/>
  <c r="AC321"/>
  <c r="AD321"/>
  <c r="AE321"/>
  <c r="AF321"/>
  <c r="AG321"/>
  <c r="AH321"/>
  <c r="AI321"/>
  <c r="AJ321"/>
  <c r="AK321"/>
  <c r="C302"/>
  <c r="H302"/>
  <c r="I302"/>
  <c r="J302"/>
  <c r="K302"/>
  <c r="M302"/>
  <c r="P302"/>
  <c r="R302"/>
  <c r="S302"/>
  <c r="T302"/>
  <c r="U302"/>
  <c r="X302"/>
  <c r="Y302"/>
  <c r="Z302"/>
  <c r="AA302"/>
  <c r="AB302"/>
  <c r="AC302"/>
  <c r="AD302"/>
  <c r="AE302"/>
  <c r="AF302"/>
  <c r="AG302"/>
  <c r="AH302"/>
  <c r="AI302"/>
  <c r="AJ302"/>
  <c r="AK302"/>
  <c r="C303"/>
  <c r="H303"/>
  <c r="I303"/>
  <c r="J303"/>
  <c r="K303"/>
  <c r="M303"/>
  <c r="P303"/>
  <c r="R303"/>
  <c r="S303"/>
  <c r="T303"/>
  <c r="U303"/>
  <c r="X303"/>
  <c r="Y303"/>
  <c r="Z303"/>
  <c r="AA303"/>
  <c r="AB303"/>
  <c r="AC303"/>
  <c r="AD303"/>
  <c r="AE303"/>
  <c r="AF303"/>
  <c r="AG303"/>
  <c r="AH303"/>
  <c r="AI303"/>
  <c r="AJ303"/>
  <c r="AK303"/>
  <c r="C304"/>
  <c r="H304"/>
  <c r="I304"/>
  <c r="J304"/>
  <c r="K304"/>
  <c r="M304"/>
  <c r="P304"/>
  <c r="R304"/>
  <c r="S304"/>
  <c r="T304"/>
  <c r="U304"/>
  <c r="X304"/>
  <c r="Y304"/>
  <c r="Z304"/>
  <c r="AA304"/>
  <c r="AB304"/>
  <c r="AC304"/>
  <c r="AD304"/>
  <c r="AE304"/>
  <c r="AF304"/>
  <c r="AG304"/>
  <c r="AH304"/>
  <c r="AI304"/>
  <c r="AJ304"/>
  <c r="AK304"/>
  <c r="C305"/>
  <c r="H305"/>
  <c r="I305"/>
  <c r="J305"/>
  <c r="K305"/>
  <c r="M305"/>
  <c r="P305"/>
  <c r="R305"/>
  <c r="S305"/>
  <c r="T305"/>
  <c r="U305"/>
  <c r="X305"/>
  <c r="Y305"/>
  <c r="Z305"/>
  <c r="AA305"/>
  <c r="AB305"/>
  <c r="AC305"/>
  <c r="AD305"/>
  <c r="AE305"/>
  <c r="AF305"/>
  <c r="AG305"/>
  <c r="AH305"/>
  <c r="AI305"/>
  <c r="AJ305"/>
  <c r="AK305"/>
  <c r="C306"/>
  <c r="H306"/>
  <c r="I306"/>
  <c r="J306"/>
  <c r="K306"/>
  <c r="M306"/>
  <c r="P306"/>
  <c r="R306"/>
  <c r="S306"/>
  <c r="T306"/>
  <c r="U306"/>
  <c r="X306"/>
  <c r="Y306"/>
  <c r="Z306"/>
  <c r="AA306"/>
  <c r="AB306"/>
  <c r="AC306"/>
  <c r="AD306"/>
  <c r="AE306"/>
  <c r="AF306"/>
  <c r="AG306"/>
  <c r="AH306"/>
  <c r="AI306"/>
  <c r="AJ306"/>
  <c r="AK306"/>
  <c r="C307"/>
  <c r="H307"/>
  <c r="I307"/>
  <c r="J307"/>
  <c r="K307"/>
  <c r="M307"/>
  <c r="P307"/>
  <c r="R307"/>
  <c r="S307"/>
  <c r="T307"/>
  <c r="U307"/>
  <c r="X307"/>
  <c r="Y307"/>
  <c r="Z307"/>
  <c r="AA307"/>
  <c r="AB307"/>
  <c r="AC307"/>
  <c r="AD307"/>
  <c r="AE307"/>
  <c r="AF307"/>
  <c r="AG307"/>
  <c r="AH307"/>
  <c r="AI307"/>
  <c r="AJ307"/>
  <c r="AK307"/>
  <c r="C308"/>
  <c r="H308"/>
  <c r="I308"/>
  <c r="J308"/>
  <c r="K308"/>
  <c r="M308"/>
  <c r="P308"/>
  <c r="R308"/>
  <c r="S308"/>
  <c r="T308"/>
  <c r="U308"/>
  <c r="X308"/>
  <c r="Y308"/>
  <c r="Z308"/>
  <c r="AA308"/>
  <c r="AB308"/>
  <c r="AC308"/>
  <c r="AD308"/>
  <c r="AE308"/>
  <c r="AF308"/>
  <c r="AG308"/>
  <c r="AH308"/>
  <c r="AI308"/>
  <c r="AJ308"/>
  <c r="AK308"/>
  <c r="C309"/>
  <c r="H309"/>
  <c r="I309"/>
  <c r="J309"/>
  <c r="K309"/>
  <c r="M309"/>
  <c r="P309"/>
  <c r="R309"/>
  <c r="S309"/>
  <c r="T309"/>
  <c r="U309"/>
  <c r="X309"/>
  <c r="Y309"/>
  <c r="Z309"/>
  <c r="AA309"/>
  <c r="AB309"/>
  <c r="AC309"/>
  <c r="AD309"/>
  <c r="AE309"/>
  <c r="AF309"/>
  <c r="AG309"/>
  <c r="AH309"/>
  <c r="AI309"/>
  <c r="AJ309"/>
  <c r="AK309"/>
  <c r="C310"/>
  <c r="H310"/>
  <c r="I310"/>
  <c r="J310"/>
  <c r="K310"/>
  <c r="M310"/>
  <c r="P310"/>
  <c r="R310"/>
  <c r="S310"/>
  <c r="T310"/>
  <c r="U310"/>
  <c r="X310"/>
  <c r="Y310"/>
  <c r="Z310"/>
  <c r="AA310"/>
  <c r="AB310"/>
  <c r="AC310"/>
  <c r="AD310"/>
  <c r="AE310"/>
  <c r="AF310"/>
  <c r="AG310"/>
  <c r="AH310"/>
  <c r="AI310"/>
  <c r="AJ310"/>
  <c r="AK310"/>
  <c r="C311"/>
  <c r="H311"/>
  <c r="I311"/>
  <c r="J311"/>
  <c r="K311"/>
  <c r="M311"/>
  <c r="P311"/>
  <c r="R311"/>
  <c r="S311"/>
  <c r="T311"/>
  <c r="U311"/>
  <c r="X311"/>
  <c r="Y311"/>
  <c r="Z311"/>
  <c r="AA311"/>
  <c r="AB311"/>
  <c r="AC311"/>
  <c r="AD311"/>
  <c r="AE311"/>
  <c r="AF311"/>
  <c r="AG311"/>
  <c r="AH311"/>
  <c r="AI311"/>
  <c r="AJ311"/>
  <c r="AK311"/>
  <c r="C292"/>
  <c r="H292"/>
  <c r="I292"/>
  <c r="J292"/>
  <c r="K292"/>
  <c r="M292"/>
  <c r="P292"/>
  <c r="R292"/>
  <c r="S292"/>
  <c r="T292"/>
  <c r="U292"/>
  <c r="X292"/>
  <c r="Y292"/>
  <c r="Z292"/>
  <c r="AA292"/>
  <c r="AB292"/>
  <c r="AC292"/>
  <c r="AD292"/>
  <c r="AE292"/>
  <c r="AF292"/>
  <c r="AG292"/>
  <c r="AH292"/>
  <c r="AI292"/>
  <c r="AJ292"/>
  <c r="AK292"/>
  <c r="C293"/>
  <c r="H293"/>
  <c r="I293"/>
  <c r="J293"/>
  <c r="K293"/>
  <c r="M293"/>
  <c r="P293"/>
  <c r="R293"/>
  <c r="S293"/>
  <c r="T293"/>
  <c r="U293"/>
  <c r="X293"/>
  <c r="Y293"/>
  <c r="Z293"/>
  <c r="AA293"/>
  <c r="AB293"/>
  <c r="AC293"/>
  <c r="AD293"/>
  <c r="AE293"/>
  <c r="AF293"/>
  <c r="AG293"/>
  <c r="AH293"/>
  <c r="AI293"/>
  <c r="AJ293"/>
  <c r="AK293"/>
  <c r="C294"/>
  <c r="H294"/>
  <c r="I294"/>
  <c r="J294"/>
  <c r="K294"/>
  <c r="M294"/>
  <c r="P294"/>
  <c r="R294"/>
  <c r="S294"/>
  <c r="T294"/>
  <c r="U294"/>
  <c r="X294"/>
  <c r="Y294"/>
  <c r="Z294"/>
  <c r="AA294"/>
  <c r="AB294"/>
  <c r="AC294"/>
  <c r="AD294"/>
  <c r="AE294"/>
  <c r="AF294"/>
  <c r="AG294"/>
  <c r="AH294"/>
  <c r="AI294"/>
  <c r="AJ294"/>
  <c r="AK294"/>
  <c r="C295"/>
  <c r="H295"/>
  <c r="I295"/>
  <c r="J295"/>
  <c r="K295"/>
  <c r="M295"/>
  <c r="P295"/>
  <c r="R295"/>
  <c r="S295"/>
  <c r="T295"/>
  <c r="U295"/>
  <c r="X295"/>
  <c r="Y295"/>
  <c r="Z295"/>
  <c r="AA295"/>
  <c r="AB295"/>
  <c r="AC295"/>
  <c r="AD295"/>
  <c r="AE295"/>
  <c r="AF295"/>
  <c r="AG295"/>
  <c r="AH295"/>
  <c r="AI295"/>
  <c r="AJ295"/>
  <c r="AK295"/>
  <c r="C296"/>
  <c r="H296"/>
  <c r="I296"/>
  <c r="J296"/>
  <c r="K296"/>
  <c r="M296"/>
  <c r="P296"/>
  <c r="R296"/>
  <c r="S296"/>
  <c r="T296"/>
  <c r="U296"/>
  <c r="X296"/>
  <c r="Y296"/>
  <c r="Z296"/>
  <c r="AA296"/>
  <c r="AB296"/>
  <c r="AC296"/>
  <c r="AD296"/>
  <c r="AE296"/>
  <c r="AF296"/>
  <c r="AG296"/>
  <c r="AH296"/>
  <c r="AI296"/>
  <c r="AJ296"/>
  <c r="AK296"/>
  <c r="C297"/>
  <c r="H297"/>
  <c r="I297"/>
  <c r="J297"/>
  <c r="K297"/>
  <c r="M297"/>
  <c r="P297"/>
  <c r="R297"/>
  <c r="S297"/>
  <c r="T297"/>
  <c r="U297"/>
  <c r="X297"/>
  <c r="Y297"/>
  <c r="Z297"/>
  <c r="AA297"/>
  <c r="AB297"/>
  <c r="AC297"/>
  <c r="AD297"/>
  <c r="AE297"/>
  <c r="AF297"/>
  <c r="AG297"/>
  <c r="AH297"/>
  <c r="AI297"/>
  <c r="AJ297"/>
  <c r="AK297"/>
  <c r="C298"/>
  <c r="H298"/>
  <c r="I298"/>
  <c r="J298"/>
  <c r="K298"/>
  <c r="M298"/>
  <c r="P298"/>
  <c r="R298"/>
  <c r="S298"/>
  <c r="T298"/>
  <c r="U298"/>
  <c r="X298"/>
  <c r="Y298"/>
  <c r="Z298"/>
  <c r="AA298"/>
  <c r="AB298"/>
  <c r="AC298"/>
  <c r="AD298"/>
  <c r="AE298"/>
  <c r="AF298"/>
  <c r="AG298"/>
  <c r="AH298"/>
  <c r="AI298"/>
  <c r="AJ298"/>
  <c r="AK298"/>
  <c r="C299"/>
  <c r="H299"/>
  <c r="I299"/>
  <c r="J299"/>
  <c r="K299"/>
  <c r="M299"/>
  <c r="P299"/>
  <c r="R299"/>
  <c r="S299"/>
  <c r="T299"/>
  <c r="U299"/>
  <c r="X299"/>
  <c r="Y299"/>
  <c r="Z299"/>
  <c r="AA299"/>
  <c r="AB299"/>
  <c r="AC299"/>
  <c r="AD299"/>
  <c r="AE299"/>
  <c r="AF299"/>
  <c r="AG299"/>
  <c r="AH299"/>
  <c r="AI299"/>
  <c r="AJ299"/>
  <c r="AK299"/>
  <c r="C300"/>
  <c r="H300"/>
  <c r="I300"/>
  <c r="J300"/>
  <c r="K300"/>
  <c r="M300"/>
  <c r="P300"/>
  <c r="R300"/>
  <c r="S300"/>
  <c r="T300"/>
  <c r="U300"/>
  <c r="X300"/>
  <c r="Y300"/>
  <c r="Z300"/>
  <c r="AA300"/>
  <c r="AB300"/>
  <c r="AC300"/>
  <c r="AD300"/>
  <c r="AE300"/>
  <c r="AF300"/>
  <c r="AG300"/>
  <c r="AH300"/>
  <c r="AI300"/>
  <c r="AJ300"/>
  <c r="AK300"/>
  <c r="C301"/>
  <c r="H301"/>
  <c r="I301"/>
  <c r="J301"/>
  <c r="K301"/>
  <c r="M301"/>
  <c r="P301"/>
  <c r="R301"/>
  <c r="S301"/>
  <c r="T301"/>
  <c r="U301"/>
  <c r="X301"/>
  <c r="Y301"/>
  <c r="Z301"/>
  <c r="AA301"/>
  <c r="AB301"/>
  <c r="AC301"/>
  <c r="AD301"/>
  <c r="AE301"/>
  <c r="AF301"/>
  <c r="AG301"/>
  <c r="AH301"/>
  <c r="AI301"/>
  <c r="AJ301"/>
  <c r="AK301"/>
  <c r="C282"/>
  <c r="H282"/>
  <c r="I282"/>
  <c r="J282"/>
  <c r="K282"/>
  <c r="M282"/>
  <c r="P282"/>
  <c r="R282"/>
  <c r="S282"/>
  <c r="T282"/>
  <c r="U282"/>
  <c r="X282"/>
  <c r="Y282"/>
  <c r="Z282"/>
  <c r="AA282"/>
  <c r="AB282"/>
  <c r="AC282"/>
  <c r="AD282"/>
  <c r="AE282"/>
  <c r="AF282"/>
  <c r="AG282"/>
  <c r="AH282"/>
  <c r="AI282"/>
  <c r="AJ282"/>
  <c r="AK282"/>
  <c r="C283"/>
  <c r="H283"/>
  <c r="I283"/>
  <c r="J283"/>
  <c r="K283"/>
  <c r="M283"/>
  <c r="P283"/>
  <c r="R283"/>
  <c r="S283"/>
  <c r="T283"/>
  <c r="U283"/>
  <c r="X283"/>
  <c r="Y283"/>
  <c r="Z283"/>
  <c r="AA283"/>
  <c r="AB283"/>
  <c r="AC283"/>
  <c r="AD283"/>
  <c r="AE283"/>
  <c r="AF283"/>
  <c r="AG283"/>
  <c r="AH283"/>
  <c r="AI283"/>
  <c r="AJ283"/>
  <c r="AK283"/>
  <c r="C284"/>
  <c r="H284"/>
  <c r="I284"/>
  <c r="J284"/>
  <c r="K284"/>
  <c r="M284"/>
  <c r="P284"/>
  <c r="R284"/>
  <c r="S284"/>
  <c r="T284"/>
  <c r="U284"/>
  <c r="X284"/>
  <c r="Y284"/>
  <c r="Z284"/>
  <c r="AA284"/>
  <c r="AB284"/>
  <c r="AC284"/>
  <c r="AD284"/>
  <c r="AE284"/>
  <c r="AF284"/>
  <c r="AG284"/>
  <c r="AH284"/>
  <c r="AI284"/>
  <c r="AJ284"/>
  <c r="AK284"/>
  <c r="C285"/>
  <c r="H285"/>
  <c r="I285"/>
  <c r="J285"/>
  <c r="K285"/>
  <c r="M285"/>
  <c r="P285"/>
  <c r="R285"/>
  <c r="S285"/>
  <c r="T285"/>
  <c r="U285"/>
  <c r="X285"/>
  <c r="Y285"/>
  <c r="Z285"/>
  <c r="AA285"/>
  <c r="AB285"/>
  <c r="AC285"/>
  <c r="AD285"/>
  <c r="AE285"/>
  <c r="AF285"/>
  <c r="AG285"/>
  <c r="AH285"/>
  <c r="AI285"/>
  <c r="AJ285"/>
  <c r="AK285"/>
  <c r="C286"/>
  <c r="H286"/>
  <c r="I286"/>
  <c r="J286"/>
  <c r="K286"/>
  <c r="M286"/>
  <c r="P286"/>
  <c r="R286"/>
  <c r="S286"/>
  <c r="T286"/>
  <c r="U286"/>
  <c r="X286"/>
  <c r="Y286"/>
  <c r="Z286"/>
  <c r="AA286"/>
  <c r="AB286"/>
  <c r="AC286"/>
  <c r="AD286"/>
  <c r="AE286"/>
  <c r="AF286"/>
  <c r="AG286"/>
  <c r="AH286"/>
  <c r="AI286"/>
  <c r="AJ286"/>
  <c r="AK286"/>
  <c r="C287"/>
  <c r="H287"/>
  <c r="I287"/>
  <c r="J287"/>
  <c r="K287"/>
  <c r="M287"/>
  <c r="P287"/>
  <c r="R287"/>
  <c r="S287"/>
  <c r="T287"/>
  <c r="U287"/>
  <c r="X287"/>
  <c r="Y287"/>
  <c r="Z287"/>
  <c r="AA287"/>
  <c r="AB287"/>
  <c r="AC287"/>
  <c r="AD287"/>
  <c r="AE287"/>
  <c r="AF287"/>
  <c r="AG287"/>
  <c r="AH287"/>
  <c r="AI287"/>
  <c r="AJ287"/>
  <c r="AK287"/>
  <c r="C288"/>
  <c r="H288"/>
  <c r="I288"/>
  <c r="J288"/>
  <c r="K288"/>
  <c r="M288"/>
  <c r="P288"/>
  <c r="R288"/>
  <c r="S288"/>
  <c r="T288"/>
  <c r="U288"/>
  <c r="X288"/>
  <c r="Y288"/>
  <c r="Z288"/>
  <c r="AA288"/>
  <c r="AB288"/>
  <c r="AC288"/>
  <c r="AD288"/>
  <c r="AE288"/>
  <c r="AF288"/>
  <c r="AG288"/>
  <c r="AH288"/>
  <c r="AI288"/>
  <c r="AJ288"/>
  <c r="AK288"/>
  <c r="C289"/>
  <c r="H289"/>
  <c r="I289"/>
  <c r="J289"/>
  <c r="K289"/>
  <c r="M289"/>
  <c r="P289"/>
  <c r="R289"/>
  <c r="S289"/>
  <c r="T289"/>
  <c r="U289"/>
  <c r="X289"/>
  <c r="Y289"/>
  <c r="Z289"/>
  <c r="AA289"/>
  <c r="AB289"/>
  <c r="AC289"/>
  <c r="AD289"/>
  <c r="AE289"/>
  <c r="AF289"/>
  <c r="AG289"/>
  <c r="AH289"/>
  <c r="AI289"/>
  <c r="AJ289"/>
  <c r="AK289"/>
  <c r="C290"/>
  <c r="H290"/>
  <c r="I290"/>
  <c r="J290"/>
  <c r="K290"/>
  <c r="M290"/>
  <c r="P290"/>
  <c r="R290"/>
  <c r="S290"/>
  <c r="T290"/>
  <c r="U290"/>
  <c r="X290"/>
  <c r="Y290"/>
  <c r="Z290"/>
  <c r="AA290"/>
  <c r="AB290"/>
  <c r="AC290"/>
  <c r="AD290"/>
  <c r="AE290"/>
  <c r="AF290"/>
  <c r="AG290"/>
  <c r="AH290"/>
  <c r="AI290"/>
  <c r="AJ290"/>
  <c r="AK290"/>
  <c r="C291"/>
  <c r="H291"/>
  <c r="I291"/>
  <c r="J291"/>
  <c r="K291"/>
  <c r="M291"/>
  <c r="P291"/>
  <c r="R291"/>
  <c r="S291"/>
  <c r="T291"/>
  <c r="U291"/>
  <c r="X291"/>
  <c r="Y291"/>
  <c r="Z291"/>
  <c r="AA291"/>
  <c r="AB291"/>
  <c r="AC291"/>
  <c r="AD291"/>
  <c r="AE291"/>
  <c r="AF291"/>
  <c r="AG291"/>
  <c r="AH291"/>
  <c r="AI291"/>
  <c r="AJ291"/>
  <c r="AK291"/>
  <c r="C272"/>
  <c r="H272"/>
  <c r="I272"/>
  <c r="J272"/>
  <c r="K272"/>
  <c r="M272"/>
  <c r="P272"/>
  <c r="R272"/>
  <c r="S272"/>
  <c r="T272"/>
  <c r="U272"/>
  <c r="X272"/>
  <c r="Y272"/>
  <c r="Z272"/>
  <c r="AA272"/>
  <c r="AB272"/>
  <c r="AC272"/>
  <c r="AD272"/>
  <c r="AE272"/>
  <c r="AF272"/>
  <c r="AG272"/>
  <c r="AH272"/>
  <c r="AI272"/>
  <c r="AJ272"/>
  <c r="AK272"/>
  <c r="C273"/>
  <c r="H273"/>
  <c r="I273"/>
  <c r="J273"/>
  <c r="K273"/>
  <c r="M273"/>
  <c r="P273"/>
  <c r="R273"/>
  <c r="S273"/>
  <c r="T273"/>
  <c r="U273"/>
  <c r="X273"/>
  <c r="Y273"/>
  <c r="Z273"/>
  <c r="AA273"/>
  <c r="AB273"/>
  <c r="AC273"/>
  <c r="AD273"/>
  <c r="AE273"/>
  <c r="AF273"/>
  <c r="AG273"/>
  <c r="AH273"/>
  <c r="AI273"/>
  <c r="AJ273"/>
  <c r="AK273"/>
  <c r="C274"/>
  <c r="H274"/>
  <c r="I274"/>
  <c r="J274"/>
  <c r="K274"/>
  <c r="M274"/>
  <c r="P274"/>
  <c r="R274"/>
  <c r="S274"/>
  <c r="T274"/>
  <c r="U274"/>
  <c r="X274"/>
  <c r="Y274"/>
  <c r="Z274"/>
  <c r="AA274"/>
  <c r="AB274"/>
  <c r="AC274"/>
  <c r="AD274"/>
  <c r="AE274"/>
  <c r="AF274"/>
  <c r="AG274"/>
  <c r="AH274"/>
  <c r="AI274"/>
  <c r="AJ274"/>
  <c r="AK274"/>
  <c r="C275"/>
  <c r="H275"/>
  <c r="I275"/>
  <c r="J275"/>
  <c r="K275"/>
  <c r="M275"/>
  <c r="P275"/>
  <c r="R275"/>
  <c r="S275"/>
  <c r="T275"/>
  <c r="U275"/>
  <c r="X275"/>
  <c r="Y275"/>
  <c r="Z275"/>
  <c r="AA275"/>
  <c r="AB275"/>
  <c r="AC275"/>
  <c r="AD275"/>
  <c r="AE275"/>
  <c r="AF275"/>
  <c r="AG275"/>
  <c r="AH275"/>
  <c r="AI275"/>
  <c r="AJ275"/>
  <c r="AK275"/>
  <c r="C276"/>
  <c r="H276"/>
  <c r="I276"/>
  <c r="J276"/>
  <c r="K276"/>
  <c r="M276"/>
  <c r="P276"/>
  <c r="R276"/>
  <c r="S276"/>
  <c r="T276"/>
  <c r="U276"/>
  <c r="X276"/>
  <c r="Y276"/>
  <c r="Z276"/>
  <c r="AA276"/>
  <c r="AB276"/>
  <c r="AC276"/>
  <c r="AD276"/>
  <c r="AE276"/>
  <c r="AF276"/>
  <c r="AG276"/>
  <c r="AH276"/>
  <c r="AI276"/>
  <c r="AJ276"/>
  <c r="AK276"/>
  <c r="C277"/>
  <c r="H277"/>
  <c r="I277"/>
  <c r="J277"/>
  <c r="K277"/>
  <c r="M277"/>
  <c r="P277"/>
  <c r="R277"/>
  <c r="S277"/>
  <c r="T277"/>
  <c r="U277"/>
  <c r="X277"/>
  <c r="Y277"/>
  <c r="Z277"/>
  <c r="AA277"/>
  <c r="AB277"/>
  <c r="AC277"/>
  <c r="AD277"/>
  <c r="AE277"/>
  <c r="AF277"/>
  <c r="AG277"/>
  <c r="AH277"/>
  <c r="AI277"/>
  <c r="AJ277"/>
  <c r="AK277"/>
  <c r="C278"/>
  <c r="H278"/>
  <c r="I278"/>
  <c r="J278"/>
  <c r="K278"/>
  <c r="M278"/>
  <c r="P278"/>
  <c r="R278"/>
  <c r="S278"/>
  <c r="T278"/>
  <c r="U278"/>
  <c r="X278"/>
  <c r="Y278"/>
  <c r="Z278"/>
  <c r="AA278"/>
  <c r="AB278"/>
  <c r="AC278"/>
  <c r="AD278"/>
  <c r="AE278"/>
  <c r="AF278"/>
  <c r="AG278"/>
  <c r="AH278"/>
  <c r="AI278"/>
  <c r="AJ278"/>
  <c r="AK278"/>
  <c r="C279"/>
  <c r="H279"/>
  <c r="I279"/>
  <c r="J279"/>
  <c r="K279"/>
  <c r="M279"/>
  <c r="P279"/>
  <c r="R279"/>
  <c r="S279"/>
  <c r="T279"/>
  <c r="U279"/>
  <c r="X279"/>
  <c r="Y279"/>
  <c r="Z279"/>
  <c r="AA279"/>
  <c r="AB279"/>
  <c r="AC279"/>
  <c r="AD279"/>
  <c r="AE279"/>
  <c r="AF279"/>
  <c r="AG279"/>
  <c r="AH279"/>
  <c r="AI279"/>
  <c r="AJ279"/>
  <c r="AK279"/>
  <c r="C280"/>
  <c r="H280"/>
  <c r="I280"/>
  <c r="J280"/>
  <c r="K280"/>
  <c r="M280"/>
  <c r="P280"/>
  <c r="R280"/>
  <c r="S280"/>
  <c r="T280"/>
  <c r="U280"/>
  <c r="X280"/>
  <c r="Y280"/>
  <c r="Z280"/>
  <c r="AA280"/>
  <c r="AB280"/>
  <c r="AC280"/>
  <c r="AD280"/>
  <c r="AE280"/>
  <c r="AF280"/>
  <c r="AG280"/>
  <c r="AH280"/>
  <c r="AI280"/>
  <c r="AJ280"/>
  <c r="AK280"/>
  <c r="C281"/>
  <c r="H281"/>
  <c r="I281"/>
  <c r="J281"/>
  <c r="K281"/>
  <c r="M281"/>
  <c r="P281"/>
  <c r="R281"/>
  <c r="S281"/>
  <c r="T281"/>
  <c r="U281"/>
  <c r="X281"/>
  <c r="Y281"/>
  <c r="Z281"/>
  <c r="AA281"/>
  <c r="AB281"/>
  <c r="AC281"/>
  <c r="AD281"/>
  <c r="AE281"/>
  <c r="AF281"/>
  <c r="AG281"/>
  <c r="AH281"/>
  <c r="AI281"/>
  <c r="AJ281"/>
  <c r="AK281"/>
  <c r="C262"/>
  <c r="H262"/>
  <c r="I262"/>
  <c r="J262"/>
  <c r="K262"/>
  <c r="M262"/>
  <c r="P262"/>
  <c r="R262"/>
  <c r="S262"/>
  <c r="T262"/>
  <c r="U262"/>
  <c r="X262"/>
  <c r="Y262"/>
  <c r="Z262"/>
  <c r="AA262"/>
  <c r="AB262"/>
  <c r="AC262"/>
  <c r="AD262"/>
  <c r="AE262"/>
  <c r="AF262"/>
  <c r="AG262"/>
  <c r="AH262"/>
  <c r="AI262"/>
  <c r="AJ262"/>
  <c r="AK262"/>
  <c r="C263"/>
  <c r="H263"/>
  <c r="I263"/>
  <c r="J263"/>
  <c r="K263"/>
  <c r="M263"/>
  <c r="P263"/>
  <c r="R263"/>
  <c r="S263"/>
  <c r="T263"/>
  <c r="U263"/>
  <c r="X263"/>
  <c r="Y263"/>
  <c r="Z263"/>
  <c r="AA263"/>
  <c r="AB263"/>
  <c r="AC263"/>
  <c r="AD263"/>
  <c r="AE263"/>
  <c r="AF263"/>
  <c r="AG263"/>
  <c r="AH263"/>
  <c r="AI263"/>
  <c r="AJ263"/>
  <c r="AK263"/>
  <c r="C264"/>
  <c r="H264"/>
  <c r="I264"/>
  <c r="J264"/>
  <c r="K264"/>
  <c r="M264"/>
  <c r="P264"/>
  <c r="R264"/>
  <c r="S264"/>
  <c r="T264"/>
  <c r="U264"/>
  <c r="X264"/>
  <c r="Y264"/>
  <c r="Z264"/>
  <c r="AA264"/>
  <c r="AB264"/>
  <c r="AC264"/>
  <c r="AD264"/>
  <c r="AE264"/>
  <c r="AF264"/>
  <c r="AG264"/>
  <c r="AH264"/>
  <c r="AI264"/>
  <c r="AJ264"/>
  <c r="AK264"/>
  <c r="C265"/>
  <c r="H265"/>
  <c r="I265"/>
  <c r="J265"/>
  <c r="K265"/>
  <c r="M265"/>
  <c r="P265"/>
  <c r="R265"/>
  <c r="S265"/>
  <c r="T265"/>
  <c r="U265"/>
  <c r="X265"/>
  <c r="Y265"/>
  <c r="Z265"/>
  <c r="AA265"/>
  <c r="AB265"/>
  <c r="AC265"/>
  <c r="AD265"/>
  <c r="AE265"/>
  <c r="AF265"/>
  <c r="AG265"/>
  <c r="AH265"/>
  <c r="AI265"/>
  <c r="AJ265"/>
  <c r="AK265"/>
  <c r="C266"/>
  <c r="H266"/>
  <c r="I266"/>
  <c r="J266"/>
  <c r="K266"/>
  <c r="M266"/>
  <c r="P266"/>
  <c r="R266"/>
  <c r="S266"/>
  <c r="T266"/>
  <c r="U266"/>
  <c r="X266"/>
  <c r="Y266"/>
  <c r="Z266"/>
  <c r="AA266"/>
  <c r="AB266"/>
  <c r="AC266"/>
  <c r="AD266"/>
  <c r="AE266"/>
  <c r="AF266"/>
  <c r="AG266"/>
  <c r="AH266"/>
  <c r="AI266"/>
  <c r="AJ266"/>
  <c r="AK266"/>
  <c r="C267"/>
  <c r="H267"/>
  <c r="I267"/>
  <c r="J267"/>
  <c r="K267"/>
  <c r="M267"/>
  <c r="P267"/>
  <c r="R267"/>
  <c r="S267"/>
  <c r="T267"/>
  <c r="U267"/>
  <c r="X267"/>
  <c r="Y267"/>
  <c r="Z267"/>
  <c r="AA267"/>
  <c r="AB267"/>
  <c r="AC267"/>
  <c r="AD267"/>
  <c r="AE267"/>
  <c r="AF267"/>
  <c r="AG267"/>
  <c r="AH267"/>
  <c r="AI267"/>
  <c r="AJ267"/>
  <c r="AK267"/>
  <c r="C268"/>
  <c r="H268"/>
  <c r="I268"/>
  <c r="J268"/>
  <c r="K268"/>
  <c r="M268"/>
  <c r="P268"/>
  <c r="R268"/>
  <c r="S268"/>
  <c r="T268"/>
  <c r="U268"/>
  <c r="X268"/>
  <c r="Y268"/>
  <c r="Z268"/>
  <c r="AA268"/>
  <c r="AB268"/>
  <c r="AC268"/>
  <c r="AD268"/>
  <c r="AE268"/>
  <c r="AF268"/>
  <c r="AG268"/>
  <c r="AH268"/>
  <c r="AI268"/>
  <c r="AJ268"/>
  <c r="AK268"/>
  <c r="C269"/>
  <c r="H269"/>
  <c r="I269"/>
  <c r="J269"/>
  <c r="K269"/>
  <c r="M269"/>
  <c r="P269"/>
  <c r="R269"/>
  <c r="S269"/>
  <c r="T269"/>
  <c r="U269"/>
  <c r="X269"/>
  <c r="Y269"/>
  <c r="Z269"/>
  <c r="AA269"/>
  <c r="AB269"/>
  <c r="AC269"/>
  <c r="AD269"/>
  <c r="AE269"/>
  <c r="AF269"/>
  <c r="AG269"/>
  <c r="AH269"/>
  <c r="AI269"/>
  <c r="AJ269"/>
  <c r="AK269"/>
  <c r="C270"/>
  <c r="H270"/>
  <c r="I270"/>
  <c r="J270"/>
  <c r="K270"/>
  <c r="M270"/>
  <c r="P270"/>
  <c r="R270"/>
  <c r="S270"/>
  <c r="T270"/>
  <c r="U270"/>
  <c r="X270"/>
  <c r="Y270"/>
  <c r="Z270"/>
  <c r="AA270"/>
  <c r="AB270"/>
  <c r="AC270"/>
  <c r="AD270"/>
  <c r="AE270"/>
  <c r="AF270"/>
  <c r="AG270"/>
  <c r="AH270"/>
  <c r="AI270"/>
  <c r="AJ270"/>
  <c r="AK270"/>
  <c r="C271"/>
  <c r="H271"/>
  <c r="I271"/>
  <c r="J271"/>
  <c r="K271"/>
  <c r="M271"/>
  <c r="P271"/>
  <c r="R271"/>
  <c r="S271"/>
  <c r="T271"/>
  <c r="U271"/>
  <c r="X271"/>
  <c r="Y271"/>
  <c r="Z271"/>
  <c r="AA271"/>
  <c r="AB271"/>
  <c r="AC271"/>
  <c r="AD271"/>
  <c r="AE271"/>
  <c r="AF271"/>
  <c r="AG271"/>
  <c r="AH271"/>
  <c r="AI271"/>
  <c r="AJ271"/>
  <c r="AK271"/>
  <c r="C252"/>
  <c r="H252"/>
  <c r="I252"/>
  <c r="J252"/>
  <c r="K252"/>
  <c r="M252"/>
  <c r="P252"/>
  <c r="R252"/>
  <c r="S252"/>
  <c r="T252"/>
  <c r="U252"/>
  <c r="X252"/>
  <c r="Y252"/>
  <c r="Z252"/>
  <c r="AA252"/>
  <c r="AB252"/>
  <c r="AC252"/>
  <c r="AD252"/>
  <c r="AE252"/>
  <c r="AF252"/>
  <c r="AG252"/>
  <c r="AH252"/>
  <c r="AI252"/>
  <c r="AJ252"/>
  <c r="AK252"/>
  <c r="C253"/>
  <c r="H253"/>
  <c r="I253"/>
  <c r="J253"/>
  <c r="K253"/>
  <c r="M253"/>
  <c r="P253"/>
  <c r="R253"/>
  <c r="S253"/>
  <c r="T253"/>
  <c r="U253"/>
  <c r="X253"/>
  <c r="Y253"/>
  <c r="Z253"/>
  <c r="AA253"/>
  <c r="AB253"/>
  <c r="AC253"/>
  <c r="AD253"/>
  <c r="AE253"/>
  <c r="AF253"/>
  <c r="AG253"/>
  <c r="AH253"/>
  <c r="AI253"/>
  <c r="AJ253"/>
  <c r="AK253"/>
  <c r="C254"/>
  <c r="H254"/>
  <c r="I254"/>
  <c r="J254"/>
  <c r="K254"/>
  <c r="M254"/>
  <c r="P254"/>
  <c r="R254"/>
  <c r="S254"/>
  <c r="T254"/>
  <c r="U254"/>
  <c r="X254"/>
  <c r="Y254"/>
  <c r="Z254"/>
  <c r="AA254"/>
  <c r="AB254"/>
  <c r="AC254"/>
  <c r="AD254"/>
  <c r="AE254"/>
  <c r="AF254"/>
  <c r="AG254"/>
  <c r="AH254"/>
  <c r="AI254"/>
  <c r="AJ254"/>
  <c r="AK254"/>
  <c r="C255"/>
  <c r="H255"/>
  <c r="I255"/>
  <c r="J255"/>
  <c r="K255"/>
  <c r="M255"/>
  <c r="P255"/>
  <c r="R255"/>
  <c r="S255"/>
  <c r="T255"/>
  <c r="U255"/>
  <c r="X255"/>
  <c r="Y255"/>
  <c r="Z255"/>
  <c r="AA255"/>
  <c r="AB255"/>
  <c r="AC255"/>
  <c r="AD255"/>
  <c r="AE255"/>
  <c r="AF255"/>
  <c r="AG255"/>
  <c r="AH255"/>
  <c r="AI255"/>
  <c r="AJ255"/>
  <c r="AK255"/>
  <c r="C256"/>
  <c r="H256"/>
  <c r="I256"/>
  <c r="J256"/>
  <c r="K256"/>
  <c r="M256"/>
  <c r="P256"/>
  <c r="R256"/>
  <c r="S256"/>
  <c r="T256"/>
  <c r="U256"/>
  <c r="X256"/>
  <c r="Y256"/>
  <c r="Z256"/>
  <c r="AA256"/>
  <c r="AB256"/>
  <c r="AC256"/>
  <c r="AD256"/>
  <c r="AE256"/>
  <c r="AF256"/>
  <c r="AG256"/>
  <c r="AH256"/>
  <c r="AI256"/>
  <c r="AJ256"/>
  <c r="AK256"/>
  <c r="C257"/>
  <c r="H257"/>
  <c r="I257"/>
  <c r="J257"/>
  <c r="K257"/>
  <c r="M257"/>
  <c r="P257"/>
  <c r="R257"/>
  <c r="S257"/>
  <c r="T257"/>
  <c r="U257"/>
  <c r="X257"/>
  <c r="Y257"/>
  <c r="Z257"/>
  <c r="AA257"/>
  <c r="AB257"/>
  <c r="AC257"/>
  <c r="AD257"/>
  <c r="AE257"/>
  <c r="AF257"/>
  <c r="AG257"/>
  <c r="AH257"/>
  <c r="AI257"/>
  <c r="AJ257"/>
  <c r="AK257"/>
  <c r="C258"/>
  <c r="H258"/>
  <c r="I258"/>
  <c r="J258"/>
  <c r="K258"/>
  <c r="M258"/>
  <c r="P258"/>
  <c r="R258"/>
  <c r="S258"/>
  <c r="T258"/>
  <c r="U258"/>
  <c r="X258"/>
  <c r="Y258"/>
  <c r="Z258"/>
  <c r="AA258"/>
  <c r="AB258"/>
  <c r="AC258"/>
  <c r="AD258"/>
  <c r="AE258"/>
  <c r="AF258"/>
  <c r="AG258"/>
  <c r="AH258"/>
  <c r="AI258"/>
  <c r="AJ258"/>
  <c r="AK258"/>
  <c r="C259"/>
  <c r="H259"/>
  <c r="I259"/>
  <c r="J259"/>
  <c r="K259"/>
  <c r="M259"/>
  <c r="P259"/>
  <c r="R259"/>
  <c r="S259"/>
  <c r="T259"/>
  <c r="U259"/>
  <c r="X259"/>
  <c r="Y259"/>
  <c r="Z259"/>
  <c r="AA259"/>
  <c r="AB259"/>
  <c r="AC259"/>
  <c r="AD259"/>
  <c r="AE259"/>
  <c r="AF259"/>
  <c r="AG259"/>
  <c r="AH259"/>
  <c r="AI259"/>
  <c r="AJ259"/>
  <c r="AK259"/>
  <c r="C260"/>
  <c r="H260"/>
  <c r="I260"/>
  <c r="J260"/>
  <c r="K260"/>
  <c r="M260"/>
  <c r="P260"/>
  <c r="R260"/>
  <c r="S260"/>
  <c r="T260"/>
  <c r="U260"/>
  <c r="X260"/>
  <c r="Y260"/>
  <c r="Z260"/>
  <c r="AA260"/>
  <c r="AB260"/>
  <c r="AC260"/>
  <c r="AD260"/>
  <c r="AE260"/>
  <c r="AF260"/>
  <c r="AG260"/>
  <c r="AH260"/>
  <c r="AI260"/>
  <c r="AJ260"/>
  <c r="AK260"/>
  <c r="C261"/>
  <c r="H261"/>
  <c r="I261"/>
  <c r="J261"/>
  <c r="K261"/>
  <c r="M261"/>
  <c r="P261"/>
  <c r="R261"/>
  <c r="S261"/>
  <c r="T261"/>
  <c r="U261"/>
  <c r="X261"/>
  <c r="Y261"/>
  <c r="Z261"/>
  <c r="AA261"/>
  <c r="AB261"/>
  <c r="AC261"/>
  <c r="AD261"/>
  <c r="AE261"/>
  <c r="AF261"/>
  <c r="AG261"/>
  <c r="AH261"/>
  <c r="AI261"/>
  <c r="AJ261"/>
  <c r="AK261"/>
  <c r="C242"/>
  <c r="H242"/>
  <c r="I242"/>
  <c r="J242"/>
  <c r="K242"/>
  <c r="M242"/>
  <c r="P242"/>
  <c r="R242"/>
  <c r="S242"/>
  <c r="T242"/>
  <c r="U242"/>
  <c r="X242"/>
  <c r="Y242"/>
  <c r="Z242"/>
  <c r="AA242"/>
  <c r="AB242"/>
  <c r="AC242"/>
  <c r="AD242"/>
  <c r="AE242"/>
  <c r="AF242"/>
  <c r="AG242"/>
  <c r="AH242"/>
  <c r="AI242"/>
  <c r="AJ242"/>
  <c r="AK242"/>
  <c r="C243"/>
  <c r="H243"/>
  <c r="I243"/>
  <c r="J243"/>
  <c r="K243"/>
  <c r="M243"/>
  <c r="P243"/>
  <c r="R243"/>
  <c r="S243"/>
  <c r="T243"/>
  <c r="U243"/>
  <c r="X243"/>
  <c r="Y243"/>
  <c r="Z243"/>
  <c r="AA243"/>
  <c r="AB243"/>
  <c r="AC243"/>
  <c r="AD243"/>
  <c r="AE243"/>
  <c r="AF243"/>
  <c r="AG243"/>
  <c r="AH243"/>
  <c r="AI243"/>
  <c r="AJ243"/>
  <c r="AK243"/>
  <c r="C244"/>
  <c r="H244"/>
  <c r="I244"/>
  <c r="J244"/>
  <c r="K244"/>
  <c r="M244"/>
  <c r="P244"/>
  <c r="R244"/>
  <c r="S244"/>
  <c r="T244"/>
  <c r="U244"/>
  <c r="X244"/>
  <c r="Y244"/>
  <c r="Z244"/>
  <c r="AA244"/>
  <c r="AB244"/>
  <c r="AC244"/>
  <c r="AD244"/>
  <c r="AE244"/>
  <c r="AF244"/>
  <c r="AG244"/>
  <c r="AH244"/>
  <c r="AI244"/>
  <c r="AJ244"/>
  <c r="AK244"/>
  <c r="C245"/>
  <c r="H245"/>
  <c r="I245"/>
  <c r="J245"/>
  <c r="K245"/>
  <c r="M245"/>
  <c r="P245"/>
  <c r="R245"/>
  <c r="S245"/>
  <c r="T245"/>
  <c r="U245"/>
  <c r="X245"/>
  <c r="Y245"/>
  <c r="Z245"/>
  <c r="AA245"/>
  <c r="AB245"/>
  <c r="AC245"/>
  <c r="AD245"/>
  <c r="AE245"/>
  <c r="AF245"/>
  <c r="AG245"/>
  <c r="AH245"/>
  <c r="AI245"/>
  <c r="AJ245"/>
  <c r="AK245"/>
  <c r="C246"/>
  <c r="H246"/>
  <c r="I246"/>
  <c r="J246"/>
  <c r="K246"/>
  <c r="M246"/>
  <c r="P246"/>
  <c r="R246"/>
  <c r="S246"/>
  <c r="T246"/>
  <c r="U246"/>
  <c r="X246"/>
  <c r="Y246"/>
  <c r="Z246"/>
  <c r="AA246"/>
  <c r="AB246"/>
  <c r="AC246"/>
  <c r="AD246"/>
  <c r="AE246"/>
  <c r="AF246"/>
  <c r="AG246"/>
  <c r="AH246"/>
  <c r="AI246"/>
  <c r="AJ246"/>
  <c r="AK246"/>
  <c r="C247"/>
  <c r="H247"/>
  <c r="I247"/>
  <c r="J247"/>
  <c r="K247"/>
  <c r="M247"/>
  <c r="P247"/>
  <c r="R247"/>
  <c r="S247"/>
  <c r="T247"/>
  <c r="U247"/>
  <c r="X247"/>
  <c r="Y247"/>
  <c r="Z247"/>
  <c r="AA247"/>
  <c r="AB247"/>
  <c r="AC247"/>
  <c r="AD247"/>
  <c r="AE247"/>
  <c r="AF247"/>
  <c r="AG247"/>
  <c r="AH247"/>
  <c r="AI247"/>
  <c r="AJ247"/>
  <c r="AK247"/>
  <c r="C248"/>
  <c r="H248"/>
  <c r="I248"/>
  <c r="J248"/>
  <c r="K248"/>
  <c r="M248"/>
  <c r="P248"/>
  <c r="R248"/>
  <c r="S248"/>
  <c r="T248"/>
  <c r="U248"/>
  <c r="X248"/>
  <c r="Y248"/>
  <c r="Z248"/>
  <c r="AA248"/>
  <c r="AB248"/>
  <c r="AC248"/>
  <c r="AD248"/>
  <c r="AE248"/>
  <c r="AF248"/>
  <c r="AG248"/>
  <c r="AH248"/>
  <c r="AI248"/>
  <c r="AJ248"/>
  <c r="AK248"/>
  <c r="C249"/>
  <c r="H249"/>
  <c r="I249"/>
  <c r="J249"/>
  <c r="K249"/>
  <c r="M249"/>
  <c r="P249"/>
  <c r="R249"/>
  <c r="S249"/>
  <c r="T249"/>
  <c r="U249"/>
  <c r="X249"/>
  <c r="Y249"/>
  <c r="Z249"/>
  <c r="AA249"/>
  <c r="AB249"/>
  <c r="AC249"/>
  <c r="AD249"/>
  <c r="AE249"/>
  <c r="AF249"/>
  <c r="AG249"/>
  <c r="AH249"/>
  <c r="AI249"/>
  <c r="AJ249"/>
  <c r="AK249"/>
  <c r="C250"/>
  <c r="H250"/>
  <c r="I250"/>
  <c r="J250"/>
  <c r="K250"/>
  <c r="M250"/>
  <c r="P250"/>
  <c r="R250"/>
  <c r="S250"/>
  <c r="T250"/>
  <c r="U250"/>
  <c r="X250"/>
  <c r="Y250"/>
  <c r="Z250"/>
  <c r="AA250"/>
  <c r="AB250"/>
  <c r="AC250"/>
  <c r="AD250"/>
  <c r="AE250"/>
  <c r="AF250"/>
  <c r="AG250"/>
  <c r="AH250"/>
  <c r="AI250"/>
  <c r="AJ250"/>
  <c r="AK250"/>
  <c r="C251"/>
  <c r="H251"/>
  <c r="I251"/>
  <c r="J251"/>
  <c r="K251"/>
  <c r="M251"/>
  <c r="P251"/>
  <c r="R251"/>
  <c r="S251"/>
  <c r="T251"/>
  <c r="U251"/>
  <c r="X251"/>
  <c r="Y251"/>
  <c r="Z251"/>
  <c r="AA251"/>
  <c r="AB251"/>
  <c r="AC251"/>
  <c r="AD251"/>
  <c r="AE251"/>
  <c r="AF251"/>
  <c r="AG251"/>
  <c r="AH251"/>
  <c r="AI251"/>
  <c r="AJ251"/>
  <c r="AK251"/>
  <c r="C232"/>
  <c r="H232"/>
  <c r="I232"/>
  <c r="J232"/>
  <c r="K232"/>
  <c r="M232"/>
  <c r="P232"/>
  <c r="R232"/>
  <c r="S232"/>
  <c r="T232"/>
  <c r="U232"/>
  <c r="X232"/>
  <c r="Y232"/>
  <c r="Z232"/>
  <c r="AA232"/>
  <c r="AB232"/>
  <c r="AC232"/>
  <c r="AD232"/>
  <c r="AE232"/>
  <c r="AF232"/>
  <c r="AG232"/>
  <c r="AH232"/>
  <c r="AI232"/>
  <c r="AJ232"/>
  <c r="AK232"/>
  <c r="C233"/>
  <c r="H233"/>
  <c r="I233"/>
  <c r="J233"/>
  <c r="K233"/>
  <c r="M233"/>
  <c r="P233"/>
  <c r="R233"/>
  <c r="S233"/>
  <c r="T233"/>
  <c r="U233"/>
  <c r="X233"/>
  <c r="Y233"/>
  <c r="Z233"/>
  <c r="AA233"/>
  <c r="AB233"/>
  <c r="AC233"/>
  <c r="AD233"/>
  <c r="AE233"/>
  <c r="AF233"/>
  <c r="AG233"/>
  <c r="AH233"/>
  <c r="AI233"/>
  <c r="AJ233"/>
  <c r="AK233"/>
  <c r="C234"/>
  <c r="H234"/>
  <c r="I234"/>
  <c r="J234"/>
  <c r="K234"/>
  <c r="M234"/>
  <c r="P234"/>
  <c r="R234"/>
  <c r="S234"/>
  <c r="T234"/>
  <c r="U234"/>
  <c r="X234"/>
  <c r="Y234"/>
  <c r="Z234"/>
  <c r="AA234"/>
  <c r="AB234"/>
  <c r="AC234"/>
  <c r="AD234"/>
  <c r="AE234"/>
  <c r="AF234"/>
  <c r="AG234"/>
  <c r="AH234"/>
  <c r="AI234"/>
  <c r="AJ234"/>
  <c r="AK234"/>
  <c r="C235"/>
  <c r="H235"/>
  <c r="I235"/>
  <c r="J235"/>
  <c r="K235"/>
  <c r="M235"/>
  <c r="P235"/>
  <c r="R235"/>
  <c r="S235"/>
  <c r="T235"/>
  <c r="U235"/>
  <c r="X235"/>
  <c r="Y235"/>
  <c r="Z235"/>
  <c r="AA235"/>
  <c r="AB235"/>
  <c r="AC235"/>
  <c r="AD235"/>
  <c r="AE235"/>
  <c r="AF235"/>
  <c r="AG235"/>
  <c r="AH235"/>
  <c r="AI235"/>
  <c r="AJ235"/>
  <c r="AK235"/>
  <c r="C236"/>
  <c r="H236"/>
  <c r="I236"/>
  <c r="J236"/>
  <c r="K236"/>
  <c r="M236"/>
  <c r="P236"/>
  <c r="R236"/>
  <c r="S236"/>
  <c r="T236"/>
  <c r="U236"/>
  <c r="X236"/>
  <c r="Y236"/>
  <c r="Z236"/>
  <c r="AA236"/>
  <c r="AB236"/>
  <c r="AC236"/>
  <c r="AD236"/>
  <c r="AE236"/>
  <c r="AF236"/>
  <c r="AG236"/>
  <c r="AH236"/>
  <c r="AI236"/>
  <c r="AJ236"/>
  <c r="AK236"/>
  <c r="C237"/>
  <c r="H237"/>
  <c r="I237"/>
  <c r="J237"/>
  <c r="K237"/>
  <c r="M237"/>
  <c r="P237"/>
  <c r="R237"/>
  <c r="S237"/>
  <c r="T237"/>
  <c r="U237"/>
  <c r="X237"/>
  <c r="Y237"/>
  <c r="Z237"/>
  <c r="AA237"/>
  <c r="AB237"/>
  <c r="AC237"/>
  <c r="AD237"/>
  <c r="AE237"/>
  <c r="AF237"/>
  <c r="AG237"/>
  <c r="AH237"/>
  <c r="AI237"/>
  <c r="AJ237"/>
  <c r="AK237"/>
  <c r="C238"/>
  <c r="H238"/>
  <c r="I238"/>
  <c r="J238"/>
  <c r="K238"/>
  <c r="M238"/>
  <c r="P238"/>
  <c r="R238"/>
  <c r="S238"/>
  <c r="T238"/>
  <c r="U238"/>
  <c r="X238"/>
  <c r="Y238"/>
  <c r="Z238"/>
  <c r="AA238"/>
  <c r="AB238"/>
  <c r="AC238"/>
  <c r="AD238"/>
  <c r="AE238"/>
  <c r="AF238"/>
  <c r="AG238"/>
  <c r="AH238"/>
  <c r="AI238"/>
  <c r="AJ238"/>
  <c r="AK238"/>
  <c r="C239"/>
  <c r="H239"/>
  <c r="I239"/>
  <c r="J239"/>
  <c r="K239"/>
  <c r="M239"/>
  <c r="P239"/>
  <c r="R239"/>
  <c r="S239"/>
  <c r="T239"/>
  <c r="U239"/>
  <c r="X239"/>
  <c r="Y239"/>
  <c r="Z239"/>
  <c r="AA239"/>
  <c r="AB239"/>
  <c r="AC239"/>
  <c r="AD239"/>
  <c r="AE239"/>
  <c r="AF239"/>
  <c r="AG239"/>
  <c r="AH239"/>
  <c r="AI239"/>
  <c r="AJ239"/>
  <c r="AK239"/>
  <c r="C240"/>
  <c r="H240"/>
  <c r="I240"/>
  <c r="J240"/>
  <c r="K240"/>
  <c r="M240"/>
  <c r="P240"/>
  <c r="R240"/>
  <c r="S240"/>
  <c r="T240"/>
  <c r="U240"/>
  <c r="X240"/>
  <c r="Y240"/>
  <c r="Z240"/>
  <c r="AA240"/>
  <c r="AB240"/>
  <c r="AC240"/>
  <c r="AD240"/>
  <c r="AE240"/>
  <c r="AF240"/>
  <c r="AG240"/>
  <c r="AH240"/>
  <c r="AI240"/>
  <c r="AJ240"/>
  <c r="AK240"/>
  <c r="C241"/>
  <c r="H241"/>
  <c r="I241"/>
  <c r="J241"/>
  <c r="K241"/>
  <c r="M241"/>
  <c r="P241"/>
  <c r="R241"/>
  <c r="S241"/>
  <c r="T241"/>
  <c r="U241"/>
  <c r="X241"/>
  <c r="Y241"/>
  <c r="Z241"/>
  <c r="AA241"/>
  <c r="AB241"/>
  <c r="AC241"/>
  <c r="AD241"/>
  <c r="AE241"/>
  <c r="AF241"/>
  <c r="AG241"/>
  <c r="AH241"/>
  <c r="AI241"/>
  <c r="AJ241"/>
  <c r="AK241"/>
  <c r="C222"/>
  <c r="H222"/>
  <c r="I222"/>
  <c r="J222"/>
  <c r="K222"/>
  <c r="M222"/>
  <c r="P222"/>
  <c r="R222"/>
  <c r="S222"/>
  <c r="T222"/>
  <c r="U222"/>
  <c r="X222"/>
  <c r="Y222"/>
  <c r="Z222"/>
  <c r="AA222"/>
  <c r="AB222"/>
  <c r="AC222"/>
  <c r="AD222"/>
  <c r="AE222"/>
  <c r="AF222"/>
  <c r="AG222"/>
  <c r="AH222"/>
  <c r="AI222"/>
  <c r="AJ222"/>
  <c r="AK222"/>
  <c r="C223"/>
  <c r="H223"/>
  <c r="I223"/>
  <c r="J223"/>
  <c r="K223"/>
  <c r="M223"/>
  <c r="P223"/>
  <c r="R223"/>
  <c r="S223"/>
  <c r="T223"/>
  <c r="U223"/>
  <c r="X223"/>
  <c r="Y223"/>
  <c r="Z223"/>
  <c r="AA223"/>
  <c r="AB223"/>
  <c r="AC223"/>
  <c r="AD223"/>
  <c r="AE223"/>
  <c r="AF223"/>
  <c r="AG223"/>
  <c r="AH223"/>
  <c r="AI223"/>
  <c r="AJ223"/>
  <c r="AK223"/>
  <c r="C224"/>
  <c r="H224"/>
  <c r="I224"/>
  <c r="J224"/>
  <c r="K224"/>
  <c r="M224"/>
  <c r="P224"/>
  <c r="R224"/>
  <c r="S224"/>
  <c r="T224"/>
  <c r="U224"/>
  <c r="X224"/>
  <c r="Y224"/>
  <c r="Z224"/>
  <c r="AA224"/>
  <c r="AB224"/>
  <c r="AC224"/>
  <c r="AD224"/>
  <c r="AE224"/>
  <c r="AF224"/>
  <c r="AG224"/>
  <c r="AH224"/>
  <c r="AI224"/>
  <c r="AJ224"/>
  <c r="AK224"/>
  <c r="C225"/>
  <c r="H225"/>
  <c r="I225"/>
  <c r="J225"/>
  <c r="K225"/>
  <c r="M225"/>
  <c r="P225"/>
  <c r="R225"/>
  <c r="S225"/>
  <c r="T225"/>
  <c r="U225"/>
  <c r="X225"/>
  <c r="Y225"/>
  <c r="Z225"/>
  <c r="AA225"/>
  <c r="AB225"/>
  <c r="AC225"/>
  <c r="AD225"/>
  <c r="AE225"/>
  <c r="AF225"/>
  <c r="AG225"/>
  <c r="AH225"/>
  <c r="AI225"/>
  <c r="AJ225"/>
  <c r="AK225"/>
  <c r="C226"/>
  <c r="H226"/>
  <c r="I226"/>
  <c r="J226"/>
  <c r="K226"/>
  <c r="M226"/>
  <c r="P226"/>
  <c r="R226"/>
  <c r="S226"/>
  <c r="T226"/>
  <c r="U226"/>
  <c r="X226"/>
  <c r="Y226"/>
  <c r="Z226"/>
  <c r="AA226"/>
  <c r="AB226"/>
  <c r="AC226"/>
  <c r="AD226"/>
  <c r="AE226"/>
  <c r="AF226"/>
  <c r="AG226"/>
  <c r="AH226"/>
  <c r="AI226"/>
  <c r="AJ226"/>
  <c r="AK226"/>
  <c r="C227"/>
  <c r="H227"/>
  <c r="I227"/>
  <c r="J227"/>
  <c r="K227"/>
  <c r="M227"/>
  <c r="P227"/>
  <c r="R227"/>
  <c r="S227"/>
  <c r="T227"/>
  <c r="U227"/>
  <c r="X227"/>
  <c r="Y227"/>
  <c r="Z227"/>
  <c r="AA227"/>
  <c r="AB227"/>
  <c r="AC227"/>
  <c r="AD227"/>
  <c r="AE227"/>
  <c r="AF227"/>
  <c r="AG227"/>
  <c r="AH227"/>
  <c r="AI227"/>
  <c r="AJ227"/>
  <c r="AK227"/>
  <c r="C228"/>
  <c r="H228"/>
  <c r="I228"/>
  <c r="J228"/>
  <c r="K228"/>
  <c r="M228"/>
  <c r="P228"/>
  <c r="R228"/>
  <c r="S228"/>
  <c r="T228"/>
  <c r="U228"/>
  <c r="X228"/>
  <c r="Y228"/>
  <c r="Z228"/>
  <c r="AA228"/>
  <c r="AB228"/>
  <c r="AC228"/>
  <c r="AD228"/>
  <c r="AE228"/>
  <c r="AF228"/>
  <c r="AG228"/>
  <c r="AH228"/>
  <c r="AI228"/>
  <c r="AJ228"/>
  <c r="AK228"/>
  <c r="C229"/>
  <c r="H229"/>
  <c r="I229"/>
  <c r="J229"/>
  <c r="K229"/>
  <c r="M229"/>
  <c r="P229"/>
  <c r="R229"/>
  <c r="S229"/>
  <c r="T229"/>
  <c r="U229"/>
  <c r="X229"/>
  <c r="Y229"/>
  <c r="Z229"/>
  <c r="AA229"/>
  <c r="AB229"/>
  <c r="AC229"/>
  <c r="AD229"/>
  <c r="AE229"/>
  <c r="AF229"/>
  <c r="AG229"/>
  <c r="AH229"/>
  <c r="AI229"/>
  <c r="AJ229"/>
  <c r="AK229"/>
  <c r="C230"/>
  <c r="H230"/>
  <c r="I230"/>
  <c r="J230"/>
  <c r="K230"/>
  <c r="M230"/>
  <c r="P230"/>
  <c r="R230"/>
  <c r="S230"/>
  <c r="T230"/>
  <c r="U230"/>
  <c r="X230"/>
  <c r="Y230"/>
  <c r="Z230"/>
  <c r="AA230"/>
  <c r="AB230"/>
  <c r="AC230"/>
  <c r="AD230"/>
  <c r="AE230"/>
  <c r="AF230"/>
  <c r="AG230"/>
  <c r="AH230"/>
  <c r="AI230"/>
  <c r="AJ230"/>
  <c r="AK230"/>
  <c r="C231"/>
  <c r="H231"/>
  <c r="I231"/>
  <c r="J231"/>
  <c r="K231"/>
  <c r="M231"/>
  <c r="P231"/>
  <c r="R231"/>
  <c r="S231"/>
  <c r="T231"/>
  <c r="U231"/>
  <c r="X231"/>
  <c r="Y231"/>
  <c r="Z231"/>
  <c r="AA231"/>
  <c r="AB231"/>
  <c r="AC231"/>
  <c r="AD231"/>
  <c r="AE231"/>
  <c r="AF231"/>
  <c r="AG231"/>
  <c r="AH231"/>
  <c r="AI231"/>
  <c r="AJ231"/>
  <c r="AK231"/>
  <c r="C212"/>
  <c r="H212"/>
  <c r="I212"/>
  <c r="J212"/>
  <c r="K212"/>
  <c r="M212"/>
  <c r="P212"/>
  <c r="R212"/>
  <c r="S212"/>
  <c r="T212"/>
  <c r="U212"/>
  <c r="X212"/>
  <c r="Y212"/>
  <c r="Z212"/>
  <c r="AA212"/>
  <c r="AB212"/>
  <c r="AC212"/>
  <c r="AD212"/>
  <c r="AE212"/>
  <c r="AF212"/>
  <c r="AG212"/>
  <c r="AH212"/>
  <c r="AI212"/>
  <c r="AJ212"/>
  <c r="AK212"/>
  <c r="C213"/>
  <c r="H213"/>
  <c r="I213"/>
  <c r="J213"/>
  <c r="K213"/>
  <c r="M213"/>
  <c r="P213"/>
  <c r="R213"/>
  <c r="S213"/>
  <c r="T213"/>
  <c r="U213"/>
  <c r="X213"/>
  <c r="Y213"/>
  <c r="Z213"/>
  <c r="AA213"/>
  <c r="AB213"/>
  <c r="AC213"/>
  <c r="AD213"/>
  <c r="AE213"/>
  <c r="AF213"/>
  <c r="AG213"/>
  <c r="AH213"/>
  <c r="AI213"/>
  <c r="AJ213"/>
  <c r="AK213"/>
  <c r="C214"/>
  <c r="H214"/>
  <c r="I214"/>
  <c r="J214"/>
  <c r="K214"/>
  <c r="M214"/>
  <c r="P214"/>
  <c r="R214"/>
  <c r="S214"/>
  <c r="T214"/>
  <c r="U214"/>
  <c r="X214"/>
  <c r="Y214"/>
  <c r="Z214"/>
  <c r="AA214"/>
  <c r="AB214"/>
  <c r="AC214"/>
  <c r="AD214"/>
  <c r="AE214"/>
  <c r="AF214"/>
  <c r="AG214"/>
  <c r="AH214"/>
  <c r="AI214"/>
  <c r="AJ214"/>
  <c r="AK214"/>
  <c r="C215"/>
  <c r="H215"/>
  <c r="I215"/>
  <c r="J215"/>
  <c r="K215"/>
  <c r="M215"/>
  <c r="P215"/>
  <c r="R215"/>
  <c r="S215"/>
  <c r="T215"/>
  <c r="U215"/>
  <c r="X215"/>
  <c r="Y215"/>
  <c r="Z215"/>
  <c r="AA215"/>
  <c r="AB215"/>
  <c r="AC215"/>
  <c r="AD215"/>
  <c r="AE215"/>
  <c r="AF215"/>
  <c r="AG215"/>
  <c r="AH215"/>
  <c r="AI215"/>
  <c r="AJ215"/>
  <c r="AK215"/>
  <c r="C216"/>
  <c r="H216"/>
  <c r="I216"/>
  <c r="J216"/>
  <c r="K216"/>
  <c r="M216"/>
  <c r="P216"/>
  <c r="R216"/>
  <c r="S216"/>
  <c r="T216"/>
  <c r="U216"/>
  <c r="X216"/>
  <c r="Y216"/>
  <c r="Z216"/>
  <c r="AA216"/>
  <c r="AB216"/>
  <c r="AC216"/>
  <c r="AD216"/>
  <c r="AE216"/>
  <c r="AF216"/>
  <c r="AG216"/>
  <c r="AH216"/>
  <c r="AI216"/>
  <c r="AJ216"/>
  <c r="AK216"/>
  <c r="C217"/>
  <c r="H217"/>
  <c r="I217"/>
  <c r="J217"/>
  <c r="K217"/>
  <c r="M217"/>
  <c r="P217"/>
  <c r="R217"/>
  <c r="S217"/>
  <c r="T217"/>
  <c r="U217"/>
  <c r="X217"/>
  <c r="Y217"/>
  <c r="Z217"/>
  <c r="AA217"/>
  <c r="AB217"/>
  <c r="AC217"/>
  <c r="AD217"/>
  <c r="AE217"/>
  <c r="AF217"/>
  <c r="AG217"/>
  <c r="AH217"/>
  <c r="AI217"/>
  <c r="AJ217"/>
  <c r="AK217"/>
  <c r="C218"/>
  <c r="H218"/>
  <c r="I218"/>
  <c r="J218"/>
  <c r="K218"/>
  <c r="M218"/>
  <c r="P218"/>
  <c r="R218"/>
  <c r="S218"/>
  <c r="T218"/>
  <c r="U218"/>
  <c r="X218"/>
  <c r="Y218"/>
  <c r="Z218"/>
  <c r="AA218"/>
  <c r="AB218"/>
  <c r="AC218"/>
  <c r="AD218"/>
  <c r="AE218"/>
  <c r="AF218"/>
  <c r="AG218"/>
  <c r="AH218"/>
  <c r="AI218"/>
  <c r="AJ218"/>
  <c r="AK218"/>
  <c r="C219"/>
  <c r="H219"/>
  <c r="I219"/>
  <c r="J219"/>
  <c r="K219"/>
  <c r="M219"/>
  <c r="P219"/>
  <c r="R219"/>
  <c r="S219"/>
  <c r="T219"/>
  <c r="U219"/>
  <c r="X219"/>
  <c r="Y219"/>
  <c r="Z219"/>
  <c r="AA219"/>
  <c r="AB219"/>
  <c r="AC219"/>
  <c r="AD219"/>
  <c r="AE219"/>
  <c r="AF219"/>
  <c r="AG219"/>
  <c r="AH219"/>
  <c r="AI219"/>
  <c r="AJ219"/>
  <c r="AK219"/>
  <c r="C220"/>
  <c r="H220"/>
  <c r="I220"/>
  <c r="J220"/>
  <c r="K220"/>
  <c r="M220"/>
  <c r="P220"/>
  <c r="R220"/>
  <c r="S220"/>
  <c r="T220"/>
  <c r="U220"/>
  <c r="X220"/>
  <c r="Y220"/>
  <c r="Z220"/>
  <c r="AA220"/>
  <c r="AB220"/>
  <c r="AC220"/>
  <c r="AD220"/>
  <c r="AE220"/>
  <c r="AF220"/>
  <c r="AG220"/>
  <c r="AH220"/>
  <c r="AI220"/>
  <c r="AJ220"/>
  <c r="AK220"/>
  <c r="C221"/>
  <c r="H221"/>
  <c r="I221"/>
  <c r="J221"/>
  <c r="K221"/>
  <c r="M221"/>
  <c r="P221"/>
  <c r="R221"/>
  <c r="S221"/>
  <c r="T221"/>
  <c r="U221"/>
  <c r="X221"/>
  <c r="Y221"/>
  <c r="Z221"/>
  <c r="AA221"/>
  <c r="AB221"/>
  <c r="AC221"/>
  <c r="AD221"/>
  <c r="AE221"/>
  <c r="AF221"/>
  <c r="AG221"/>
  <c r="AH221"/>
  <c r="AI221"/>
  <c r="AJ221"/>
  <c r="AK221"/>
  <c r="C202"/>
  <c r="H202"/>
  <c r="I202"/>
  <c r="J202"/>
  <c r="K202"/>
  <c r="M202"/>
  <c r="P202"/>
  <c r="R202"/>
  <c r="S202"/>
  <c r="T202"/>
  <c r="U202"/>
  <c r="X202"/>
  <c r="Y202"/>
  <c r="Z202"/>
  <c r="AA202"/>
  <c r="AB202"/>
  <c r="AC202"/>
  <c r="AD202"/>
  <c r="AE202"/>
  <c r="AF202"/>
  <c r="AG202"/>
  <c r="AH202"/>
  <c r="AI202"/>
  <c r="AJ202"/>
  <c r="AK202"/>
  <c r="C203"/>
  <c r="H203"/>
  <c r="I203"/>
  <c r="J203"/>
  <c r="K203"/>
  <c r="M203"/>
  <c r="P203"/>
  <c r="R203"/>
  <c r="S203"/>
  <c r="T203"/>
  <c r="U203"/>
  <c r="X203"/>
  <c r="Y203"/>
  <c r="Z203"/>
  <c r="AA203"/>
  <c r="AB203"/>
  <c r="AC203"/>
  <c r="AD203"/>
  <c r="AE203"/>
  <c r="AF203"/>
  <c r="AG203"/>
  <c r="AH203"/>
  <c r="AI203"/>
  <c r="AJ203"/>
  <c r="AK203"/>
  <c r="C204"/>
  <c r="H204"/>
  <c r="I204"/>
  <c r="J204"/>
  <c r="K204"/>
  <c r="M204"/>
  <c r="P204"/>
  <c r="R204"/>
  <c r="S204"/>
  <c r="T204"/>
  <c r="U204"/>
  <c r="X204"/>
  <c r="Y204"/>
  <c r="Z204"/>
  <c r="AA204"/>
  <c r="AB204"/>
  <c r="AC204"/>
  <c r="AD204"/>
  <c r="AE204"/>
  <c r="AF204"/>
  <c r="AG204"/>
  <c r="AH204"/>
  <c r="AI204"/>
  <c r="AJ204"/>
  <c r="AK204"/>
  <c r="C205"/>
  <c r="H205"/>
  <c r="I205"/>
  <c r="J205"/>
  <c r="K205"/>
  <c r="M205"/>
  <c r="P205"/>
  <c r="R205"/>
  <c r="S205"/>
  <c r="T205"/>
  <c r="U205"/>
  <c r="X205"/>
  <c r="Y205"/>
  <c r="Z205"/>
  <c r="AA205"/>
  <c r="AB205"/>
  <c r="AC205"/>
  <c r="AD205"/>
  <c r="AE205"/>
  <c r="AF205"/>
  <c r="AG205"/>
  <c r="AH205"/>
  <c r="AI205"/>
  <c r="AJ205"/>
  <c r="AK205"/>
  <c r="C206"/>
  <c r="H206"/>
  <c r="I206"/>
  <c r="J206"/>
  <c r="K206"/>
  <c r="M206"/>
  <c r="P206"/>
  <c r="R206"/>
  <c r="S206"/>
  <c r="T206"/>
  <c r="U206"/>
  <c r="X206"/>
  <c r="Y206"/>
  <c r="Z206"/>
  <c r="AA206"/>
  <c r="AB206"/>
  <c r="AC206"/>
  <c r="AD206"/>
  <c r="AE206"/>
  <c r="AF206"/>
  <c r="AG206"/>
  <c r="AH206"/>
  <c r="AI206"/>
  <c r="AJ206"/>
  <c r="AK206"/>
  <c r="C207"/>
  <c r="H207"/>
  <c r="I207"/>
  <c r="J207"/>
  <c r="K207"/>
  <c r="M207"/>
  <c r="P207"/>
  <c r="R207"/>
  <c r="S207"/>
  <c r="T207"/>
  <c r="U207"/>
  <c r="X207"/>
  <c r="Y207"/>
  <c r="Z207"/>
  <c r="AA207"/>
  <c r="AB207"/>
  <c r="AC207"/>
  <c r="AD207"/>
  <c r="AE207"/>
  <c r="AF207"/>
  <c r="AG207"/>
  <c r="AH207"/>
  <c r="AI207"/>
  <c r="AJ207"/>
  <c r="AK207"/>
  <c r="C208"/>
  <c r="H208"/>
  <c r="I208"/>
  <c r="J208"/>
  <c r="K208"/>
  <c r="M208"/>
  <c r="P208"/>
  <c r="R208"/>
  <c r="S208"/>
  <c r="T208"/>
  <c r="U208"/>
  <c r="X208"/>
  <c r="Y208"/>
  <c r="Z208"/>
  <c r="AA208"/>
  <c r="AB208"/>
  <c r="AC208"/>
  <c r="AD208"/>
  <c r="AE208"/>
  <c r="AF208"/>
  <c r="AG208"/>
  <c r="AH208"/>
  <c r="AI208"/>
  <c r="AJ208"/>
  <c r="AK208"/>
  <c r="C209"/>
  <c r="H209"/>
  <c r="I209"/>
  <c r="J209"/>
  <c r="K209"/>
  <c r="M209"/>
  <c r="P209"/>
  <c r="R209"/>
  <c r="S209"/>
  <c r="T209"/>
  <c r="U209"/>
  <c r="X209"/>
  <c r="Y209"/>
  <c r="Z209"/>
  <c r="AA209"/>
  <c r="AB209"/>
  <c r="AC209"/>
  <c r="AD209"/>
  <c r="AE209"/>
  <c r="AF209"/>
  <c r="AG209"/>
  <c r="AH209"/>
  <c r="AI209"/>
  <c r="AJ209"/>
  <c r="AK209"/>
  <c r="C210"/>
  <c r="H210"/>
  <c r="I210"/>
  <c r="J210"/>
  <c r="K210"/>
  <c r="M210"/>
  <c r="P210"/>
  <c r="R210"/>
  <c r="S210"/>
  <c r="T210"/>
  <c r="U210"/>
  <c r="X210"/>
  <c r="Y210"/>
  <c r="Z210"/>
  <c r="AA210"/>
  <c r="AB210"/>
  <c r="AC210"/>
  <c r="AD210"/>
  <c r="AE210"/>
  <c r="AF210"/>
  <c r="AG210"/>
  <c r="AH210"/>
  <c r="AI210"/>
  <c r="AJ210"/>
  <c r="AK210"/>
  <c r="C211"/>
  <c r="H211"/>
  <c r="I211"/>
  <c r="J211"/>
  <c r="K211"/>
  <c r="M211"/>
  <c r="P211"/>
  <c r="R211"/>
  <c r="S211"/>
  <c r="T211"/>
  <c r="U211"/>
  <c r="X211"/>
  <c r="Y211"/>
  <c r="Z211"/>
  <c r="AA211"/>
  <c r="AB211"/>
  <c r="AC211"/>
  <c r="AD211"/>
  <c r="AE211"/>
  <c r="AF211"/>
  <c r="AG211"/>
  <c r="AH211"/>
  <c r="AI211"/>
  <c r="AJ211"/>
  <c r="AK211"/>
  <c r="C192"/>
  <c r="H192"/>
  <c r="I192"/>
  <c r="J192"/>
  <c r="K192"/>
  <c r="M192"/>
  <c r="P192"/>
  <c r="R192"/>
  <c r="S192"/>
  <c r="T192"/>
  <c r="U192"/>
  <c r="X192"/>
  <c r="Y192"/>
  <c r="Z192"/>
  <c r="AA192"/>
  <c r="AB192"/>
  <c r="AC192"/>
  <c r="AD192"/>
  <c r="AE192"/>
  <c r="AF192"/>
  <c r="AG192"/>
  <c r="AH192"/>
  <c r="AI192"/>
  <c r="AJ192"/>
  <c r="AK192"/>
  <c r="C193"/>
  <c r="H193"/>
  <c r="I193"/>
  <c r="J193"/>
  <c r="K193"/>
  <c r="M193"/>
  <c r="P193"/>
  <c r="R193"/>
  <c r="S193"/>
  <c r="T193"/>
  <c r="U193"/>
  <c r="X193"/>
  <c r="Y193"/>
  <c r="Z193"/>
  <c r="AA193"/>
  <c r="AB193"/>
  <c r="AC193"/>
  <c r="AD193"/>
  <c r="AE193"/>
  <c r="AF193"/>
  <c r="AG193"/>
  <c r="AH193"/>
  <c r="AI193"/>
  <c r="AJ193"/>
  <c r="AK193"/>
  <c r="C194"/>
  <c r="H194"/>
  <c r="I194"/>
  <c r="J194"/>
  <c r="K194"/>
  <c r="M194"/>
  <c r="P194"/>
  <c r="R194"/>
  <c r="S194"/>
  <c r="T194"/>
  <c r="U194"/>
  <c r="X194"/>
  <c r="Y194"/>
  <c r="Z194"/>
  <c r="AA194"/>
  <c r="AB194"/>
  <c r="AC194"/>
  <c r="AD194"/>
  <c r="AE194"/>
  <c r="AF194"/>
  <c r="AG194"/>
  <c r="AH194"/>
  <c r="AI194"/>
  <c r="AJ194"/>
  <c r="AK194"/>
  <c r="C195"/>
  <c r="H195"/>
  <c r="I195"/>
  <c r="J195"/>
  <c r="K195"/>
  <c r="M195"/>
  <c r="P195"/>
  <c r="R195"/>
  <c r="S195"/>
  <c r="T195"/>
  <c r="U195"/>
  <c r="X195"/>
  <c r="Y195"/>
  <c r="Z195"/>
  <c r="AA195"/>
  <c r="AB195"/>
  <c r="AC195"/>
  <c r="AD195"/>
  <c r="AE195"/>
  <c r="AF195"/>
  <c r="AG195"/>
  <c r="AH195"/>
  <c r="AI195"/>
  <c r="AJ195"/>
  <c r="AK195"/>
  <c r="C196"/>
  <c r="H196"/>
  <c r="I196"/>
  <c r="J196"/>
  <c r="K196"/>
  <c r="M196"/>
  <c r="P196"/>
  <c r="R196"/>
  <c r="S196"/>
  <c r="T196"/>
  <c r="U196"/>
  <c r="X196"/>
  <c r="Y196"/>
  <c r="Z196"/>
  <c r="AA196"/>
  <c r="AB196"/>
  <c r="AC196"/>
  <c r="AD196"/>
  <c r="AE196"/>
  <c r="AF196"/>
  <c r="AG196"/>
  <c r="AH196"/>
  <c r="AI196"/>
  <c r="AJ196"/>
  <c r="AK196"/>
  <c r="C197"/>
  <c r="H197"/>
  <c r="I197"/>
  <c r="J197"/>
  <c r="K197"/>
  <c r="M197"/>
  <c r="P197"/>
  <c r="R197"/>
  <c r="S197"/>
  <c r="T197"/>
  <c r="U197"/>
  <c r="X197"/>
  <c r="Y197"/>
  <c r="Z197"/>
  <c r="AA197"/>
  <c r="AB197"/>
  <c r="AC197"/>
  <c r="AD197"/>
  <c r="AE197"/>
  <c r="AF197"/>
  <c r="AG197"/>
  <c r="AH197"/>
  <c r="AI197"/>
  <c r="AJ197"/>
  <c r="AK197"/>
  <c r="C198"/>
  <c r="H198"/>
  <c r="I198"/>
  <c r="J198"/>
  <c r="K198"/>
  <c r="M198"/>
  <c r="P198"/>
  <c r="R198"/>
  <c r="S198"/>
  <c r="T198"/>
  <c r="U198"/>
  <c r="X198"/>
  <c r="Y198"/>
  <c r="Z198"/>
  <c r="AA198"/>
  <c r="AB198"/>
  <c r="AC198"/>
  <c r="AD198"/>
  <c r="AE198"/>
  <c r="AF198"/>
  <c r="AG198"/>
  <c r="AH198"/>
  <c r="AI198"/>
  <c r="AJ198"/>
  <c r="AK198"/>
  <c r="C199"/>
  <c r="H199"/>
  <c r="I199"/>
  <c r="J199"/>
  <c r="K199"/>
  <c r="M199"/>
  <c r="P199"/>
  <c r="R199"/>
  <c r="S199"/>
  <c r="T199"/>
  <c r="U199"/>
  <c r="X199"/>
  <c r="Y199"/>
  <c r="Z199"/>
  <c r="AA199"/>
  <c r="AB199"/>
  <c r="AC199"/>
  <c r="AD199"/>
  <c r="AE199"/>
  <c r="AF199"/>
  <c r="AG199"/>
  <c r="AH199"/>
  <c r="AI199"/>
  <c r="AJ199"/>
  <c r="AK199"/>
  <c r="C200"/>
  <c r="H200"/>
  <c r="I200"/>
  <c r="J200"/>
  <c r="K200"/>
  <c r="M200"/>
  <c r="P200"/>
  <c r="R200"/>
  <c r="S200"/>
  <c r="T200"/>
  <c r="U200"/>
  <c r="X200"/>
  <c r="Y200"/>
  <c r="Z200"/>
  <c r="AA200"/>
  <c r="AB200"/>
  <c r="AC200"/>
  <c r="AD200"/>
  <c r="AE200"/>
  <c r="AF200"/>
  <c r="AG200"/>
  <c r="AH200"/>
  <c r="AI200"/>
  <c r="AJ200"/>
  <c r="AK200"/>
  <c r="C201"/>
  <c r="H201"/>
  <c r="I201"/>
  <c r="J201"/>
  <c r="K201"/>
  <c r="M201"/>
  <c r="P201"/>
  <c r="R201"/>
  <c r="S201"/>
  <c r="T201"/>
  <c r="U201"/>
  <c r="X201"/>
  <c r="Y201"/>
  <c r="Z201"/>
  <c r="AA201"/>
  <c r="AB201"/>
  <c r="AC201"/>
  <c r="AD201"/>
  <c r="AE201"/>
  <c r="AF201"/>
  <c r="AG201"/>
  <c r="AH201"/>
  <c r="AI201"/>
  <c r="AJ201"/>
  <c r="AK201"/>
  <c r="C182"/>
  <c r="H182"/>
  <c r="I182"/>
  <c r="J182"/>
  <c r="K182"/>
  <c r="M182"/>
  <c r="P182"/>
  <c r="R182"/>
  <c r="S182"/>
  <c r="T182"/>
  <c r="U182"/>
  <c r="X182"/>
  <c r="Y182"/>
  <c r="Z182"/>
  <c r="AA182"/>
  <c r="AB182"/>
  <c r="AC182"/>
  <c r="AD182"/>
  <c r="AE182"/>
  <c r="AF182"/>
  <c r="AG182"/>
  <c r="AH182"/>
  <c r="AI182"/>
  <c r="AJ182"/>
  <c r="AK182"/>
  <c r="C183"/>
  <c r="H183"/>
  <c r="I183"/>
  <c r="J183"/>
  <c r="K183"/>
  <c r="M183"/>
  <c r="P183"/>
  <c r="R183"/>
  <c r="S183"/>
  <c r="T183"/>
  <c r="U183"/>
  <c r="X183"/>
  <c r="Y183"/>
  <c r="Z183"/>
  <c r="AA183"/>
  <c r="AB183"/>
  <c r="AC183"/>
  <c r="AD183"/>
  <c r="AE183"/>
  <c r="AF183"/>
  <c r="AG183"/>
  <c r="AH183"/>
  <c r="AI183"/>
  <c r="AJ183"/>
  <c r="AK183"/>
  <c r="C184"/>
  <c r="H184"/>
  <c r="I184"/>
  <c r="J184"/>
  <c r="K184"/>
  <c r="M184"/>
  <c r="P184"/>
  <c r="R184"/>
  <c r="S184"/>
  <c r="T184"/>
  <c r="U184"/>
  <c r="X184"/>
  <c r="Y184"/>
  <c r="Z184"/>
  <c r="AA184"/>
  <c r="AB184"/>
  <c r="AC184"/>
  <c r="AD184"/>
  <c r="AE184"/>
  <c r="AF184"/>
  <c r="AG184"/>
  <c r="AH184"/>
  <c r="AI184"/>
  <c r="AJ184"/>
  <c r="AK184"/>
  <c r="C185"/>
  <c r="H185"/>
  <c r="I185"/>
  <c r="J185"/>
  <c r="K185"/>
  <c r="M185"/>
  <c r="P185"/>
  <c r="R185"/>
  <c r="S185"/>
  <c r="T185"/>
  <c r="U185"/>
  <c r="X185"/>
  <c r="Y185"/>
  <c r="Z185"/>
  <c r="AA185"/>
  <c r="AB185"/>
  <c r="AC185"/>
  <c r="AD185"/>
  <c r="AE185"/>
  <c r="AF185"/>
  <c r="AG185"/>
  <c r="AH185"/>
  <c r="AI185"/>
  <c r="AJ185"/>
  <c r="AK185"/>
  <c r="C186"/>
  <c r="H186"/>
  <c r="I186"/>
  <c r="J186"/>
  <c r="K186"/>
  <c r="M186"/>
  <c r="P186"/>
  <c r="R186"/>
  <c r="S186"/>
  <c r="T186"/>
  <c r="U186"/>
  <c r="X186"/>
  <c r="Y186"/>
  <c r="Z186"/>
  <c r="AA186"/>
  <c r="AB186"/>
  <c r="AC186"/>
  <c r="AD186"/>
  <c r="AE186"/>
  <c r="AF186"/>
  <c r="AG186"/>
  <c r="AH186"/>
  <c r="AI186"/>
  <c r="AJ186"/>
  <c r="AK186"/>
  <c r="C187"/>
  <c r="H187"/>
  <c r="I187"/>
  <c r="J187"/>
  <c r="K187"/>
  <c r="M187"/>
  <c r="P187"/>
  <c r="R187"/>
  <c r="S187"/>
  <c r="T187"/>
  <c r="U187"/>
  <c r="X187"/>
  <c r="Y187"/>
  <c r="Z187"/>
  <c r="AA187"/>
  <c r="AB187"/>
  <c r="AC187"/>
  <c r="AD187"/>
  <c r="AE187"/>
  <c r="AF187"/>
  <c r="AG187"/>
  <c r="AH187"/>
  <c r="AI187"/>
  <c r="AJ187"/>
  <c r="AK187"/>
  <c r="C188"/>
  <c r="H188"/>
  <c r="I188"/>
  <c r="J188"/>
  <c r="K188"/>
  <c r="M188"/>
  <c r="P188"/>
  <c r="R188"/>
  <c r="S188"/>
  <c r="T188"/>
  <c r="U188"/>
  <c r="X188"/>
  <c r="Y188"/>
  <c r="Z188"/>
  <c r="AA188"/>
  <c r="AB188"/>
  <c r="AC188"/>
  <c r="AD188"/>
  <c r="AE188"/>
  <c r="AF188"/>
  <c r="AG188"/>
  <c r="AH188"/>
  <c r="AI188"/>
  <c r="AJ188"/>
  <c r="AK188"/>
  <c r="C189"/>
  <c r="H189"/>
  <c r="I189"/>
  <c r="J189"/>
  <c r="K189"/>
  <c r="M189"/>
  <c r="P189"/>
  <c r="R189"/>
  <c r="S189"/>
  <c r="T189"/>
  <c r="U189"/>
  <c r="X189"/>
  <c r="Y189"/>
  <c r="Z189"/>
  <c r="AA189"/>
  <c r="AB189"/>
  <c r="AC189"/>
  <c r="AD189"/>
  <c r="AE189"/>
  <c r="AF189"/>
  <c r="AG189"/>
  <c r="AH189"/>
  <c r="AI189"/>
  <c r="AJ189"/>
  <c r="AK189"/>
  <c r="C190"/>
  <c r="H190"/>
  <c r="I190"/>
  <c r="J190"/>
  <c r="K190"/>
  <c r="M190"/>
  <c r="P190"/>
  <c r="R190"/>
  <c r="S190"/>
  <c r="T190"/>
  <c r="U190"/>
  <c r="X190"/>
  <c r="Y190"/>
  <c r="Z190"/>
  <c r="AA190"/>
  <c r="AB190"/>
  <c r="AC190"/>
  <c r="AD190"/>
  <c r="AE190"/>
  <c r="AF190"/>
  <c r="AG190"/>
  <c r="AH190"/>
  <c r="AI190"/>
  <c r="AJ190"/>
  <c r="AK190"/>
  <c r="C191"/>
  <c r="H191"/>
  <c r="I191"/>
  <c r="J191"/>
  <c r="K191"/>
  <c r="M191"/>
  <c r="P191"/>
  <c r="R191"/>
  <c r="S191"/>
  <c r="T191"/>
  <c r="U191"/>
  <c r="X191"/>
  <c r="Y191"/>
  <c r="Z191"/>
  <c r="AA191"/>
  <c r="AB191"/>
  <c r="AC191"/>
  <c r="AD191"/>
  <c r="AE191"/>
  <c r="AF191"/>
  <c r="AG191"/>
  <c r="AH191"/>
  <c r="AI191"/>
  <c r="AJ191"/>
  <c r="AK191"/>
  <c r="C172"/>
  <c r="H172"/>
  <c r="I172"/>
  <c r="J172"/>
  <c r="K172"/>
  <c r="M172"/>
  <c r="P172"/>
  <c r="R172"/>
  <c r="S172"/>
  <c r="T172"/>
  <c r="U172"/>
  <c r="X172"/>
  <c r="Y172"/>
  <c r="Z172"/>
  <c r="AA172"/>
  <c r="AB172"/>
  <c r="AC172"/>
  <c r="AD172"/>
  <c r="AE172"/>
  <c r="AF172"/>
  <c r="AG172"/>
  <c r="AH172"/>
  <c r="AI172"/>
  <c r="AJ172"/>
  <c r="AK172"/>
  <c r="C173"/>
  <c r="H173"/>
  <c r="I173"/>
  <c r="J173"/>
  <c r="K173"/>
  <c r="M173"/>
  <c r="P173"/>
  <c r="R173"/>
  <c r="S173"/>
  <c r="T173"/>
  <c r="U173"/>
  <c r="X173"/>
  <c r="Y173"/>
  <c r="Z173"/>
  <c r="AA173"/>
  <c r="AB173"/>
  <c r="AC173"/>
  <c r="AD173"/>
  <c r="AE173"/>
  <c r="AF173"/>
  <c r="AG173"/>
  <c r="AH173"/>
  <c r="AI173"/>
  <c r="AJ173"/>
  <c r="AK173"/>
  <c r="C174"/>
  <c r="H174"/>
  <c r="I174"/>
  <c r="J174"/>
  <c r="K174"/>
  <c r="M174"/>
  <c r="P174"/>
  <c r="R174"/>
  <c r="S174"/>
  <c r="T174"/>
  <c r="U174"/>
  <c r="X174"/>
  <c r="Y174"/>
  <c r="Z174"/>
  <c r="AA174"/>
  <c r="AB174"/>
  <c r="AC174"/>
  <c r="AD174"/>
  <c r="AE174"/>
  <c r="AF174"/>
  <c r="AG174"/>
  <c r="AH174"/>
  <c r="AI174"/>
  <c r="AJ174"/>
  <c r="AK174"/>
  <c r="C175"/>
  <c r="H175"/>
  <c r="I175"/>
  <c r="J175"/>
  <c r="K175"/>
  <c r="M175"/>
  <c r="P175"/>
  <c r="R175"/>
  <c r="S175"/>
  <c r="T175"/>
  <c r="U175"/>
  <c r="X175"/>
  <c r="Y175"/>
  <c r="Z175"/>
  <c r="AA175"/>
  <c r="AB175"/>
  <c r="AC175"/>
  <c r="AD175"/>
  <c r="AE175"/>
  <c r="AF175"/>
  <c r="AG175"/>
  <c r="AH175"/>
  <c r="AI175"/>
  <c r="AJ175"/>
  <c r="AK175"/>
  <c r="C176"/>
  <c r="H176"/>
  <c r="I176"/>
  <c r="J176"/>
  <c r="K176"/>
  <c r="M176"/>
  <c r="P176"/>
  <c r="R176"/>
  <c r="S176"/>
  <c r="T176"/>
  <c r="U176"/>
  <c r="X176"/>
  <c r="Y176"/>
  <c r="Z176"/>
  <c r="AA176"/>
  <c r="AB176"/>
  <c r="AC176"/>
  <c r="AD176"/>
  <c r="AE176"/>
  <c r="AF176"/>
  <c r="AG176"/>
  <c r="AH176"/>
  <c r="AI176"/>
  <c r="AJ176"/>
  <c r="AK176"/>
  <c r="C177"/>
  <c r="H177"/>
  <c r="I177"/>
  <c r="J177"/>
  <c r="K177"/>
  <c r="M177"/>
  <c r="P177"/>
  <c r="R177"/>
  <c r="S177"/>
  <c r="T177"/>
  <c r="U177"/>
  <c r="X177"/>
  <c r="Y177"/>
  <c r="Z177"/>
  <c r="AA177"/>
  <c r="AB177"/>
  <c r="AC177"/>
  <c r="AD177"/>
  <c r="AE177"/>
  <c r="AF177"/>
  <c r="AG177"/>
  <c r="AH177"/>
  <c r="AI177"/>
  <c r="AJ177"/>
  <c r="AK177"/>
  <c r="C178"/>
  <c r="H178"/>
  <c r="I178"/>
  <c r="J178"/>
  <c r="K178"/>
  <c r="M178"/>
  <c r="P178"/>
  <c r="R178"/>
  <c r="S178"/>
  <c r="T178"/>
  <c r="U178"/>
  <c r="X178"/>
  <c r="Y178"/>
  <c r="Z178"/>
  <c r="AA178"/>
  <c r="AB178"/>
  <c r="AC178"/>
  <c r="AD178"/>
  <c r="AE178"/>
  <c r="AF178"/>
  <c r="AG178"/>
  <c r="AH178"/>
  <c r="AI178"/>
  <c r="AJ178"/>
  <c r="AK178"/>
  <c r="C179"/>
  <c r="H179"/>
  <c r="I179"/>
  <c r="J179"/>
  <c r="K179"/>
  <c r="M179"/>
  <c r="P179"/>
  <c r="R179"/>
  <c r="S179"/>
  <c r="T179"/>
  <c r="U179"/>
  <c r="X179"/>
  <c r="Y179"/>
  <c r="Z179"/>
  <c r="AA179"/>
  <c r="AB179"/>
  <c r="AC179"/>
  <c r="AD179"/>
  <c r="AE179"/>
  <c r="AF179"/>
  <c r="AG179"/>
  <c r="AH179"/>
  <c r="AI179"/>
  <c r="AJ179"/>
  <c r="AK179"/>
  <c r="C180"/>
  <c r="H180"/>
  <c r="I180"/>
  <c r="J180"/>
  <c r="K180"/>
  <c r="M180"/>
  <c r="P180"/>
  <c r="R180"/>
  <c r="S180"/>
  <c r="T180"/>
  <c r="U180"/>
  <c r="X180"/>
  <c r="Y180"/>
  <c r="Z180"/>
  <c r="AA180"/>
  <c r="AB180"/>
  <c r="AC180"/>
  <c r="AD180"/>
  <c r="AE180"/>
  <c r="AF180"/>
  <c r="AG180"/>
  <c r="AH180"/>
  <c r="AI180"/>
  <c r="AJ180"/>
  <c r="AK180"/>
  <c r="C181"/>
  <c r="H181"/>
  <c r="I181"/>
  <c r="J181"/>
  <c r="K181"/>
  <c r="M181"/>
  <c r="P181"/>
  <c r="R181"/>
  <c r="S181"/>
  <c r="T181"/>
  <c r="U181"/>
  <c r="X181"/>
  <c r="Y181"/>
  <c r="Z181"/>
  <c r="AA181"/>
  <c r="AB181"/>
  <c r="AC181"/>
  <c r="AD181"/>
  <c r="AE181"/>
  <c r="AF181"/>
  <c r="AG181"/>
  <c r="AH181"/>
  <c r="AI181"/>
  <c r="AJ181"/>
  <c r="AK181"/>
  <c r="C162"/>
  <c r="H162"/>
  <c r="I162"/>
  <c r="J162"/>
  <c r="K162"/>
  <c r="M162"/>
  <c r="P162"/>
  <c r="R162"/>
  <c r="S162"/>
  <c r="T162"/>
  <c r="U162"/>
  <c r="X162"/>
  <c r="Y162"/>
  <c r="Z162"/>
  <c r="AA162"/>
  <c r="AB162"/>
  <c r="AC162"/>
  <c r="AD162"/>
  <c r="AE162"/>
  <c r="AF162"/>
  <c r="AG162"/>
  <c r="AH162"/>
  <c r="AI162"/>
  <c r="AJ162"/>
  <c r="AK162"/>
  <c r="C163"/>
  <c r="H163"/>
  <c r="I163"/>
  <c r="J163"/>
  <c r="K163"/>
  <c r="M163"/>
  <c r="P163"/>
  <c r="R163"/>
  <c r="S163"/>
  <c r="T163"/>
  <c r="U163"/>
  <c r="X163"/>
  <c r="Y163"/>
  <c r="Z163"/>
  <c r="AA163"/>
  <c r="AB163"/>
  <c r="AC163"/>
  <c r="AD163"/>
  <c r="AE163"/>
  <c r="AF163"/>
  <c r="AG163"/>
  <c r="AH163"/>
  <c r="AI163"/>
  <c r="AJ163"/>
  <c r="AK163"/>
  <c r="C164"/>
  <c r="H164"/>
  <c r="I164"/>
  <c r="J164"/>
  <c r="K164"/>
  <c r="M164"/>
  <c r="P164"/>
  <c r="R164"/>
  <c r="S164"/>
  <c r="T164"/>
  <c r="U164"/>
  <c r="X164"/>
  <c r="Y164"/>
  <c r="Z164"/>
  <c r="AA164"/>
  <c r="AB164"/>
  <c r="AC164"/>
  <c r="AD164"/>
  <c r="AE164"/>
  <c r="AF164"/>
  <c r="AG164"/>
  <c r="AH164"/>
  <c r="AI164"/>
  <c r="AJ164"/>
  <c r="AK164"/>
  <c r="C165"/>
  <c r="H165"/>
  <c r="I165"/>
  <c r="J165"/>
  <c r="K165"/>
  <c r="M165"/>
  <c r="P165"/>
  <c r="R165"/>
  <c r="S165"/>
  <c r="T165"/>
  <c r="U165"/>
  <c r="X165"/>
  <c r="Y165"/>
  <c r="Z165"/>
  <c r="AA165"/>
  <c r="AB165"/>
  <c r="AC165"/>
  <c r="AD165"/>
  <c r="AE165"/>
  <c r="AF165"/>
  <c r="AG165"/>
  <c r="AH165"/>
  <c r="AI165"/>
  <c r="AJ165"/>
  <c r="AK165"/>
  <c r="C166"/>
  <c r="H166"/>
  <c r="I166"/>
  <c r="J166"/>
  <c r="K166"/>
  <c r="M166"/>
  <c r="P166"/>
  <c r="R166"/>
  <c r="S166"/>
  <c r="T166"/>
  <c r="U166"/>
  <c r="X166"/>
  <c r="Y166"/>
  <c r="Z166"/>
  <c r="AA166"/>
  <c r="AB166"/>
  <c r="AC166"/>
  <c r="AD166"/>
  <c r="AE166"/>
  <c r="AF166"/>
  <c r="AG166"/>
  <c r="AH166"/>
  <c r="AI166"/>
  <c r="AJ166"/>
  <c r="AK166"/>
  <c r="C167"/>
  <c r="H167"/>
  <c r="I167"/>
  <c r="J167"/>
  <c r="K167"/>
  <c r="M167"/>
  <c r="P167"/>
  <c r="R167"/>
  <c r="S167"/>
  <c r="T167"/>
  <c r="U167"/>
  <c r="X167"/>
  <c r="Y167"/>
  <c r="Z167"/>
  <c r="AA167"/>
  <c r="AB167"/>
  <c r="AC167"/>
  <c r="AD167"/>
  <c r="AE167"/>
  <c r="AF167"/>
  <c r="AG167"/>
  <c r="AH167"/>
  <c r="AI167"/>
  <c r="AJ167"/>
  <c r="AK167"/>
  <c r="C168"/>
  <c r="H168"/>
  <c r="I168"/>
  <c r="J168"/>
  <c r="K168"/>
  <c r="M168"/>
  <c r="P168"/>
  <c r="R168"/>
  <c r="S168"/>
  <c r="T168"/>
  <c r="U168"/>
  <c r="X168"/>
  <c r="Y168"/>
  <c r="Z168"/>
  <c r="AA168"/>
  <c r="AB168"/>
  <c r="AC168"/>
  <c r="AD168"/>
  <c r="AE168"/>
  <c r="AF168"/>
  <c r="AG168"/>
  <c r="AH168"/>
  <c r="AI168"/>
  <c r="AJ168"/>
  <c r="AK168"/>
  <c r="C169"/>
  <c r="H169"/>
  <c r="I169"/>
  <c r="J169"/>
  <c r="K169"/>
  <c r="M169"/>
  <c r="P169"/>
  <c r="R169"/>
  <c r="S169"/>
  <c r="T169"/>
  <c r="U169"/>
  <c r="X169"/>
  <c r="Y169"/>
  <c r="Z169"/>
  <c r="AA169"/>
  <c r="AB169"/>
  <c r="AC169"/>
  <c r="AD169"/>
  <c r="AE169"/>
  <c r="AF169"/>
  <c r="AG169"/>
  <c r="AH169"/>
  <c r="AI169"/>
  <c r="AJ169"/>
  <c r="AK169"/>
  <c r="C170"/>
  <c r="H170"/>
  <c r="I170"/>
  <c r="J170"/>
  <c r="K170"/>
  <c r="M170"/>
  <c r="P170"/>
  <c r="R170"/>
  <c r="S170"/>
  <c r="T170"/>
  <c r="U170"/>
  <c r="X170"/>
  <c r="Y170"/>
  <c r="Z170"/>
  <c r="AA170"/>
  <c r="AB170"/>
  <c r="AC170"/>
  <c r="AD170"/>
  <c r="AE170"/>
  <c r="AF170"/>
  <c r="AG170"/>
  <c r="AH170"/>
  <c r="AI170"/>
  <c r="AJ170"/>
  <c r="AK170"/>
  <c r="C171"/>
  <c r="H171"/>
  <c r="I171"/>
  <c r="J171"/>
  <c r="K171"/>
  <c r="M171"/>
  <c r="P171"/>
  <c r="R171"/>
  <c r="S171"/>
  <c r="T171"/>
  <c r="U171"/>
  <c r="X171"/>
  <c r="Y171"/>
  <c r="Z171"/>
  <c r="AA171"/>
  <c r="AB171"/>
  <c r="AC171"/>
  <c r="AD171"/>
  <c r="AE171"/>
  <c r="AF171"/>
  <c r="AG171"/>
  <c r="AH171"/>
  <c r="AI171"/>
  <c r="AJ171"/>
  <c r="AK171"/>
  <c r="C152"/>
  <c r="H152"/>
  <c r="I152"/>
  <c r="J152"/>
  <c r="K152"/>
  <c r="M152"/>
  <c r="P152"/>
  <c r="R152"/>
  <c r="S152"/>
  <c r="T152"/>
  <c r="U152"/>
  <c r="X152"/>
  <c r="Y152"/>
  <c r="Z152"/>
  <c r="AA152"/>
  <c r="AB152"/>
  <c r="AC152"/>
  <c r="AD152"/>
  <c r="AE152"/>
  <c r="AF152"/>
  <c r="AG152"/>
  <c r="AH152"/>
  <c r="AI152"/>
  <c r="AJ152"/>
  <c r="AK152"/>
  <c r="C153"/>
  <c r="H153"/>
  <c r="I153"/>
  <c r="J153"/>
  <c r="K153"/>
  <c r="M153"/>
  <c r="P153"/>
  <c r="R153"/>
  <c r="S153"/>
  <c r="T153"/>
  <c r="U153"/>
  <c r="X153"/>
  <c r="Y153"/>
  <c r="Z153"/>
  <c r="AA153"/>
  <c r="AB153"/>
  <c r="AC153"/>
  <c r="AD153"/>
  <c r="AE153"/>
  <c r="AF153"/>
  <c r="AG153"/>
  <c r="AH153"/>
  <c r="AI153"/>
  <c r="AJ153"/>
  <c r="AK153"/>
  <c r="C154"/>
  <c r="H154"/>
  <c r="I154"/>
  <c r="J154"/>
  <c r="K154"/>
  <c r="M154"/>
  <c r="P154"/>
  <c r="R154"/>
  <c r="S154"/>
  <c r="T154"/>
  <c r="U154"/>
  <c r="X154"/>
  <c r="Y154"/>
  <c r="Z154"/>
  <c r="AA154"/>
  <c r="AB154"/>
  <c r="AC154"/>
  <c r="AD154"/>
  <c r="AE154"/>
  <c r="AF154"/>
  <c r="AG154"/>
  <c r="AH154"/>
  <c r="AI154"/>
  <c r="AJ154"/>
  <c r="AK154"/>
  <c r="C155"/>
  <c r="H155"/>
  <c r="I155"/>
  <c r="J155"/>
  <c r="K155"/>
  <c r="M155"/>
  <c r="P155"/>
  <c r="R155"/>
  <c r="S155"/>
  <c r="T155"/>
  <c r="U155"/>
  <c r="X155"/>
  <c r="Y155"/>
  <c r="Z155"/>
  <c r="AA155"/>
  <c r="AB155"/>
  <c r="AC155"/>
  <c r="AD155"/>
  <c r="AE155"/>
  <c r="AF155"/>
  <c r="AG155"/>
  <c r="AH155"/>
  <c r="AI155"/>
  <c r="AJ155"/>
  <c r="AK155"/>
  <c r="C156"/>
  <c r="H156"/>
  <c r="I156"/>
  <c r="J156"/>
  <c r="K156"/>
  <c r="M156"/>
  <c r="P156"/>
  <c r="R156"/>
  <c r="S156"/>
  <c r="T156"/>
  <c r="U156"/>
  <c r="X156"/>
  <c r="Y156"/>
  <c r="Z156"/>
  <c r="AA156"/>
  <c r="AB156"/>
  <c r="AC156"/>
  <c r="AD156"/>
  <c r="AE156"/>
  <c r="AF156"/>
  <c r="AG156"/>
  <c r="AH156"/>
  <c r="AI156"/>
  <c r="AJ156"/>
  <c r="AK156"/>
  <c r="C157"/>
  <c r="H157"/>
  <c r="I157"/>
  <c r="J157"/>
  <c r="K157"/>
  <c r="M157"/>
  <c r="P157"/>
  <c r="R157"/>
  <c r="S157"/>
  <c r="T157"/>
  <c r="U157"/>
  <c r="X157"/>
  <c r="Y157"/>
  <c r="Z157"/>
  <c r="AA157"/>
  <c r="AB157"/>
  <c r="AC157"/>
  <c r="AD157"/>
  <c r="AE157"/>
  <c r="AF157"/>
  <c r="AG157"/>
  <c r="AH157"/>
  <c r="AI157"/>
  <c r="AJ157"/>
  <c r="AK157"/>
  <c r="C158"/>
  <c r="H158"/>
  <c r="I158"/>
  <c r="J158"/>
  <c r="K158"/>
  <c r="M158"/>
  <c r="P158"/>
  <c r="R158"/>
  <c r="S158"/>
  <c r="T158"/>
  <c r="U158"/>
  <c r="X158"/>
  <c r="Y158"/>
  <c r="Z158"/>
  <c r="AA158"/>
  <c r="AB158"/>
  <c r="AC158"/>
  <c r="AD158"/>
  <c r="AE158"/>
  <c r="AF158"/>
  <c r="AG158"/>
  <c r="AH158"/>
  <c r="AI158"/>
  <c r="AJ158"/>
  <c r="AK158"/>
  <c r="C159"/>
  <c r="H159"/>
  <c r="I159"/>
  <c r="J159"/>
  <c r="K159"/>
  <c r="M159"/>
  <c r="P159"/>
  <c r="R159"/>
  <c r="S159"/>
  <c r="T159"/>
  <c r="U159"/>
  <c r="X159"/>
  <c r="Y159"/>
  <c r="Z159"/>
  <c r="AA159"/>
  <c r="AB159"/>
  <c r="AC159"/>
  <c r="AD159"/>
  <c r="AE159"/>
  <c r="AF159"/>
  <c r="AG159"/>
  <c r="AH159"/>
  <c r="AI159"/>
  <c r="AJ159"/>
  <c r="AK159"/>
  <c r="C160"/>
  <c r="H160"/>
  <c r="I160"/>
  <c r="J160"/>
  <c r="K160"/>
  <c r="M160"/>
  <c r="P160"/>
  <c r="R160"/>
  <c r="S160"/>
  <c r="T160"/>
  <c r="U160"/>
  <c r="X160"/>
  <c r="Y160"/>
  <c r="Z160"/>
  <c r="AA160"/>
  <c r="AB160"/>
  <c r="AC160"/>
  <c r="AD160"/>
  <c r="AE160"/>
  <c r="AF160"/>
  <c r="AG160"/>
  <c r="AH160"/>
  <c r="AI160"/>
  <c r="AJ160"/>
  <c r="AK160"/>
  <c r="C161"/>
  <c r="H161"/>
  <c r="I161"/>
  <c r="J161"/>
  <c r="K161"/>
  <c r="M161"/>
  <c r="P161"/>
  <c r="R161"/>
  <c r="S161"/>
  <c r="T161"/>
  <c r="U161"/>
  <c r="X161"/>
  <c r="Y161"/>
  <c r="Z161"/>
  <c r="AA161"/>
  <c r="AB161"/>
  <c r="AC161"/>
  <c r="AD161"/>
  <c r="AE161"/>
  <c r="AF161"/>
  <c r="AG161"/>
  <c r="AH161"/>
  <c r="AI161"/>
  <c r="AJ161"/>
  <c r="AK161"/>
  <c r="C142"/>
  <c r="H142"/>
  <c r="I142"/>
  <c r="J142"/>
  <c r="K142"/>
  <c r="M142"/>
  <c r="P142"/>
  <c r="R142"/>
  <c r="S142"/>
  <c r="T142"/>
  <c r="U142"/>
  <c r="X142"/>
  <c r="Y142"/>
  <c r="Z142"/>
  <c r="AA142"/>
  <c r="AB142"/>
  <c r="AC142"/>
  <c r="AD142"/>
  <c r="AE142"/>
  <c r="AF142"/>
  <c r="AG142"/>
  <c r="AH142"/>
  <c r="AI142"/>
  <c r="AJ142"/>
  <c r="AK142"/>
  <c r="C143"/>
  <c r="H143"/>
  <c r="I143"/>
  <c r="J143"/>
  <c r="K143"/>
  <c r="M143"/>
  <c r="P143"/>
  <c r="R143"/>
  <c r="S143"/>
  <c r="T143"/>
  <c r="U143"/>
  <c r="X143"/>
  <c r="Y143"/>
  <c r="Z143"/>
  <c r="AA143"/>
  <c r="AB143"/>
  <c r="AC143"/>
  <c r="AD143"/>
  <c r="AE143"/>
  <c r="AF143"/>
  <c r="AG143"/>
  <c r="AH143"/>
  <c r="AI143"/>
  <c r="AJ143"/>
  <c r="AK143"/>
  <c r="C144"/>
  <c r="H144"/>
  <c r="I144"/>
  <c r="J144"/>
  <c r="K144"/>
  <c r="M144"/>
  <c r="P144"/>
  <c r="R144"/>
  <c r="S144"/>
  <c r="T144"/>
  <c r="U144"/>
  <c r="X144"/>
  <c r="Y144"/>
  <c r="Z144"/>
  <c r="AA144"/>
  <c r="AB144"/>
  <c r="AC144"/>
  <c r="AD144"/>
  <c r="AE144"/>
  <c r="AF144"/>
  <c r="AG144"/>
  <c r="AH144"/>
  <c r="AI144"/>
  <c r="AJ144"/>
  <c r="AK144"/>
  <c r="C145"/>
  <c r="H145"/>
  <c r="I145"/>
  <c r="J145"/>
  <c r="K145"/>
  <c r="M145"/>
  <c r="P145"/>
  <c r="R145"/>
  <c r="S145"/>
  <c r="T145"/>
  <c r="U145"/>
  <c r="X145"/>
  <c r="Y145"/>
  <c r="Z145"/>
  <c r="AA145"/>
  <c r="AB145"/>
  <c r="AC145"/>
  <c r="AD145"/>
  <c r="AE145"/>
  <c r="AF145"/>
  <c r="AG145"/>
  <c r="AH145"/>
  <c r="AI145"/>
  <c r="AJ145"/>
  <c r="AK145"/>
  <c r="C146"/>
  <c r="H146"/>
  <c r="I146"/>
  <c r="J146"/>
  <c r="K146"/>
  <c r="M146"/>
  <c r="P146"/>
  <c r="R146"/>
  <c r="S146"/>
  <c r="T146"/>
  <c r="U146"/>
  <c r="X146"/>
  <c r="Y146"/>
  <c r="Z146"/>
  <c r="AA146"/>
  <c r="AB146"/>
  <c r="AC146"/>
  <c r="AD146"/>
  <c r="AE146"/>
  <c r="AF146"/>
  <c r="AG146"/>
  <c r="AH146"/>
  <c r="AI146"/>
  <c r="AJ146"/>
  <c r="AK146"/>
  <c r="C147"/>
  <c r="H147"/>
  <c r="I147"/>
  <c r="J147"/>
  <c r="K147"/>
  <c r="M147"/>
  <c r="P147"/>
  <c r="R147"/>
  <c r="S147"/>
  <c r="T147"/>
  <c r="U147"/>
  <c r="X147"/>
  <c r="Y147"/>
  <c r="Z147"/>
  <c r="AA147"/>
  <c r="AB147"/>
  <c r="AC147"/>
  <c r="AD147"/>
  <c r="AE147"/>
  <c r="AF147"/>
  <c r="AG147"/>
  <c r="AH147"/>
  <c r="AI147"/>
  <c r="AJ147"/>
  <c r="AK147"/>
  <c r="C148"/>
  <c r="H148"/>
  <c r="I148"/>
  <c r="J148"/>
  <c r="K148"/>
  <c r="M148"/>
  <c r="P148"/>
  <c r="R148"/>
  <c r="S148"/>
  <c r="T148"/>
  <c r="U148"/>
  <c r="X148"/>
  <c r="Y148"/>
  <c r="Z148"/>
  <c r="AA148"/>
  <c r="AB148"/>
  <c r="AC148"/>
  <c r="AD148"/>
  <c r="AE148"/>
  <c r="AF148"/>
  <c r="AG148"/>
  <c r="AH148"/>
  <c r="AI148"/>
  <c r="AJ148"/>
  <c r="AK148"/>
  <c r="C149"/>
  <c r="H149"/>
  <c r="I149"/>
  <c r="J149"/>
  <c r="K149"/>
  <c r="M149"/>
  <c r="P149"/>
  <c r="R149"/>
  <c r="S149"/>
  <c r="T149"/>
  <c r="U149"/>
  <c r="X149"/>
  <c r="Y149"/>
  <c r="Z149"/>
  <c r="AA149"/>
  <c r="AB149"/>
  <c r="AC149"/>
  <c r="AD149"/>
  <c r="AE149"/>
  <c r="AF149"/>
  <c r="AG149"/>
  <c r="AH149"/>
  <c r="AI149"/>
  <c r="AJ149"/>
  <c r="AK149"/>
  <c r="C150"/>
  <c r="H150"/>
  <c r="I150"/>
  <c r="J150"/>
  <c r="K150"/>
  <c r="M150"/>
  <c r="P150"/>
  <c r="R150"/>
  <c r="S150"/>
  <c r="T150"/>
  <c r="U150"/>
  <c r="X150"/>
  <c r="Y150"/>
  <c r="Z150"/>
  <c r="AA150"/>
  <c r="AB150"/>
  <c r="AC150"/>
  <c r="AD150"/>
  <c r="AE150"/>
  <c r="AF150"/>
  <c r="AG150"/>
  <c r="AH150"/>
  <c r="AI150"/>
  <c r="AJ150"/>
  <c r="AK150"/>
  <c r="C151"/>
  <c r="H151"/>
  <c r="I151"/>
  <c r="J151"/>
  <c r="K151"/>
  <c r="M151"/>
  <c r="P151"/>
  <c r="R151"/>
  <c r="S151"/>
  <c r="T151"/>
  <c r="U151"/>
  <c r="X151"/>
  <c r="Y151"/>
  <c r="Z151"/>
  <c r="AA151"/>
  <c r="AB151"/>
  <c r="AC151"/>
  <c r="AD151"/>
  <c r="AE151"/>
  <c r="AF151"/>
  <c r="AG151"/>
  <c r="AH151"/>
  <c r="AI151"/>
  <c r="AJ151"/>
  <c r="AK151"/>
  <c r="C132"/>
  <c r="H132"/>
  <c r="I132"/>
  <c r="J132"/>
  <c r="K132"/>
  <c r="M132"/>
  <c r="P132"/>
  <c r="R132"/>
  <c r="S132"/>
  <c r="T132"/>
  <c r="U132"/>
  <c r="X132"/>
  <c r="Y132"/>
  <c r="Z132"/>
  <c r="AA132"/>
  <c r="AB132"/>
  <c r="AC132"/>
  <c r="AD132"/>
  <c r="AE132"/>
  <c r="AF132"/>
  <c r="AG132"/>
  <c r="AH132"/>
  <c r="AI132"/>
  <c r="AJ132"/>
  <c r="AK132"/>
  <c r="C133"/>
  <c r="H133"/>
  <c r="I133"/>
  <c r="J133"/>
  <c r="K133"/>
  <c r="M133"/>
  <c r="P133"/>
  <c r="R133"/>
  <c r="S133"/>
  <c r="T133"/>
  <c r="U133"/>
  <c r="X133"/>
  <c r="Y133"/>
  <c r="Z133"/>
  <c r="AA133"/>
  <c r="AB133"/>
  <c r="AC133"/>
  <c r="AD133"/>
  <c r="AE133"/>
  <c r="AF133"/>
  <c r="AG133"/>
  <c r="AH133"/>
  <c r="AI133"/>
  <c r="AJ133"/>
  <c r="AK133"/>
  <c r="C134"/>
  <c r="H134"/>
  <c r="I134"/>
  <c r="J134"/>
  <c r="K134"/>
  <c r="M134"/>
  <c r="P134"/>
  <c r="R134"/>
  <c r="S134"/>
  <c r="T134"/>
  <c r="U134"/>
  <c r="X134"/>
  <c r="Y134"/>
  <c r="Z134"/>
  <c r="AA134"/>
  <c r="AB134"/>
  <c r="AC134"/>
  <c r="AD134"/>
  <c r="AE134"/>
  <c r="AF134"/>
  <c r="AG134"/>
  <c r="AH134"/>
  <c r="AI134"/>
  <c r="AJ134"/>
  <c r="AK134"/>
  <c r="C135"/>
  <c r="H135"/>
  <c r="I135"/>
  <c r="J135"/>
  <c r="K135"/>
  <c r="M135"/>
  <c r="P135"/>
  <c r="R135"/>
  <c r="S135"/>
  <c r="T135"/>
  <c r="U135"/>
  <c r="X135"/>
  <c r="Y135"/>
  <c r="Z135"/>
  <c r="AA135"/>
  <c r="AB135"/>
  <c r="AC135"/>
  <c r="AD135"/>
  <c r="AE135"/>
  <c r="AF135"/>
  <c r="AG135"/>
  <c r="AH135"/>
  <c r="AI135"/>
  <c r="AJ135"/>
  <c r="AK135"/>
  <c r="C136"/>
  <c r="H136"/>
  <c r="I136"/>
  <c r="J136"/>
  <c r="K136"/>
  <c r="M136"/>
  <c r="P136"/>
  <c r="R136"/>
  <c r="S136"/>
  <c r="T136"/>
  <c r="U136"/>
  <c r="X136"/>
  <c r="Y136"/>
  <c r="Z136"/>
  <c r="AA136"/>
  <c r="AB136"/>
  <c r="AC136"/>
  <c r="AD136"/>
  <c r="AE136"/>
  <c r="AF136"/>
  <c r="AG136"/>
  <c r="AH136"/>
  <c r="AI136"/>
  <c r="AJ136"/>
  <c r="AK136"/>
  <c r="C137"/>
  <c r="H137"/>
  <c r="I137"/>
  <c r="J137"/>
  <c r="K137"/>
  <c r="M137"/>
  <c r="P137"/>
  <c r="R137"/>
  <c r="S137"/>
  <c r="T137"/>
  <c r="U137"/>
  <c r="X137"/>
  <c r="Y137"/>
  <c r="Z137"/>
  <c r="AA137"/>
  <c r="AB137"/>
  <c r="AC137"/>
  <c r="AD137"/>
  <c r="AE137"/>
  <c r="AF137"/>
  <c r="AG137"/>
  <c r="AH137"/>
  <c r="AI137"/>
  <c r="AJ137"/>
  <c r="AK137"/>
  <c r="C138"/>
  <c r="H138"/>
  <c r="I138"/>
  <c r="J138"/>
  <c r="K138"/>
  <c r="M138"/>
  <c r="P138"/>
  <c r="R138"/>
  <c r="S138"/>
  <c r="T138"/>
  <c r="U138"/>
  <c r="X138"/>
  <c r="Y138"/>
  <c r="Z138"/>
  <c r="AA138"/>
  <c r="AB138"/>
  <c r="AC138"/>
  <c r="AD138"/>
  <c r="AE138"/>
  <c r="AF138"/>
  <c r="AG138"/>
  <c r="AH138"/>
  <c r="AI138"/>
  <c r="AJ138"/>
  <c r="AK138"/>
  <c r="C139"/>
  <c r="H139"/>
  <c r="I139"/>
  <c r="J139"/>
  <c r="K139"/>
  <c r="M139"/>
  <c r="P139"/>
  <c r="R139"/>
  <c r="S139"/>
  <c r="T139"/>
  <c r="U139"/>
  <c r="X139"/>
  <c r="Y139"/>
  <c r="Z139"/>
  <c r="AA139"/>
  <c r="AB139"/>
  <c r="AC139"/>
  <c r="AD139"/>
  <c r="AE139"/>
  <c r="AF139"/>
  <c r="AG139"/>
  <c r="AH139"/>
  <c r="AI139"/>
  <c r="AJ139"/>
  <c r="AK139"/>
  <c r="C140"/>
  <c r="H140"/>
  <c r="I140"/>
  <c r="J140"/>
  <c r="K140"/>
  <c r="M140"/>
  <c r="P140"/>
  <c r="R140"/>
  <c r="S140"/>
  <c r="T140"/>
  <c r="U140"/>
  <c r="X140"/>
  <c r="Y140"/>
  <c r="Z140"/>
  <c r="AA140"/>
  <c r="AB140"/>
  <c r="AC140"/>
  <c r="AD140"/>
  <c r="AE140"/>
  <c r="AF140"/>
  <c r="AG140"/>
  <c r="AH140"/>
  <c r="AI140"/>
  <c r="AJ140"/>
  <c r="AK140"/>
  <c r="C141"/>
  <c r="H141"/>
  <c r="I141"/>
  <c r="J141"/>
  <c r="K141"/>
  <c r="M141"/>
  <c r="P141"/>
  <c r="R141"/>
  <c r="S141"/>
  <c r="T141"/>
  <c r="U141"/>
  <c r="X141"/>
  <c r="Y141"/>
  <c r="Z141"/>
  <c r="AA141"/>
  <c r="AB141"/>
  <c r="AC141"/>
  <c r="AD141"/>
  <c r="AE141"/>
  <c r="AF141"/>
  <c r="AG141"/>
  <c r="AH141"/>
  <c r="AI141"/>
  <c r="AJ141"/>
  <c r="AK141"/>
  <c r="C122"/>
  <c r="H122"/>
  <c r="I122"/>
  <c r="J122"/>
  <c r="K122"/>
  <c r="M122"/>
  <c r="P122"/>
  <c r="R122"/>
  <c r="S122"/>
  <c r="T122"/>
  <c r="U122"/>
  <c r="X122"/>
  <c r="Y122"/>
  <c r="Z122"/>
  <c r="AA122"/>
  <c r="AB122"/>
  <c r="AC122"/>
  <c r="AD122"/>
  <c r="AE122"/>
  <c r="AF122"/>
  <c r="AG122"/>
  <c r="AH122"/>
  <c r="AI122"/>
  <c r="AJ122"/>
  <c r="AK122"/>
  <c r="C123"/>
  <c r="H123"/>
  <c r="I123"/>
  <c r="J123"/>
  <c r="K123"/>
  <c r="M123"/>
  <c r="P123"/>
  <c r="R123"/>
  <c r="S123"/>
  <c r="T123"/>
  <c r="U123"/>
  <c r="X123"/>
  <c r="Y123"/>
  <c r="Z123"/>
  <c r="AA123"/>
  <c r="AB123"/>
  <c r="AC123"/>
  <c r="AD123"/>
  <c r="AE123"/>
  <c r="AF123"/>
  <c r="AG123"/>
  <c r="AH123"/>
  <c r="AI123"/>
  <c r="AJ123"/>
  <c r="AK123"/>
  <c r="C124"/>
  <c r="H124"/>
  <c r="I124"/>
  <c r="J124"/>
  <c r="K124"/>
  <c r="M124"/>
  <c r="P124"/>
  <c r="R124"/>
  <c r="S124"/>
  <c r="T124"/>
  <c r="U124"/>
  <c r="X124"/>
  <c r="Y124"/>
  <c r="Z124"/>
  <c r="AA124"/>
  <c r="AB124"/>
  <c r="AC124"/>
  <c r="AD124"/>
  <c r="AE124"/>
  <c r="AF124"/>
  <c r="AG124"/>
  <c r="AH124"/>
  <c r="AI124"/>
  <c r="AJ124"/>
  <c r="AK124"/>
  <c r="C125"/>
  <c r="H125"/>
  <c r="I125"/>
  <c r="J125"/>
  <c r="K125"/>
  <c r="M125"/>
  <c r="P125"/>
  <c r="R125"/>
  <c r="S125"/>
  <c r="T125"/>
  <c r="U125"/>
  <c r="X125"/>
  <c r="Y125"/>
  <c r="Z125"/>
  <c r="AA125"/>
  <c r="AB125"/>
  <c r="AC125"/>
  <c r="AD125"/>
  <c r="AE125"/>
  <c r="AF125"/>
  <c r="AG125"/>
  <c r="AH125"/>
  <c r="AI125"/>
  <c r="AJ125"/>
  <c r="AK125"/>
  <c r="C126"/>
  <c r="H126"/>
  <c r="I126"/>
  <c r="J126"/>
  <c r="K126"/>
  <c r="M126"/>
  <c r="P126"/>
  <c r="R126"/>
  <c r="S126"/>
  <c r="T126"/>
  <c r="U126"/>
  <c r="X126"/>
  <c r="Y126"/>
  <c r="Z126"/>
  <c r="AA126"/>
  <c r="AB126"/>
  <c r="AC126"/>
  <c r="AD126"/>
  <c r="AE126"/>
  <c r="AF126"/>
  <c r="AG126"/>
  <c r="AH126"/>
  <c r="AI126"/>
  <c r="AJ126"/>
  <c r="AK126"/>
  <c r="C127"/>
  <c r="H127"/>
  <c r="I127"/>
  <c r="J127"/>
  <c r="K127"/>
  <c r="M127"/>
  <c r="P127"/>
  <c r="R127"/>
  <c r="S127"/>
  <c r="T127"/>
  <c r="U127"/>
  <c r="X127"/>
  <c r="Y127"/>
  <c r="Z127"/>
  <c r="AA127"/>
  <c r="AB127"/>
  <c r="AC127"/>
  <c r="AD127"/>
  <c r="AE127"/>
  <c r="AF127"/>
  <c r="AG127"/>
  <c r="AH127"/>
  <c r="AI127"/>
  <c r="AJ127"/>
  <c r="AK127"/>
  <c r="C128"/>
  <c r="H128"/>
  <c r="I128"/>
  <c r="J128"/>
  <c r="K128"/>
  <c r="M128"/>
  <c r="P128"/>
  <c r="R128"/>
  <c r="S128"/>
  <c r="T128"/>
  <c r="U128"/>
  <c r="X128"/>
  <c r="Y128"/>
  <c r="Z128"/>
  <c r="AA128"/>
  <c r="AB128"/>
  <c r="AC128"/>
  <c r="AD128"/>
  <c r="AE128"/>
  <c r="AF128"/>
  <c r="AG128"/>
  <c r="AH128"/>
  <c r="AI128"/>
  <c r="AJ128"/>
  <c r="AK128"/>
  <c r="C129"/>
  <c r="H129"/>
  <c r="I129"/>
  <c r="J129"/>
  <c r="K129"/>
  <c r="M129"/>
  <c r="P129"/>
  <c r="R129"/>
  <c r="S129"/>
  <c r="T129"/>
  <c r="U129"/>
  <c r="X129"/>
  <c r="Y129"/>
  <c r="Z129"/>
  <c r="AA129"/>
  <c r="AB129"/>
  <c r="AC129"/>
  <c r="AD129"/>
  <c r="AE129"/>
  <c r="AF129"/>
  <c r="AG129"/>
  <c r="AH129"/>
  <c r="AI129"/>
  <c r="AJ129"/>
  <c r="AK129"/>
  <c r="C130"/>
  <c r="H130"/>
  <c r="I130"/>
  <c r="J130"/>
  <c r="K130"/>
  <c r="M130"/>
  <c r="P130"/>
  <c r="R130"/>
  <c r="S130"/>
  <c r="T130"/>
  <c r="U130"/>
  <c r="X130"/>
  <c r="Y130"/>
  <c r="Z130"/>
  <c r="AA130"/>
  <c r="AB130"/>
  <c r="AC130"/>
  <c r="AD130"/>
  <c r="AE130"/>
  <c r="AF130"/>
  <c r="AG130"/>
  <c r="AH130"/>
  <c r="AI130"/>
  <c r="AJ130"/>
  <c r="AK130"/>
  <c r="C131"/>
  <c r="H131"/>
  <c r="I131"/>
  <c r="J131"/>
  <c r="K131"/>
  <c r="M131"/>
  <c r="P131"/>
  <c r="R131"/>
  <c r="S131"/>
  <c r="T131"/>
  <c r="U131"/>
  <c r="X131"/>
  <c r="Y131"/>
  <c r="Z131"/>
  <c r="AA131"/>
  <c r="AB131"/>
  <c r="AC131"/>
  <c r="AD131"/>
  <c r="AE131"/>
  <c r="AF131"/>
  <c r="AG131"/>
  <c r="AH131"/>
  <c r="AI131"/>
  <c r="AJ131"/>
  <c r="AK131"/>
  <c r="C112"/>
  <c r="H112"/>
  <c r="I112"/>
  <c r="J112"/>
  <c r="K112"/>
  <c r="M112"/>
  <c r="P112"/>
  <c r="R112"/>
  <c r="S112"/>
  <c r="T112"/>
  <c r="U112"/>
  <c r="X112"/>
  <c r="Y112"/>
  <c r="Z112"/>
  <c r="AA112"/>
  <c r="AB112"/>
  <c r="AC112"/>
  <c r="AD112"/>
  <c r="AE112"/>
  <c r="AF112"/>
  <c r="AG112"/>
  <c r="AH112"/>
  <c r="AI112"/>
  <c r="AJ112"/>
  <c r="AK112"/>
  <c r="C113"/>
  <c r="H113"/>
  <c r="I113"/>
  <c r="J113"/>
  <c r="K113"/>
  <c r="M113"/>
  <c r="P113"/>
  <c r="R113"/>
  <c r="S113"/>
  <c r="T113"/>
  <c r="U113"/>
  <c r="X113"/>
  <c r="Y113"/>
  <c r="Z113"/>
  <c r="AA113"/>
  <c r="AB113"/>
  <c r="AC113"/>
  <c r="AD113"/>
  <c r="AE113"/>
  <c r="AF113"/>
  <c r="AG113"/>
  <c r="AH113"/>
  <c r="AI113"/>
  <c r="AJ113"/>
  <c r="AK113"/>
  <c r="C114"/>
  <c r="H114"/>
  <c r="I114"/>
  <c r="J114"/>
  <c r="K114"/>
  <c r="M114"/>
  <c r="P114"/>
  <c r="R114"/>
  <c r="S114"/>
  <c r="T114"/>
  <c r="U114"/>
  <c r="X114"/>
  <c r="Y114"/>
  <c r="Z114"/>
  <c r="AA114"/>
  <c r="AB114"/>
  <c r="AC114"/>
  <c r="AD114"/>
  <c r="AE114"/>
  <c r="AF114"/>
  <c r="AG114"/>
  <c r="AH114"/>
  <c r="AI114"/>
  <c r="AJ114"/>
  <c r="AK114"/>
  <c r="C115"/>
  <c r="H115"/>
  <c r="I115"/>
  <c r="J115"/>
  <c r="K115"/>
  <c r="M115"/>
  <c r="P115"/>
  <c r="R115"/>
  <c r="S115"/>
  <c r="T115"/>
  <c r="U115"/>
  <c r="X115"/>
  <c r="Y115"/>
  <c r="Z115"/>
  <c r="AA115"/>
  <c r="AB115"/>
  <c r="AC115"/>
  <c r="AD115"/>
  <c r="AE115"/>
  <c r="AF115"/>
  <c r="AG115"/>
  <c r="AH115"/>
  <c r="AI115"/>
  <c r="AJ115"/>
  <c r="AK115"/>
  <c r="C116"/>
  <c r="H116"/>
  <c r="I116"/>
  <c r="J116"/>
  <c r="K116"/>
  <c r="M116"/>
  <c r="P116"/>
  <c r="R116"/>
  <c r="S116"/>
  <c r="T116"/>
  <c r="U116"/>
  <c r="X116"/>
  <c r="Y116"/>
  <c r="Z116"/>
  <c r="AA116"/>
  <c r="AB116"/>
  <c r="AC116"/>
  <c r="AD116"/>
  <c r="AE116"/>
  <c r="AF116"/>
  <c r="AG116"/>
  <c r="AH116"/>
  <c r="AI116"/>
  <c r="AJ116"/>
  <c r="AK116"/>
  <c r="C117"/>
  <c r="H117"/>
  <c r="I117"/>
  <c r="J117"/>
  <c r="K117"/>
  <c r="M117"/>
  <c r="P117"/>
  <c r="R117"/>
  <c r="S117"/>
  <c r="T117"/>
  <c r="U117"/>
  <c r="X117"/>
  <c r="Y117"/>
  <c r="Z117"/>
  <c r="AA117"/>
  <c r="AB117"/>
  <c r="AC117"/>
  <c r="AD117"/>
  <c r="AE117"/>
  <c r="AF117"/>
  <c r="AG117"/>
  <c r="AH117"/>
  <c r="AI117"/>
  <c r="AJ117"/>
  <c r="AK117"/>
  <c r="C118"/>
  <c r="H118"/>
  <c r="I118"/>
  <c r="J118"/>
  <c r="K118"/>
  <c r="M118"/>
  <c r="P118"/>
  <c r="R118"/>
  <c r="S118"/>
  <c r="T118"/>
  <c r="U118"/>
  <c r="X118"/>
  <c r="Y118"/>
  <c r="Z118"/>
  <c r="AA118"/>
  <c r="AB118"/>
  <c r="AC118"/>
  <c r="AD118"/>
  <c r="AE118"/>
  <c r="AF118"/>
  <c r="AG118"/>
  <c r="AH118"/>
  <c r="AI118"/>
  <c r="AJ118"/>
  <c r="AK118"/>
  <c r="C119"/>
  <c r="H119"/>
  <c r="I119"/>
  <c r="J119"/>
  <c r="K119"/>
  <c r="M119"/>
  <c r="P119"/>
  <c r="R119"/>
  <c r="S119"/>
  <c r="T119"/>
  <c r="U119"/>
  <c r="X119"/>
  <c r="Y119"/>
  <c r="Z119"/>
  <c r="AA119"/>
  <c r="AB119"/>
  <c r="AC119"/>
  <c r="AD119"/>
  <c r="AE119"/>
  <c r="AF119"/>
  <c r="AG119"/>
  <c r="AH119"/>
  <c r="AI119"/>
  <c r="AJ119"/>
  <c r="AK119"/>
  <c r="C120"/>
  <c r="H120"/>
  <c r="I120"/>
  <c r="J120"/>
  <c r="K120"/>
  <c r="M120"/>
  <c r="P120"/>
  <c r="R120"/>
  <c r="S120"/>
  <c r="T120"/>
  <c r="U120"/>
  <c r="X120"/>
  <c r="Y120"/>
  <c r="Z120"/>
  <c r="AA120"/>
  <c r="AB120"/>
  <c r="AC120"/>
  <c r="AD120"/>
  <c r="AE120"/>
  <c r="AF120"/>
  <c r="AG120"/>
  <c r="AH120"/>
  <c r="AI120"/>
  <c r="AJ120"/>
  <c r="AK120"/>
  <c r="C121"/>
  <c r="H121"/>
  <c r="I121"/>
  <c r="J121"/>
  <c r="K121"/>
  <c r="M121"/>
  <c r="P121"/>
  <c r="R121"/>
  <c r="S121"/>
  <c r="T121"/>
  <c r="U121"/>
  <c r="X121"/>
  <c r="Y121"/>
  <c r="Z121"/>
  <c r="AA121"/>
  <c r="AB121"/>
  <c r="AC121"/>
  <c r="AD121"/>
  <c r="AE121"/>
  <c r="AF121"/>
  <c r="AG121"/>
  <c r="AH121"/>
  <c r="AI121"/>
  <c r="AJ121"/>
  <c r="AK121"/>
  <c r="C102"/>
  <c r="H102"/>
  <c r="I102"/>
  <c r="J102"/>
  <c r="K102"/>
  <c r="M102"/>
  <c r="P102"/>
  <c r="R102"/>
  <c r="S102"/>
  <c r="T102"/>
  <c r="U102"/>
  <c r="X102"/>
  <c r="Y102"/>
  <c r="Z102"/>
  <c r="AA102"/>
  <c r="AB102"/>
  <c r="AC102"/>
  <c r="AD102"/>
  <c r="AE102"/>
  <c r="AF102"/>
  <c r="AG102"/>
  <c r="AH102"/>
  <c r="AI102"/>
  <c r="AJ102"/>
  <c r="AK102"/>
  <c r="C103"/>
  <c r="H103"/>
  <c r="I103"/>
  <c r="J103"/>
  <c r="K103"/>
  <c r="M103"/>
  <c r="P103"/>
  <c r="R103"/>
  <c r="S103"/>
  <c r="T103"/>
  <c r="U103"/>
  <c r="X103"/>
  <c r="Y103"/>
  <c r="Z103"/>
  <c r="AA103"/>
  <c r="AB103"/>
  <c r="AC103"/>
  <c r="AD103"/>
  <c r="AE103"/>
  <c r="AF103"/>
  <c r="AG103"/>
  <c r="AH103"/>
  <c r="AI103"/>
  <c r="AJ103"/>
  <c r="AK103"/>
  <c r="C104"/>
  <c r="H104"/>
  <c r="I104"/>
  <c r="J104"/>
  <c r="K104"/>
  <c r="M104"/>
  <c r="P104"/>
  <c r="R104"/>
  <c r="S104"/>
  <c r="T104"/>
  <c r="U104"/>
  <c r="X104"/>
  <c r="Y104"/>
  <c r="Z104"/>
  <c r="AA104"/>
  <c r="AB104"/>
  <c r="AC104"/>
  <c r="AD104"/>
  <c r="AE104"/>
  <c r="AF104"/>
  <c r="AG104"/>
  <c r="AH104"/>
  <c r="AI104"/>
  <c r="AJ104"/>
  <c r="AK104"/>
  <c r="C105"/>
  <c r="H105"/>
  <c r="I105"/>
  <c r="J105"/>
  <c r="K105"/>
  <c r="M105"/>
  <c r="P105"/>
  <c r="R105"/>
  <c r="S105"/>
  <c r="T105"/>
  <c r="U105"/>
  <c r="X105"/>
  <c r="Y105"/>
  <c r="Z105"/>
  <c r="AA105"/>
  <c r="AB105"/>
  <c r="AC105"/>
  <c r="AD105"/>
  <c r="AE105"/>
  <c r="AF105"/>
  <c r="AG105"/>
  <c r="AH105"/>
  <c r="AI105"/>
  <c r="AJ105"/>
  <c r="AK105"/>
  <c r="C106"/>
  <c r="H106"/>
  <c r="I106"/>
  <c r="J106"/>
  <c r="K106"/>
  <c r="M106"/>
  <c r="P106"/>
  <c r="R106"/>
  <c r="S106"/>
  <c r="T106"/>
  <c r="U106"/>
  <c r="X106"/>
  <c r="Y106"/>
  <c r="Z106"/>
  <c r="AA106"/>
  <c r="AB106"/>
  <c r="AC106"/>
  <c r="AD106"/>
  <c r="AE106"/>
  <c r="AF106"/>
  <c r="AG106"/>
  <c r="AH106"/>
  <c r="AI106"/>
  <c r="AJ106"/>
  <c r="AK106"/>
  <c r="C107"/>
  <c r="H107"/>
  <c r="I107"/>
  <c r="J107"/>
  <c r="K107"/>
  <c r="M107"/>
  <c r="P107"/>
  <c r="R107"/>
  <c r="S107"/>
  <c r="T107"/>
  <c r="U107"/>
  <c r="X107"/>
  <c r="Y107"/>
  <c r="Z107"/>
  <c r="AA107"/>
  <c r="AB107"/>
  <c r="AC107"/>
  <c r="AD107"/>
  <c r="AE107"/>
  <c r="AF107"/>
  <c r="AG107"/>
  <c r="AH107"/>
  <c r="AI107"/>
  <c r="AJ107"/>
  <c r="AK107"/>
  <c r="C108"/>
  <c r="H108"/>
  <c r="I108"/>
  <c r="J108"/>
  <c r="K108"/>
  <c r="M108"/>
  <c r="P108"/>
  <c r="R108"/>
  <c r="S108"/>
  <c r="T108"/>
  <c r="U108"/>
  <c r="X108"/>
  <c r="Y108"/>
  <c r="Z108"/>
  <c r="AA108"/>
  <c r="AB108"/>
  <c r="AC108"/>
  <c r="AD108"/>
  <c r="AE108"/>
  <c r="AF108"/>
  <c r="AG108"/>
  <c r="AH108"/>
  <c r="AI108"/>
  <c r="AJ108"/>
  <c r="AK108"/>
  <c r="C109"/>
  <c r="H109"/>
  <c r="I109"/>
  <c r="J109"/>
  <c r="K109"/>
  <c r="M109"/>
  <c r="P109"/>
  <c r="R109"/>
  <c r="S109"/>
  <c r="T109"/>
  <c r="U109"/>
  <c r="X109"/>
  <c r="Y109"/>
  <c r="Z109"/>
  <c r="AA109"/>
  <c r="AB109"/>
  <c r="AC109"/>
  <c r="AD109"/>
  <c r="AE109"/>
  <c r="AF109"/>
  <c r="AG109"/>
  <c r="AH109"/>
  <c r="AI109"/>
  <c r="AJ109"/>
  <c r="AK109"/>
  <c r="C110"/>
  <c r="H110"/>
  <c r="I110"/>
  <c r="J110"/>
  <c r="K110"/>
  <c r="M110"/>
  <c r="P110"/>
  <c r="R110"/>
  <c r="S110"/>
  <c r="T110"/>
  <c r="U110"/>
  <c r="X110"/>
  <c r="Y110"/>
  <c r="Z110"/>
  <c r="AA110"/>
  <c r="AB110"/>
  <c r="AC110"/>
  <c r="AD110"/>
  <c r="AE110"/>
  <c r="AF110"/>
  <c r="AG110"/>
  <c r="AH110"/>
  <c r="AI110"/>
  <c r="AJ110"/>
  <c r="AK110"/>
  <c r="C111"/>
  <c r="H111"/>
  <c r="I111"/>
  <c r="J111"/>
  <c r="K111"/>
  <c r="M111"/>
  <c r="P111"/>
  <c r="R111"/>
  <c r="S111"/>
  <c r="T111"/>
  <c r="U111"/>
  <c r="X111"/>
  <c r="Y111"/>
  <c r="Z111"/>
  <c r="AA111"/>
  <c r="AB111"/>
  <c r="AC111"/>
  <c r="AD111"/>
  <c r="AE111"/>
  <c r="AF111"/>
  <c r="AG111"/>
  <c r="AH111"/>
  <c r="AI111"/>
  <c r="AJ111"/>
  <c r="AK111"/>
  <c r="C92"/>
  <c r="H92"/>
  <c r="I92"/>
  <c r="J92"/>
  <c r="K92"/>
  <c r="M92"/>
  <c r="P92"/>
  <c r="R92"/>
  <c r="S92"/>
  <c r="T92"/>
  <c r="U92"/>
  <c r="X92"/>
  <c r="Y92"/>
  <c r="Z92"/>
  <c r="AA92"/>
  <c r="AB92"/>
  <c r="AC92"/>
  <c r="AD92"/>
  <c r="AE92"/>
  <c r="AF92"/>
  <c r="AG92"/>
  <c r="AH92"/>
  <c r="AI92"/>
  <c r="AJ92"/>
  <c r="AK92"/>
  <c r="C93"/>
  <c r="H93"/>
  <c r="I93"/>
  <c r="J93"/>
  <c r="K93"/>
  <c r="M93"/>
  <c r="P93"/>
  <c r="R93"/>
  <c r="S93"/>
  <c r="T93"/>
  <c r="U93"/>
  <c r="X93"/>
  <c r="Y93"/>
  <c r="Z93"/>
  <c r="AA93"/>
  <c r="AB93"/>
  <c r="AC93"/>
  <c r="AD93"/>
  <c r="AE93"/>
  <c r="AF93"/>
  <c r="AG93"/>
  <c r="AH93"/>
  <c r="AI93"/>
  <c r="AJ93"/>
  <c r="AK93"/>
  <c r="C94"/>
  <c r="H94"/>
  <c r="I94"/>
  <c r="J94"/>
  <c r="K94"/>
  <c r="M94"/>
  <c r="P94"/>
  <c r="R94"/>
  <c r="S94"/>
  <c r="T94"/>
  <c r="U94"/>
  <c r="X94"/>
  <c r="Y94"/>
  <c r="Z94"/>
  <c r="AA94"/>
  <c r="AB94"/>
  <c r="AC94"/>
  <c r="AD94"/>
  <c r="AE94"/>
  <c r="AF94"/>
  <c r="AG94"/>
  <c r="AH94"/>
  <c r="AI94"/>
  <c r="AJ94"/>
  <c r="AK94"/>
  <c r="C95"/>
  <c r="H95"/>
  <c r="I95"/>
  <c r="J95"/>
  <c r="K95"/>
  <c r="M95"/>
  <c r="P95"/>
  <c r="R95"/>
  <c r="S95"/>
  <c r="T95"/>
  <c r="U95"/>
  <c r="X95"/>
  <c r="Y95"/>
  <c r="Z95"/>
  <c r="AA95"/>
  <c r="AB95"/>
  <c r="AC95"/>
  <c r="AD95"/>
  <c r="AE95"/>
  <c r="AF95"/>
  <c r="AG95"/>
  <c r="AH95"/>
  <c r="AI95"/>
  <c r="AJ95"/>
  <c r="AK95"/>
  <c r="C96"/>
  <c r="H96"/>
  <c r="I96"/>
  <c r="J96"/>
  <c r="K96"/>
  <c r="M96"/>
  <c r="P96"/>
  <c r="R96"/>
  <c r="S96"/>
  <c r="T96"/>
  <c r="U96"/>
  <c r="X96"/>
  <c r="Y96"/>
  <c r="Z96"/>
  <c r="AA96"/>
  <c r="AB96"/>
  <c r="AC96"/>
  <c r="AD96"/>
  <c r="AE96"/>
  <c r="AF96"/>
  <c r="AG96"/>
  <c r="AH96"/>
  <c r="AI96"/>
  <c r="AJ96"/>
  <c r="AK96"/>
  <c r="C97"/>
  <c r="H97"/>
  <c r="I97"/>
  <c r="J97"/>
  <c r="K97"/>
  <c r="M97"/>
  <c r="P97"/>
  <c r="R97"/>
  <c r="S97"/>
  <c r="T97"/>
  <c r="U97"/>
  <c r="X97"/>
  <c r="Y97"/>
  <c r="Z97"/>
  <c r="AA97"/>
  <c r="AB97"/>
  <c r="AC97"/>
  <c r="AD97"/>
  <c r="AE97"/>
  <c r="AF97"/>
  <c r="AG97"/>
  <c r="AH97"/>
  <c r="AI97"/>
  <c r="AJ97"/>
  <c r="AK97"/>
  <c r="C98"/>
  <c r="H98"/>
  <c r="I98"/>
  <c r="J98"/>
  <c r="K98"/>
  <c r="M98"/>
  <c r="P98"/>
  <c r="R98"/>
  <c r="S98"/>
  <c r="T98"/>
  <c r="U98"/>
  <c r="X98"/>
  <c r="Y98"/>
  <c r="Z98"/>
  <c r="AA98"/>
  <c r="AB98"/>
  <c r="AC98"/>
  <c r="AD98"/>
  <c r="AE98"/>
  <c r="AF98"/>
  <c r="AG98"/>
  <c r="AH98"/>
  <c r="AI98"/>
  <c r="AJ98"/>
  <c r="AK98"/>
  <c r="C99"/>
  <c r="H99"/>
  <c r="I99"/>
  <c r="J99"/>
  <c r="K99"/>
  <c r="M99"/>
  <c r="P99"/>
  <c r="R99"/>
  <c r="S99"/>
  <c r="T99"/>
  <c r="U99"/>
  <c r="X99"/>
  <c r="Y99"/>
  <c r="Z99"/>
  <c r="AA99"/>
  <c r="AB99"/>
  <c r="AC99"/>
  <c r="AD99"/>
  <c r="AE99"/>
  <c r="AF99"/>
  <c r="AG99"/>
  <c r="AH99"/>
  <c r="AI99"/>
  <c r="AJ99"/>
  <c r="AK99"/>
  <c r="C100"/>
  <c r="H100"/>
  <c r="I100"/>
  <c r="J100"/>
  <c r="K100"/>
  <c r="M100"/>
  <c r="P100"/>
  <c r="R100"/>
  <c r="S100"/>
  <c r="T100"/>
  <c r="U100"/>
  <c r="X100"/>
  <c r="Y100"/>
  <c r="Z100"/>
  <c r="AA100"/>
  <c r="AB100"/>
  <c r="AC100"/>
  <c r="AD100"/>
  <c r="AE100"/>
  <c r="AF100"/>
  <c r="AG100"/>
  <c r="AH100"/>
  <c r="AI100"/>
  <c r="AJ100"/>
  <c r="AK100"/>
  <c r="C101"/>
  <c r="H101"/>
  <c r="I101"/>
  <c r="J101"/>
  <c r="K101"/>
  <c r="M101"/>
  <c r="P101"/>
  <c r="R101"/>
  <c r="S101"/>
  <c r="T101"/>
  <c r="U101"/>
  <c r="X101"/>
  <c r="Y101"/>
  <c r="Z101"/>
  <c r="AA101"/>
  <c r="AB101"/>
  <c r="AC101"/>
  <c r="AD101"/>
  <c r="AE101"/>
  <c r="AF101"/>
  <c r="AG101"/>
  <c r="AH101"/>
  <c r="AI101"/>
  <c r="AJ101"/>
  <c r="AK101"/>
  <c r="C82"/>
  <c r="H82"/>
  <c r="I82"/>
  <c r="J82"/>
  <c r="K82"/>
  <c r="M82"/>
  <c r="P82"/>
  <c r="R82"/>
  <c r="S82"/>
  <c r="T82"/>
  <c r="U82"/>
  <c r="X82"/>
  <c r="Y82"/>
  <c r="Z82"/>
  <c r="AA82"/>
  <c r="AB82"/>
  <c r="AC82"/>
  <c r="AD82"/>
  <c r="AE82"/>
  <c r="AF82"/>
  <c r="AG82"/>
  <c r="AH82"/>
  <c r="AI82"/>
  <c r="AJ82"/>
  <c r="AK82"/>
  <c r="C83"/>
  <c r="H83"/>
  <c r="I83"/>
  <c r="J83"/>
  <c r="K83"/>
  <c r="M83"/>
  <c r="P83"/>
  <c r="R83"/>
  <c r="S83"/>
  <c r="T83"/>
  <c r="U83"/>
  <c r="X83"/>
  <c r="Y83"/>
  <c r="Z83"/>
  <c r="AA83"/>
  <c r="AB83"/>
  <c r="AC83"/>
  <c r="AD83"/>
  <c r="AE83"/>
  <c r="AF83"/>
  <c r="AG83"/>
  <c r="AH83"/>
  <c r="AI83"/>
  <c r="AJ83"/>
  <c r="AK83"/>
  <c r="C84"/>
  <c r="H84"/>
  <c r="I84"/>
  <c r="J84"/>
  <c r="K84"/>
  <c r="M84"/>
  <c r="P84"/>
  <c r="R84"/>
  <c r="S84"/>
  <c r="T84"/>
  <c r="U84"/>
  <c r="X84"/>
  <c r="Y84"/>
  <c r="Z84"/>
  <c r="AA84"/>
  <c r="AB84"/>
  <c r="AC84"/>
  <c r="AD84"/>
  <c r="AE84"/>
  <c r="AF84"/>
  <c r="AG84"/>
  <c r="AH84"/>
  <c r="AI84"/>
  <c r="AJ84"/>
  <c r="AK84"/>
  <c r="C85"/>
  <c r="H85"/>
  <c r="I85"/>
  <c r="J85"/>
  <c r="K85"/>
  <c r="M85"/>
  <c r="P85"/>
  <c r="R85"/>
  <c r="S85"/>
  <c r="T85"/>
  <c r="U85"/>
  <c r="X85"/>
  <c r="Y85"/>
  <c r="Z85"/>
  <c r="AA85"/>
  <c r="AB85"/>
  <c r="AC85"/>
  <c r="AD85"/>
  <c r="AE85"/>
  <c r="AF85"/>
  <c r="AG85"/>
  <c r="AH85"/>
  <c r="AI85"/>
  <c r="AJ85"/>
  <c r="AK85"/>
  <c r="C86"/>
  <c r="H86"/>
  <c r="I86"/>
  <c r="J86"/>
  <c r="K86"/>
  <c r="M86"/>
  <c r="P86"/>
  <c r="R86"/>
  <c r="S86"/>
  <c r="T86"/>
  <c r="U86"/>
  <c r="X86"/>
  <c r="Y86"/>
  <c r="Z86"/>
  <c r="AA86"/>
  <c r="AB86"/>
  <c r="AC86"/>
  <c r="AD86"/>
  <c r="AE86"/>
  <c r="AF86"/>
  <c r="AG86"/>
  <c r="AH86"/>
  <c r="AI86"/>
  <c r="AJ86"/>
  <c r="AK86"/>
  <c r="C87"/>
  <c r="H87"/>
  <c r="I87"/>
  <c r="J87"/>
  <c r="K87"/>
  <c r="M87"/>
  <c r="P87"/>
  <c r="R87"/>
  <c r="S87"/>
  <c r="T87"/>
  <c r="U87"/>
  <c r="X87"/>
  <c r="Y87"/>
  <c r="Z87"/>
  <c r="AA87"/>
  <c r="AB87"/>
  <c r="AC87"/>
  <c r="AD87"/>
  <c r="AE87"/>
  <c r="AF87"/>
  <c r="AG87"/>
  <c r="AH87"/>
  <c r="AI87"/>
  <c r="AJ87"/>
  <c r="AK87"/>
  <c r="C88"/>
  <c r="H88"/>
  <c r="I88"/>
  <c r="J88"/>
  <c r="K88"/>
  <c r="M88"/>
  <c r="P88"/>
  <c r="R88"/>
  <c r="S88"/>
  <c r="T88"/>
  <c r="U88"/>
  <c r="X88"/>
  <c r="Y88"/>
  <c r="Z88"/>
  <c r="AA88"/>
  <c r="AB88"/>
  <c r="AC88"/>
  <c r="AD88"/>
  <c r="AE88"/>
  <c r="AF88"/>
  <c r="AG88"/>
  <c r="AH88"/>
  <c r="AI88"/>
  <c r="AJ88"/>
  <c r="AK88"/>
  <c r="C89"/>
  <c r="H89"/>
  <c r="I89"/>
  <c r="J89"/>
  <c r="K89"/>
  <c r="M89"/>
  <c r="P89"/>
  <c r="R89"/>
  <c r="S89"/>
  <c r="T89"/>
  <c r="U89"/>
  <c r="X89"/>
  <c r="Y89"/>
  <c r="Z89"/>
  <c r="AA89"/>
  <c r="AB89"/>
  <c r="AC89"/>
  <c r="AD89"/>
  <c r="AE89"/>
  <c r="AF89"/>
  <c r="AG89"/>
  <c r="AH89"/>
  <c r="AI89"/>
  <c r="AJ89"/>
  <c r="AK89"/>
  <c r="C90"/>
  <c r="H90"/>
  <c r="I90"/>
  <c r="J90"/>
  <c r="K90"/>
  <c r="M90"/>
  <c r="P90"/>
  <c r="R90"/>
  <c r="S90"/>
  <c r="T90"/>
  <c r="U90"/>
  <c r="X90"/>
  <c r="Y90"/>
  <c r="Z90"/>
  <c r="AA90"/>
  <c r="AB90"/>
  <c r="AC90"/>
  <c r="AD90"/>
  <c r="AE90"/>
  <c r="AF90"/>
  <c r="AG90"/>
  <c r="AH90"/>
  <c r="AI90"/>
  <c r="AJ90"/>
  <c r="AK90"/>
  <c r="C91"/>
  <c r="H91"/>
  <c r="I91"/>
  <c r="J91"/>
  <c r="K91"/>
  <c r="M91"/>
  <c r="P91"/>
  <c r="R91"/>
  <c r="S91"/>
  <c r="T91"/>
  <c r="U91"/>
  <c r="X91"/>
  <c r="Y91"/>
  <c r="Z91"/>
  <c r="AA91"/>
  <c r="AB91"/>
  <c r="AC91"/>
  <c r="AD91"/>
  <c r="AE91"/>
  <c r="AF91"/>
  <c r="AG91"/>
  <c r="AH91"/>
  <c r="AI91"/>
  <c r="AJ91"/>
  <c r="AK91"/>
  <c r="C72"/>
  <c r="H72"/>
  <c r="I72"/>
  <c r="J72"/>
  <c r="K72"/>
  <c r="M72"/>
  <c r="P72"/>
  <c r="R72"/>
  <c r="S72"/>
  <c r="T72"/>
  <c r="U72"/>
  <c r="X72"/>
  <c r="Y72"/>
  <c r="Z72"/>
  <c r="AA72"/>
  <c r="AB72"/>
  <c r="AC72"/>
  <c r="AD72"/>
  <c r="AE72"/>
  <c r="AF72"/>
  <c r="AG72"/>
  <c r="AH72"/>
  <c r="AI72"/>
  <c r="AJ72"/>
  <c r="AK72"/>
  <c r="C73"/>
  <c r="H73"/>
  <c r="I73"/>
  <c r="J73"/>
  <c r="K73"/>
  <c r="M73"/>
  <c r="P73"/>
  <c r="R73"/>
  <c r="S73"/>
  <c r="T73"/>
  <c r="U73"/>
  <c r="X73"/>
  <c r="Y73"/>
  <c r="Z73"/>
  <c r="AA73"/>
  <c r="AB73"/>
  <c r="AC73"/>
  <c r="AD73"/>
  <c r="AE73"/>
  <c r="AF73"/>
  <c r="AG73"/>
  <c r="AH73"/>
  <c r="AI73"/>
  <c r="AJ73"/>
  <c r="AK73"/>
  <c r="C74"/>
  <c r="H74"/>
  <c r="I74"/>
  <c r="J74"/>
  <c r="K74"/>
  <c r="M74"/>
  <c r="P74"/>
  <c r="R74"/>
  <c r="S74"/>
  <c r="T74"/>
  <c r="U74"/>
  <c r="X74"/>
  <c r="Y74"/>
  <c r="Z74"/>
  <c r="AA74"/>
  <c r="AB74"/>
  <c r="AC74"/>
  <c r="AD74"/>
  <c r="AE74"/>
  <c r="AF74"/>
  <c r="AG74"/>
  <c r="AH74"/>
  <c r="AI74"/>
  <c r="AJ74"/>
  <c r="AK74"/>
  <c r="C75"/>
  <c r="H75"/>
  <c r="I75"/>
  <c r="J75"/>
  <c r="K75"/>
  <c r="M75"/>
  <c r="P75"/>
  <c r="R75"/>
  <c r="S75"/>
  <c r="T75"/>
  <c r="U75"/>
  <c r="X75"/>
  <c r="Y75"/>
  <c r="Z75"/>
  <c r="AA75"/>
  <c r="AB75"/>
  <c r="AC75"/>
  <c r="AD75"/>
  <c r="AE75"/>
  <c r="AF75"/>
  <c r="AG75"/>
  <c r="AH75"/>
  <c r="AI75"/>
  <c r="AJ75"/>
  <c r="AK75"/>
  <c r="C76"/>
  <c r="H76"/>
  <c r="I76"/>
  <c r="J76"/>
  <c r="K76"/>
  <c r="M76"/>
  <c r="P76"/>
  <c r="R76"/>
  <c r="S76"/>
  <c r="T76"/>
  <c r="U76"/>
  <c r="X76"/>
  <c r="Y76"/>
  <c r="Z76"/>
  <c r="AA76"/>
  <c r="AB76"/>
  <c r="AC76"/>
  <c r="AD76"/>
  <c r="AE76"/>
  <c r="AF76"/>
  <c r="AG76"/>
  <c r="AH76"/>
  <c r="AI76"/>
  <c r="AJ76"/>
  <c r="AK76"/>
  <c r="C77"/>
  <c r="H77"/>
  <c r="I77"/>
  <c r="J77"/>
  <c r="K77"/>
  <c r="M77"/>
  <c r="P77"/>
  <c r="R77"/>
  <c r="S77"/>
  <c r="T77"/>
  <c r="U77"/>
  <c r="X77"/>
  <c r="Y77"/>
  <c r="Z77"/>
  <c r="AA77"/>
  <c r="AB77"/>
  <c r="AC77"/>
  <c r="AD77"/>
  <c r="AE77"/>
  <c r="AF77"/>
  <c r="AG77"/>
  <c r="AH77"/>
  <c r="AI77"/>
  <c r="AJ77"/>
  <c r="AK77"/>
  <c r="C78"/>
  <c r="H78"/>
  <c r="I78"/>
  <c r="J78"/>
  <c r="K78"/>
  <c r="M78"/>
  <c r="P78"/>
  <c r="R78"/>
  <c r="S78"/>
  <c r="T78"/>
  <c r="U78"/>
  <c r="X78"/>
  <c r="Y78"/>
  <c r="Z78"/>
  <c r="AA78"/>
  <c r="AB78"/>
  <c r="AC78"/>
  <c r="AD78"/>
  <c r="AE78"/>
  <c r="AF78"/>
  <c r="AG78"/>
  <c r="AH78"/>
  <c r="AI78"/>
  <c r="AJ78"/>
  <c r="AK78"/>
  <c r="C79"/>
  <c r="H79"/>
  <c r="I79"/>
  <c r="J79"/>
  <c r="K79"/>
  <c r="M79"/>
  <c r="P79"/>
  <c r="R79"/>
  <c r="S79"/>
  <c r="T79"/>
  <c r="U79"/>
  <c r="X79"/>
  <c r="Y79"/>
  <c r="Z79"/>
  <c r="AA79"/>
  <c r="AB79"/>
  <c r="AC79"/>
  <c r="AD79"/>
  <c r="AE79"/>
  <c r="AF79"/>
  <c r="AG79"/>
  <c r="AH79"/>
  <c r="AI79"/>
  <c r="AJ79"/>
  <c r="AK79"/>
  <c r="C80"/>
  <c r="H80"/>
  <c r="I80"/>
  <c r="J80"/>
  <c r="K80"/>
  <c r="M80"/>
  <c r="P80"/>
  <c r="R80"/>
  <c r="S80"/>
  <c r="T80"/>
  <c r="U80"/>
  <c r="X80"/>
  <c r="Y80"/>
  <c r="Z80"/>
  <c r="AA80"/>
  <c r="AB80"/>
  <c r="AC80"/>
  <c r="AD80"/>
  <c r="AE80"/>
  <c r="AF80"/>
  <c r="AG80"/>
  <c r="AH80"/>
  <c r="AI80"/>
  <c r="AJ80"/>
  <c r="AK80"/>
  <c r="C81"/>
  <c r="H81"/>
  <c r="I81"/>
  <c r="J81"/>
  <c r="K81"/>
  <c r="M81"/>
  <c r="P81"/>
  <c r="R81"/>
  <c r="S81"/>
  <c r="T81"/>
  <c r="U81"/>
  <c r="X81"/>
  <c r="Y81"/>
  <c r="Z81"/>
  <c r="AA81"/>
  <c r="AB81"/>
  <c r="AC81"/>
  <c r="AD81"/>
  <c r="AE81"/>
  <c r="AF81"/>
  <c r="AG81"/>
  <c r="AH81"/>
  <c r="AI81"/>
  <c r="AJ81"/>
  <c r="AK81"/>
  <c r="C62"/>
  <c r="H62"/>
  <c r="I62"/>
  <c r="J62"/>
  <c r="K62"/>
  <c r="M62"/>
  <c r="P62"/>
  <c r="R62"/>
  <c r="S62"/>
  <c r="T62"/>
  <c r="U62"/>
  <c r="X62"/>
  <c r="Y62"/>
  <c r="Z62"/>
  <c r="AA62"/>
  <c r="AB62"/>
  <c r="AC62"/>
  <c r="AD62"/>
  <c r="AE62"/>
  <c r="AF62"/>
  <c r="AG62"/>
  <c r="AH62"/>
  <c r="AI62"/>
  <c r="AJ62"/>
  <c r="AK62"/>
  <c r="C63"/>
  <c r="H63"/>
  <c r="I63"/>
  <c r="J63"/>
  <c r="K63"/>
  <c r="M63"/>
  <c r="P63"/>
  <c r="R63"/>
  <c r="S63"/>
  <c r="T63"/>
  <c r="U63"/>
  <c r="X63"/>
  <c r="Y63"/>
  <c r="Z63"/>
  <c r="AA63"/>
  <c r="AB63"/>
  <c r="AC63"/>
  <c r="AD63"/>
  <c r="AE63"/>
  <c r="AF63"/>
  <c r="AG63"/>
  <c r="AH63"/>
  <c r="AI63"/>
  <c r="AJ63"/>
  <c r="AK63"/>
  <c r="C64"/>
  <c r="H64"/>
  <c r="I64"/>
  <c r="J64"/>
  <c r="K64"/>
  <c r="M64"/>
  <c r="P64"/>
  <c r="R64"/>
  <c r="S64"/>
  <c r="T64"/>
  <c r="U64"/>
  <c r="X64"/>
  <c r="Y64"/>
  <c r="Z64"/>
  <c r="AA64"/>
  <c r="AB64"/>
  <c r="AC64"/>
  <c r="AD64"/>
  <c r="AE64"/>
  <c r="AF64"/>
  <c r="AG64"/>
  <c r="AH64"/>
  <c r="AI64"/>
  <c r="AJ64"/>
  <c r="AK64"/>
  <c r="C65"/>
  <c r="H65"/>
  <c r="I65"/>
  <c r="J65"/>
  <c r="K65"/>
  <c r="M65"/>
  <c r="P65"/>
  <c r="R65"/>
  <c r="S65"/>
  <c r="T65"/>
  <c r="U65"/>
  <c r="X65"/>
  <c r="Y65"/>
  <c r="Z65"/>
  <c r="AA65"/>
  <c r="AB65"/>
  <c r="AC65"/>
  <c r="AD65"/>
  <c r="AE65"/>
  <c r="AF65"/>
  <c r="AG65"/>
  <c r="AH65"/>
  <c r="AI65"/>
  <c r="AJ65"/>
  <c r="AK65"/>
  <c r="C66"/>
  <c r="H66"/>
  <c r="I66"/>
  <c r="J66"/>
  <c r="K66"/>
  <c r="M66"/>
  <c r="P66"/>
  <c r="R66"/>
  <c r="S66"/>
  <c r="T66"/>
  <c r="U66"/>
  <c r="X66"/>
  <c r="Y66"/>
  <c r="Z66"/>
  <c r="AA66"/>
  <c r="AB66"/>
  <c r="AC66"/>
  <c r="AD66"/>
  <c r="AE66"/>
  <c r="AF66"/>
  <c r="AG66"/>
  <c r="AH66"/>
  <c r="AI66"/>
  <c r="AJ66"/>
  <c r="AK66"/>
  <c r="C67"/>
  <c r="H67"/>
  <c r="I67"/>
  <c r="J67"/>
  <c r="K67"/>
  <c r="M67"/>
  <c r="P67"/>
  <c r="R67"/>
  <c r="S67"/>
  <c r="T67"/>
  <c r="U67"/>
  <c r="X67"/>
  <c r="Y67"/>
  <c r="Z67"/>
  <c r="AA67"/>
  <c r="AB67"/>
  <c r="AC67"/>
  <c r="AD67"/>
  <c r="AE67"/>
  <c r="AF67"/>
  <c r="AG67"/>
  <c r="AH67"/>
  <c r="AI67"/>
  <c r="AJ67"/>
  <c r="AK67"/>
  <c r="C68"/>
  <c r="H68"/>
  <c r="I68"/>
  <c r="J68"/>
  <c r="K68"/>
  <c r="M68"/>
  <c r="P68"/>
  <c r="R68"/>
  <c r="S68"/>
  <c r="T68"/>
  <c r="U68"/>
  <c r="X68"/>
  <c r="Y68"/>
  <c r="Z68"/>
  <c r="AA68"/>
  <c r="AB68"/>
  <c r="AC68"/>
  <c r="AD68"/>
  <c r="AE68"/>
  <c r="AF68"/>
  <c r="AG68"/>
  <c r="AH68"/>
  <c r="AI68"/>
  <c r="AJ68"/>
  <c r="AK68"/>
  <c r="C69"/>
  <c r="H69"/>
  <c r="I69"/>
  <c r="J69"/>
  <c r="K69"/>
  <c r="M69"/>
  <c r="P69"/>
  <c r="R69"/>
  <c r="S69"/>
  <c r="T69"/>
  <c r="U69"/>
  <c r="X69"/>
  <c r="Y69"/>
  <c r="Z69"/>
  <c r="AA69"/>
  <c r="AB69"/>
  <c r="AC69"/>
  <c r="AD69"/>
  <c r="AE69"/>
  <c r="AF69"/>
  <c r="AG69"/>
  <c r="AH69"/>
  <c r="AI69"/>
  <c r="AJ69"/>
  <c r="AK69"/>
  <c r="C70"/>
  <c r="H70"/>
  <c r="I70"/>
  <c r="J70"/>
  <c r="K70"/>
  <c r="M70"/>
  <c r="P70"/>
  <c r="R70"/>
  <c r="S70"/>
  <c r="T70"/>
  <c r="U70"/>
  <c r="X70"/>
  <c r="Y70"/>
  <c r="Z70"/>
  <c r="AA70"/>
  <c r="AB70"/>
  <c r="AC70"/>
  <c r="AD70"/>
  <c r="AE70"/>
  <c r="AF70"/>
  <c r="AG70"/>
  <c r="AH70"/>
  <c r="AI70"/>
  <c r="AJ70"/>
  <c r="AK70"/>
  <c r="C71"/>
  <c r="H71"/>
  <c r="I71"/>
  <c r="J71"/>
  <c r="K71"/>
  <c r="M71"/>
  <c r="P71"/>
  <c r="R71"/>
  <c r="S71"/>
  <c r="T71"/>
  <c r="U71"/>
  <c r="X71"/>
  <c r="Y71"/>
  <c r="Z71"/>
  <c r="AA71"/>
  <c r="AB71"/>
  <c r="AC71"/>
  <c r="AD71"/>
  <c r="AE71"/>
  <c r="AF71"/>
  <c r="AG71"/>
  <c r="AH71"/>
  <c r="AI71"/>
  <c r="AJ71"/>
  <c r="AK71"/>
  <c r="C52"/>
  <c r="H52"/>
  <c r="I52"/>
  <c r="J52"/>
  <c r="K52"/>
  <c r="M52"/>
  <c r="P52"/>
  <c r="R52"/>
  <c r="S52"/>
  <c r="T52"/>
  <c r="U52"/>
  <c r="X52"/>
  <c r="Y52"/>
  <c r="Z52"/>
  <c r="AA52"/>
  <c r="AB52"/>
  <c r="AC52"/>
  <c r="AD52"/>
  <c r="AE52"/>
  <c r="AF52"/>
  <c r="AG52"/>
  <c r="AH52"/>
  <c r="AI52"/>
  <c r="AJ52"/>
  <c r="AK52"/>
  <c r="C53"/>
  <c r="H53"/>
  <c r="I53"/>
  <c r="J53"/>
  <c r="K53"/>
  <c r="M53"/>
  <c r="P53"/>
  <c r="R53"/>
  <c r="S53"/>
  <c r="T53"/>
  <c r="U53"/>
  <c r="X53"/>
  <c r="Y53"/>
  <c r="Z53"/>
  <c r="AA53"/>
  <c r="AB53"/>
  <c r="AC53"/>
  <c r="AD53"/>
  <c r="AE53"/>
  <c r="AF53"/>
  <c r="AG53"/>
  <c r="AH53"/>
  <c r="AI53"/>
  <c r="AJ53"/>
  <c r="AK53"/>
  <c r="C54"/>
  <c r="H54"/>
  <c r="I54"/>
  <c r="J54"/>
  <c r="K54"/>
  <c r="M54"/>
  <c r="P54"/>
  <c r="R54"/>
  <c r="S54"/>
  <c r="T54"/>
  <c r="U54"/>
  <c r="X54"/>
  <c r="Y54"/>
  <c r="Z54"/>
  <c r="AA54"/>
  <c r="AB54"/>
  <c r="AC54"/>
  <c r="AD54"/>
  <c r="AE54"/>
  <c r="AF54"/>
  <c r="AG54"/>
  <c r="AH54"/>
  <c r="AI54"/>
  <c r="AJ54"/>
  <c r="AK54"/>
  <c r="C55"/>
  <c r="H55"/>
  <c r="I55"/>
  <c r="J55"/>
  <c r="K55"/>
  <c r="M55"/>
  <c r="P55"/>
  <c r="R55"/>
  <c r="S55"/>
  <c r="T55"/>
  <c r="U55"/>
  <c r="X55"/>
  <c r="Y55"/>
  <c r="Z55"/>
  <c r="AA55"/>
  <c r="AB55"/>
  <c r="AC55"/>
  <c r="AD55"/>
  <c r="AE55"/>
  <c r="AF55"/>
  <c r="AG55"/>
  <c r="AH55"/>
  <c r="AI55"/>
  <c r="AJ55"/>
  <c r="AK55"/>
  <c r="C56"/>
  <c r="H56"/>
  <c r="I56"/>
  <c r="J56"/>
  <c r="K56"/>
  <c r="M56"/>
  <c r="P56"/>
  <c r="R56"/>
  <c r="S56"/>
  <c r="T56"/>
  <c r="U56"/>
  <c r="X56"/>
  <c r="Y56"/>
  <c r="Z56"/>
  <c r="AA56"/>
  <c r="AB56"/>
  <c r="AC56"/>
  <c r="AD56"/>
  <c r="AE56"/>
  <c r="AF56"/>
  <c r="AG56"/>
  <c r="AH56"/>
  <c r="AI56"/>
  <c r="AJ56"/>
  <c r="AK56"/>
  <c r="C57"/>
  <c r="H57"/>
  <c r="I57"/>
  <c r="J57"/>
  <c r="K57"/>
  <c r="M57"/>
  <c r="P57"/>
  <c r="R57"/>
  <c r="S57"/>
  <c r="T57"/>
  <c r="U57"/>
  <c r="X57"/>
  <c r="Y57"/>
  <c r="Z57"/>
  <c r="AA57"/>
  <c r="AB57"/>
  <c r="AC57"/>
  <c r="AD57"/>
  <c r="AE57"/>
  <c r="AF57"/>
  <c r="AG57"/>
  <c r="AH57"/>
  <c r="AI57"/>
  <c r="AJ57"/>
  <c r="AK57"/>
  <c r="C58"/>
  <c r="H58"/>
  <c r="I58"/>
  <c r="J58"/>
  <c r="K58"/>
  <c r="M58"/>
  <c r="P58"/>
  <c r="R58"/>
  <c r="S58"/>
  <c r="T58"/>
  <c r="U58"/>
  <c r="X58"/>
  <c r="Y58"/>
  <c r="Z58"/>
  <c r="AA58"/>
  <c r="AB58"/>
  <c r="AC58"/>
  <c r="AD58"/>
  <c r="AE58"/>
  <c r="AF58"/>
  <c r="AG58"/>
  <c r="AH58"/>
  <c r="AI58"/>
  <c r="AJ58"/>
  <c r="AK58"/>
  <c r="C59"/>
  <c r="H59"/>
  <c r="I59"/>
  <c r="J59"/>
  <c r="K59"/>
  <c r="M59"/>
  <c r="P59"/>
  <c r="R59"/>
  <c r="S59"/>
  <c r="T59"/>
  <c r="U59"/>
  <c r="X59"/>
  <c r="Y59"/>
  <c r="Z59"/>
  <c r="AA59"/>
  <c r="AB59"/>
  <c r="AC59"/>
  <c r="AD59"/>
  <c r="AE59"/>
  <c r="AF59"/>
  <c r="AG59"/>
  <c r="AH59"/>
  <c r="AI59"/>
  <c r="AJ59"/>
  <c r="AK59"/>
  <c r="C60"/>
  <c r="H60"/>
  <c r="I60"/>
  <c r="J60"/>
  <c r="K60"/>
  <c r="M60"/>
  <c r="P60"/>
  <c r="R60"/>
  <c r="S60"/>
  <c r="T60"/>
  <c r="U60"/>
  <c r="X60"/>
  <c r="Y60"/>
  <c r="Z60"/>
  <c r="AA60"/>
  <c r="AB60"/>
  <c r="AC60"/>
  <c r="AD60"/>
  <c r="AE60"/>
  <c r="AF60"/>
  <c r="AG60"/>
  <c r="AH60"/>
  <c r="AI60"/>
  <c r="AJ60"/>
  <c r="AK60"/>
  <c r="C61"/>
  <c r="H61"/>
  <c r="I61"/>
  <c r="J61"/>
  <c r="K61"/>
  <c r="M61"/>
  <c r="P61"/>
  <c r="R61"/>
  <c r="S61"/>
  <c r="T61"/>
  <c r="U61"/>
  <c r="X61"/>
  <c r="Y61"/>
  <c r="Z61"/>
  <c r="AA61"/>
  <c r="AB61"/>
  <c r="AC61"/>
  <c r="AD61"/>
  <c r="AE61"/>
  <c r="AF61"/>
  <c r="AG61"/>
  <c r="AH61"/>
  <c r="AI61"/>
  <c r="AJ61"/>
  <c r="AK61"/>
  <c r="C42"/>
  <c r="H42"/>
  <c r="I42"/>
  <c r="J42"/>
  <c r="K42"/>
  <c r="M42"/>
  <c r="P42"/>
  <c r="R42"/>
  <c r="S42"/>
  <c r="T42"/>
  <c r="U42"/>
  <c r="X42"/>
  <c r="Y42"/>
  <c r="Z42"/>
  <c r="AA42"/>
  <c r="AB42"/>
  <c r="AC42"/>
  <c r="AD42"/>
  <c r="AE42"/>
  <c r="AF42"/>
  <c r="AG42"/>
  <c r="AH42"/>
  <c r="AI42"/>
  <c r="AJ42"/>
  <c r="AK42"/>
  <c r="C43"/>
  <c r="H43"/>
  <c r="I43"/>
  <c r="J43"/>
  <c r="K43"/>
  <c r="M43"/>
  <c r="P43"/>
  <c r="R43"/>
  <c r="S43"/>
  <c r="T43"/>
  <c r="U43"/>
  <c r="X43"/>
  <c r="Y43"/>
  <c r="Z43"/>
  <c r="AA43"/>
  <c r="AB43"/>
  <c r="AC43"/>
  <c r="AD43"/>
  <c r="AE43"/>
  <c r="AF43"/>
  <c r="AG43"/>
  <c r="AH43"/>
  <c r="AI43"/>
  <c r="AJ43"/>
  <c r="AK43"/>
  <c r="C44"/>
  <c r="H44"/>
  <c r="I44"/>
  <c r="J44"/>
  <c r="K44"/>
  <c r="M44"/>
  <c r="P44"/>
  <c r="R44"/>
  <c r="S44"/>
  <c r="T44"/>
  <c r="U44"/>
  <c r="X44"/>
  <c r="Y44"/>
  <c r="Z44"/>
  <c r="AA44"/>
  <c r="AB44"/>
  <c r="AC44"/>
  <c r="AD44"/>
  <c r="AE44"/>
  <c r="AF44"/>
  <c r="AG44"/>
  <c r="AH44"/>
  <c r="AI44"/>
  <c r="AJ44"/>
  <c r="AK44"/>
  <c r="C45"/>
  <c r="H45"/>
  <c r="I45"/>
  <c r="J45"/>
  <c r="K45"/>
  <c r="M45"/>
  <c r="P45"/>
  <c r="R45"/>
  <c r="S45"/>
  <c r="T45"/>
  <c r="U45"/>
  <c r="X45"/>
  <c r="Y45"/>
  <c r="Z45"/>
  <c r="AA45"/>
  <c r="AB45"/>
  <c r="AC45"/>
  <c r="AD45"/>
  <c r="AE45"/>
  <c r="AF45"/>
  <c r="AG45"/>
  <c r="AH45"/>
  <c r="AI45"/>
  <c r="AJ45"/>
  <c r="AK45"/>
  <c r="C46"/>
  <c r="H46"/>
  <c r="I46"/>
  <c r="J46"/>
  <c r="K46"/>
  <c r="M46"/>
  <c r="P46"/>
  <c r="R46"/>
  <c r="S46"/>
  <c r="T46"/>
  <c r="U46"/>
  <c r="X46"/>
  <c r="Y46"/>
  <c r="Z46"/>
  <c r="AA46"/>
  <c r="AB46"/>
  <c r="AC46"/>
  <c r="AD46"/>
  <c r="AE46"/>
  <c r="AF46"/>
  <c r="AG46"/>
  <c r="AH46"/>
  <c r="AI46"/>
  <c r="AJ46"/>
  <c r="AK46"/>
  <c r="C47"/>
  <c r="H47"/>
  <c r="I47"/>
  <c r="J47"/>
  <c r="K47"/>
  <c r="M47"/>
  <c r="P47"/>
  <c r="R47"/>
  <c r="S47"/>
  <c r="T47"/>
  <c r="U47"/>
  <c r="X47"/>
  <c r="Y47"/>
  <c r="Z47"/>
  <c r="AA47"/>
  <c r="AB47"/>
  <c r="AC47"/>
  <c r="AD47"/>
  <c r="AE47"/>
  <c r="AF47"/>
  <c r="AG47"/>
  <c r="AH47"/>
  <c r="AI47"/>
  <c r="AJ47"/>
  <c r="AK47"/>
  <c r="C48"/>
  <c r="H48"/>
  <c r="I48"/>
  <c r="J48"/>
  <c r="K48"/>
  <c r="M48"/>
  <c r="P48"/>
  <c r="R48"/>
  <c r="S48"/>
  <c r="T48"/>
  <c r="U48"/>
  <c r="X48"/>
  <c r="Y48"/>
  <c r="Z48"/>
  <c r="AA48"/>
  <c r="AB48"/>
  <c r="AC48"/>
  <c r="AD48"/>
  <c r="AE48"/>
  <c r="AF48"/>
  <c r="AG48"/>
  <c r="AH48"/>
  <c r="AI48"/>
  <c r="AJ48"/>
  <c r="AK48"/>
  <c r="C49"/>
  <c r="H49"/>
  <c r="I49"/>
  <c r="J49"/>
  <c r="K49"/>
  <c r="M49"/>
  <c r="P49"/>
  <c r="R49"/>
  <c r="S49"/>
  <c r="T49"/>
  <c r="U49"/>
  <c r="X49"/>
  <c r="Y49"/>
  <c r="Z49"/>
  <c r="AA49"/>
  <c r="AB49"/>
  <c r="AC49"/>
  <c r="AD49"/>
  <c r="AE49"/>
  <c r="AF49"/>
  <c r="AG49"/>
  <c r="AH49"/>
  <c r="AI49"/>
  <c r="AJ49"/>
  <c r="AK49"/>
  <c r="C50"/>
  <c r="H50"/>
  <c r="I50"/>
  <c r="J50"/>
  <c r="K50"/>
  <c r="M50"/>
  <c r="P50"/>
  <c r="R50"/>
  <c r="S50"/>
  <c r="T50"/>
  <c r="U50"/>
  <c r="X50"/>
  <c r="Y50"/>
  <c r="Z50"/>
  <c r="AA50"/>
  <c r="AB50"/>
  <c r="AC50"/>
  <c r="AD50"/>
  <c r="AE50"/>
  <c r="AF50"/>
  <c r="AG50"/>
  <c r="AH50"/>
  <c r="AI50"/>
  <c r="AJ50"/>
  <c r="AK50"/>
  <c r="C51"/>
  <c r="H51"/>
  <c r="I51"/>
  <c r="J51"/>
  <c r="K51"/>
  <c r="M51"/>
  <c r="P51"/>
  <c r="R51"/>
  <c r="S51"/>
  <c r="T51"/>
  <c r="U51"/>
  <c r="X51"/>
  <c r="Y51"/>
  <c r="Z51"/>
  <c r="AA51"/>
  <c r="AB51"/>
  <c r="AC51"/>
  <c r="AD51"/>
  <c r="AE51"/>
  <c r="AF51"/>
  <c r="AG51"/>
  <c r="AH51"/>
  <c r="AI51"/>
  <c r="AJ51"/>
  <c r="AK51"/>
  <c r="C32"/>
  <c r="H32"/>
  <c r="I32"/>
  <c r="J32"/>
  <c r="K32"/>
  <c r="M32"/>
  <c r="P32"/>
  <c r="R32"/>
  <c r="S32"/>
  <c r="T32"/>
  <c r="U32"/>
  <c r="X32"/>
  <c r="Y32"/>
  <c r="Z32"/>
  <c r="AA32"/>
  <c r="AB32"/>
  <c r="AC32"/>
  <c r="AD32"/>
  <c r="AE32"/>
  <c r="AF32"/>
  <c r="AG32"/>
  <c r="AH32"/>
  <c r="AI32"/>
  <c r="AJ32"/>
  <c r="AK32"/>
  <c r="C33"/>
  <c r="H33"/>
  <c r="I33"/>
  <c r="J33"/>
  <c r="K33"/>
  <c r="M33"/>
  <c r="P33"/>
  <c r="R33"/>
  <c r="S33"/>
  <c r="T33"/>
  <c r="U33"/>
  <c r="X33"/>
  <c r="Y33"/>
  <c r="Z33"/>
  <c r="AA33"/>
  <c r="AB33"/>
  <c r="AC33"/>
  <c r="AD33"/>
  <c r="AE33"/>
  <c r="AF33"/>
  <c r="AG33"/>
  <c r="AH33"/>
  <c r="AI33"/>
  <c r="AJ33"/>
  <c r="AK33"/>
  <c r="C34"/>
  <c r="H34"/>
  <c r="I34"/>
  <c r="J34"/>
  <c r="K34"/>
  <c r="M34"/>
  <c r="P34"/>
  <c r="R34"/>
  <c r="S34"/>
  <c r="T34"/>
  <c r="U34"/>
  <c r="X34"/>
  <c r="Y34"/>
  <c r="Z34"/>
  <c r="AA34"/>
  <c r="AB34"/>
  <c r="AC34"/>
  <c r="AD34"/>
  <c r="AE34"/>
  <c r="AF34"/>
  <c r="AG34"/>
  <c r="AH34"/>
  <c r="AI34"/>
  <c r="AJ34"/>
  <c r="AK34"/>
  <c r="C35"/>
  <c r="H35"/>
  <c r="I35"/>
  <c r="J35"/>
  <c r="K35"/>
  <c r="M35"/>
  <c r="P35"/>
  <c r="R35"/>
  <c r="S35"/>
  <c r="T35"/>
  <c r="U35"/>
  <c r="X35"/>
  <c r="Y35"/>
  <c r="Z35"/>
  <c r="AA35"/>
  <c r="AB35"/>
  <c r="AC35"/>
  <c r="AD35"/>
  <c r="AE35"/>
  <c r="AF35"/>
  <c r="AG35"/>
  <c r="AH35"/>
  <c r="AI35"/>
  <c r="AJ35"/>
  <c r="AK35"/>
  <c r="C36"/>
  <c r="H36"/>
  <c r="I36"/>
  <c r="J36"/>
  <c r="K36"/>
  <c r="M36"/>
  <c r="P36"/>
  <c r="R36"/>
  <c r="S36"/>
  <c r="T36"/>
  <c r="U36"/>
  <c r="X36"/>
  <c r="Y36"/>
  <c r="Z36"/>
  <c r="AA36"/>
  <c r="AB36"/>
  <c r="AC36"/>
  <c r="AD36"/>
  <c r="AE36"/>
  <c r="AF36"/>
  <c r="AG36"/>
  <c r="AH36"/>
  <c r="AI36"/>
  <c r="AJ36"/>
  <c r="AK36"/>
  <c r="C37"/>
  <c r="H37"/>
  <c r="I37"/>
  <c r="J37"/>
  <c r="K37"/>
  <c r="M37"/>
  <c r="P37"/>
  <c r="R37"/>
  <c r="S37"/>
  <c r="T37"/>
  <c r="U37"/>
  <c r="X37"/>
  <c r="Y37"/>
  <c r="Z37"/>
  <c r="AA37"/>
  <c r="AB37"/>
  <c r="AC37"/>
  <c r="AD37"/>
  <c r="AE37"/>
  <c r="AF37"/>
  <c r="AG37"/>
  <c r="AH37"/>
  <c r="AI37"/>
  <c r="AJ37"/>
  <c r="AK37"/>
  <c r="C38"/>
  <c r="H38"/>
  <c r="I38"/>
  <c r="J38"/>
  <c r="K38"/>
  <c r="M38"/>
  <c r="P38"/>
  <c r="R38"/>
  <c r="S38"/>
  <c r="T38"/>
  <c r="U38"/>
  <c r="X38"/>
  <c r="Y38"/>
  <c r="Z38"/>
  <c r="AA38"/>
  <c r="AB38"/>
  <c r="AC38"/>
  <c r="AD38"/>
  <c r="AE38"/>
  <c r="AF38"/>
  <c r="AG38"/>
  <c r="AH38"/>
  <c r="AI38"/>
  <c r="AJ38"/>
  <c r="AK38"/>
  <c r="C39"/>
  <c r="H39"/>
  <c r="I39"/>
  <c r="J39"/>
  <c r="K39"/>
  <c r="M39"/>
  <c r="P39"/>
  <c r="R39"/>
  <c r="S39"/>
  <c r="T39"/>
  <c r="U39"/>
  <c r="X39"/>
  <c r="Y39"/>
  <c r="Z39"/>
  <c r="AA39"/>
  <c r="AB39"/>
  <c r="AC39"/>
  <c r="AD39"/>
  <c r="AE39"/>
  <c r="AF39"/>
  <c r="AG39"/>
  <c r="AH39"/>
  <c r="AI39"/>
  <c r="AJ39"/>
  <c r="AK39"/>
  <c r="C40"/>
  <c r="H40"/>
  <c r="I40"/>
  <c r="J40"/>
  <c r="K40"/>
  <c r="M40"/>
  <c r="P40"/>
  <c r="R40"/>
  <c r="S40"/>
  <c r="T40"/>
  <c r="U40"/>
  <c r="X40"/>
  <c r="Y40"/>
  <c r="Z40"/>
  <c r="AA40"/>
  <c r="AB40"/>
  <c r="AC40"/>
  <c r="AD40"/>
  <c r="AE40"/>
  <c r="AF40"/>
  <c r="AG40"/>
  <c r="AH40"/>
  <c r="AI40"/>
  <c r="AJ40"/>
  <c r="AK40"/>
  <c r="C41"/>
  <c r="H41"/>
  <c r="I41"/>
  <c r="J41"/>
  <c r="K41"/>
  <c r="M41"/>
  <c r="P41"/>
  <c r="R41"/>
  <c r="S41"/>
  <c r="T41"/>
  <c r="U41"/>
  <c r="X41"/>
  <c r="Y41"/>
  <c r="Z41"/>
  <c r="AA41"/>
  <c r="AB41"/>
  <c r="AC41"/>
  <c r="AD41"/>
  <c r="AE41"/>
  <c r="AF41"/>
  <c r="AG41"/>
  <c r="AH41"/>
  <c r="AI41"/>
  <c r="AJ41"/>
  <c r="AK41"/>
  <c r="C22"/>
  <c r="H22"/>
  <c r="I22"/>
  <c r="J22"/>
  <c r="K22"/>
  <c r="M22"/>
  <c r="P22"/>
  <c r="R22"/>
  <c r="S22"/>
  <c r="T22"/>
  <c r="U22"/>
  <c r="X22"/>
  <c r="Y22"/>
  <c r="Z22"/>
  <c r="AA22"/>
  <c r="AB22"/>
  <c r="AC22"/>
  <c r="AD22"/>
  <c r="AE22"/>
  <c r="AF22"/>
  <c r="AG22"/>
  <c r="AH22"/>
  <c r="AI22"/>
  <c r="AJ22"/>
  <c r="AK22"/>
  <c r="C23"/>
  <c r="H23"/>
  <c r="I23"/>
  <c r="J23"/>
  <c r="K23"/>
  <c r="M23"/>
  <c r="P23"/>
  <c r="R23"/>
  <c r="S23"/>
  <c r="T23"/>
  <c r="U23"/>
  <c r="X23"/>
  <c r="Y23"/>
  <c r="Z23"/>
  <c r="AA23"/>
  <c r="AB23"/>
  <c r="AC23"/>
  <c r="AD23"/>
  <c r="AE23"/>
  <c r="AF23"/>
  <c r="AG23"/>
  <c r="AH23"/>
  <c r="AI23"/>
  <c r="AJ23"/>
  <c r="AK23"/>
  <c r="C24"/>
  <c r="H24"/>
  <c r="I24"/>
  <c r="J24"/>
  <c r="K24"/>
  <c r="M24"/>
  <c r="P24"/>
  <c r="R24"/>
  <c r="S24"/>
  <c r="T24"/>
  <c r="U24"/>
  <c r="X24"/>
  <c r="Y24"/>
  <c r="Z24"/>
  <c r="AA24"/>
  <c r="AB24"/>
  <c r="AC24"/>
  <c r="AD24"/>
  <c r="AE24"/>
  <c r="AF24"/>
  <c r="AG24"/>
  <c r="AH24"/>
  <c r="AI24"/>
  <c r="AJ24"/>
  <c r="AK24"/>
  <c r="C25"/>
  <c r="H25"/>
  <c r="I25"/>
  <c r="J25"/>
  <c r="K25"/>
  <c r="M25"/>
  <c r="P25"/>
  <c r="R25"/>
  <c r="S25"/>
  <c r="T25"/>
  <c r="U25"/>
  <c r="X25"/>
  <c r="Y25"/>
  <c r="Z25"/>
  <c r="AA25"/>
  <c r="AB25"/>
  <c r="AC25"/>
  <c r="AD25"/>
  <c r="AE25"/>
  <c r="AF25"/>
  <c r="AG25"/>
  <c r="AH25"/>
  <c r="AI25"/>
  <c r="AJ25"/>
  <c r="AK25"/>
  <c r="C26"/>
  <c r="H26"/>
  <c r="I26"/>
  <c r="J26"/>
  <c r="K26"/>
  <c r="M26"/>
  <c r="P26"/>
  <c r="R26"/>
  <c r="S26"/>
  <c r="T26"/>
  <c r="U26"/>
  <c r="X26"/>
  <c r="Y26"/>
  <c r="Z26"/>
  <c r="AA26"/>
  <c r="AB26"/>
  <c r="AC26"/>
  <c r="AD26"/>
  <c r="AE26"/>
  <c r="AF26"/>
  <c r="AG26"/>
  <c r="AH26"/>
  <c r="AI26"/>
  <c r="AJ26"/>
  <c r="AK26"/>
  <c r="C27"/>
  <c r="H27"/>
  <c r="I27"/>
  <c r="J27"/>
  <c r="K27"/>
  <c r="M27"/>
  <c r="P27"/>
  <c r="R27"/>
  <c r="S27"/>
  <c r="T27"/>
  <c r="U27"/>
  <c r="X27"/>
  <c r="Y27"/>
  <c r="Z27"/>
  <c r="AA27"/>
  <c r="AB27"/>
  <c r="AC27"/>
  <c r="AD27"/>
  <c r="AE27"/>
  <c r="AF27"/>
  <c r="AG27"/>
  <c r="AH27"/>
  <c r="AI27"/>
  <c r="AJ27"/>
  <c r="AK27"/>
  <c r="C28"/>
  <c r="H28"/>
  <c r="I28"/>
  <c r="J28"/>
  <c r="K28"/>
  <c r="M28"/>
  <c r="P28"/>
  <c r="R28"/>
  <c r="S28"/>
  <c r="T28"/>
  <c r="U28"/>
  <c r="X28"/>
  <c r="Y28"/>
  <c r="Z28"/>
  <c r="AA28"/>
  <c r="AB28"/>
  <c r="AC28"/>
  <c r="AD28"/>
  <c r="AE28"/>
  <c r="AF28"/>
  <c r="AG28"/>
  <c r="AH28"/>
  <c r="AI28"/>
  <c r="AJ28"/>
  <c r="AK28"/>
  <c r="C29"/>
  <c r="H29"/>
  <c r="I29"/>
  <c r="J29"/>
  <c r="K29"/>
  <c r="M29"/>
  <c r="P29"/>
  <c r="R29"/>
  <c r="S29"/>
  <c r="T29"/>
  <c r="U29"/>
  <c r="X29"/>
  <c r="Y29"/>
  <c r="Z29"/>
  <c r="AA29"/>
  <c r="AB29"/>
  <c r="AC29"/>
  <c r="AD29"/>
  <c r="AE29"/>
  <c r="AF29"/>
  <c r="AG29"/>
  <c r="AH29"/>
  <c r="AI29"/>
  <c r="AJ29"/>
  <c r="AK29"/>
  <c r="C30"/>
  <c r="H30"/>
  <c r="I30"/>
  <c r="J30"/>
  <c r="K30"/>
  <c r="M30"/>
  <c r="P30"/>
  <c r="R30"/>
  <c r="S30"/>
  <c r="T30"/>
  <c r="U30"/>
  <c r="X30"/>
  <c r="Y30"/>
  <c r="Z30"/>
  <c r="AA30"/>
  <c r="AB30"/>
  <c r="AC30"/>
  <c r="AD30"/>
  <c r="AE30"/>
  <c r="AF30"/>
  <c r="AG30"/>
  <c r="AH30"/>
  <c r="AI30"/>
  <c r="AJ30"/>
  <c r="AK30"/>
  <c r="C31"/>
  <c r="H31"/>
  <c r="I31"/>
  <c r="J31"/>
  <c r="K31"/>
  <c r="M31"/>
  <c r="P31"/>
  <c r="R31"/>
  <c r="S31"/>
  <c r="T31"/>
  <c r="U31"/>
  <c r="X31"/>
  <c r="Y31"/>
  <c r="Z31"/>
  <c r="AA31"/>
  <c r="AB31"/>
  <c r="AC31"/>
  <c r="AD31"/>
  <c r="AE31"/>
  <c r="AF31"/>
  <c r="AG31"/>
  <c r="AH31"/>
  <c r="AI31"/>
  <c r="AJ31"/>
  <c r="AK31"/>
  <c r="C12"/>
  <c r="H12"/>
  <c r="I12"/>
  <c r="J12"/>
  <c r="K12"/>
  <c r="M12"/>
  <c r="P12"/>
  <c r="R12"/>
  <c r="S12"/>
  <c r="T12"/>
  <c r="U12"/>
  <c r="X12"/>
  <c r="Y12"/>
  <c r="Z12"/>
  <c r="AA12"/>
  <c r="AB12"/>
  <c r="AC12"/>
  <c r="AD12"/>
  <c r="AE12"/>
  <c r="AF12"/>
  <c r="AG12"/>
  <c r="AH12"/>
  <c r="AI12"/>
  <c r="AJ12"/>
  <c r="AK12"/>
  <c r="C13"/>
  <c r="H13"/>
  <c r="I13"/>
  <c r="J13"/>
  <c r="K13"/>
  <c r="M13"/>
  <c r="P13"/>
  <c r="R13"/>
  <c r="S13"/>
  <c r="T13"/>
  <c r="U13"/>
  <c r="X13"/>
  <c r="Y13"/>
  <c r="Z13"/>
  <c r="AA13"/>
  <c r="AB13"/>
  <c r="AC13"/>
  <c r="AD13"/>
  <c r="AE13"/>
  <c r="AF13"/>
  <c r="AG13"/>
  <c r="AH13"/>
  <c r="AI13"/>
  <c r="AJ13"/>
  <c r="AK13"/>
  <c r="C14"/>
  <c r="H14"/>
  <c r="I14"/>
  <c r="J14"/>
  <c r="K14"/>
  <c r="M14"/>
  <c r="P14"/>
  <c r="R14"/>
  <c r="S14"/>
  <c r="T14"/>
  <c r="U14"/>
  <c r="X14"/>
  <c r="Y14"/>
  <c r="Z14"/>
  <c r="AA14"/>
  <c r="AB14"/>
  <c r="AC14"/>
  <c r="AD14"/>
  <c r="AE14"/>
  <c r="AF14"/>
  <c r="AG14"/>
  <c r="AH14"/>
  <c r="AI14"/>
  <c r="AJ14"/>
  <c r="AK14"/>
  <c r="C15"/>
  <c r="H15"/>
  <c r="I15"/>
  <c r="J15"/>
  <c r="K15"/>
  <c r="M15"/>
  <c r="P15"/>
  <c r="R15"/>
  <c r="S15"/>
  <c r="T15"/>
  <c r="U15"/>
  <c r="X15"/>
  <c r="Y15"/>
  <c r="Z15"/>
  <c r="AA15"/>
  <c r="AB15"/>
  <c r="AC15"/>
  <c r="AD15"/>
  <c r="AE15"/>
  <c r="AF15"/>
  <c r="AG15"/>
  <c r="AH15"/>
  <c r="AI15"/>
  <c r="AJ15"/>
  <c r="AK15"/>
  <c r="C16"/>
  <c r="H16"/>
  <c r="I16"/>
  <c r="J16"/>
  <c r="K16"/>
  <c r="M16"/>
  <c r="P16"/>
  <c r="R16"/>
  <c r="S16"/>
  <c r="T16"/>
  <c r="U16"/>
  <c r="X16"/>
  <c r="Y16"/>
  <c r="Z16"/>
  <c r="AA16"/>
  <c r="AB16"/>
  <c r="AC16"/>
  <c r="AD16"/>
  <c r="AE16"/>
  <c r="AF16"/>
  <c r="AG16"/>
  <c r="AH16"/>
  <c r="AI16"/>
  <c r="AJ16"/>
  <c r="AK16"/>
  <c r="C17"/>
  <c r="H17"/>
  <c r="I17"/>
  <c r="J17"/>
  <c r="K17"/>
  <c r="M17"/>
  <c r="P17"/>
  <c r="R17"/>
  <c r="S17"/>
  <c r="T17"/>
  <c r="U17"/>
  <c r="X17"/>
  <c r="Y17"/>
  <c r="Z17"/>
  <c r="AA17"/>
  <c r="AB17"/>
  <c r="AC17"/>
  <c r="AD17"/>
  <c r="AE17"/>
  <c r="AF17"/>
  <c r="AG17"/>
  <c r="AH17"/>
  <c r="AI17"/>
  <c r="AJ17"/>
  <c r="AK17"/>
  <c r="C18"/>
  <c r="H18"/>
  <c r="I18"/>
  <c r="J18"/>
  <c r="K18"/>
  <c r="M18"/>
  <c r="P18"/>
  <c r="R18"/>
  <c r="S18"/>
  <c r="T18"/>
  <c r="U18"/>
  <c r="X18"/>
  <c r="Y18"/>
  <c r="Z18"/>
  <c r="AA18"/>
  <c r="AB18"/>
  <c r="AC18"/>
  <c r="AD18"/>
  <c r="AE18"/>
  <c r="AF18"/>
  <c r="AG18"/>
  <c r="AH18"/>
  <c r="AI18"/>
  <c r="AJ18"/>
  <c r="AK18"/>
  <c r="C19"/>
  <c r="H19"/>
  <c r="I19"/>
  <c r="J19"/>
  <c r="K19"/>
  <c r="M19"/>
  <c r="P19"/>
  <c r="R19"/>
  <c r="S19"/>
  <c r="T19"/>
  <c r="U19"/>
  <c r="X19"/>
  <c r="Y19"/>
  <c r="Z19"/>
  <c r="AA19"/>
  <c r="AB19"/>
  <c r="AC19"/>
  <c r="AD19"/>
  <c r="AE19"/>
  <c r="AF19"/>
  <c r="AG19"/>
  <c r="AH19"/>
  <c r="AI19"/>
  <c r="AJ19"/>
  <c r="AK19"/>
  <c r="C20"/>
  <c r="H20"/>
  <c r="I20"/>
  <c r="J20"/>
  <c r="K20"/>
  <c r="M20"/>
  <c r="P20"/>
  <c r="R20"/>
  <c r="S20"/>
  <c r="T20"/>
  <c r="U20"/>
  <c r="X20"/>
  <c r="Y20"/>
  <c r="Z20"/>
  <c r="AA20"/>
  <c r="AB20"/>
  <c r="AC20"/>
  <c r="AD20"/>
  <c r="AE20"/>
  <c r="AF20"/>
  <c r="AG20"/>
  <c r="AH20"/>
  <c r="AI20"/>
  <c r="AJ20"/>
  <c r="AK20"/>
  <c r="C21"/>
  <c r="H21"/>
  <c r="I21"/>
  <c r="J21"/>
  <c r="K21"/>
  <c r="M21"/>
  <c r="P21"/>
  <c r="R21"/>
  <c r="S21"/>
  <c r="T21"/>
  <c r="U21"/>
  <c r="X21"/>
  <c r="Y21"/>
  <c r="Z21"/>
  <c r="AA21"/>
  <c r="AB21"/>
  <c r="AC21"/>
  <c r="AD21"/>
  <c r="AE21"/>
  <c r="AF21"/>
  <c r="AG21"/>
  <c r="AH21"/>
  <c r="AI21"/>
  <c r="AJ21"/>
  <c r="AK21"/>
  <c r="C2"/>
  <c r="H2"/>
  <c r="I2"/>
  <c r="J2"/>
  <c r="K2"/>
  <c r="M2"/>
  <c r="P2"/>
  <c r="R2"/>
  <c r="S2"/>
  <c r="T2"/>
  <c r="U2"/>
  <c r="X2"/>
  <c r="Y2"/>
  <c r="Z2"/>
  <c r="AA2"/>
  <c r="AB2"/>
  <c r="AC2"/>
  <c r="AD2"/>
  <c r="AE2"/>
  <c r="AF2"/>
  <c r="AG2"/>
  <c r="AH2"/>
  <c r="AI2"/>
  <c r="AJ2"/>
  <c r="AK2"/>
  <c r="C3"/>
  <c r="H3"/>
  <c r="I3"/>
  <c r="J3"/>
  <c r="K3"/>
  <c r="M3"/>
  <c r="P3"/>
  <c r="R3"/>
  <c r="S3"/>
  <c r="T3"/>
  <c r="U3"/>
  <c r="X3"/>
  <c r="Y3"/>
  <c r="Z3"/>
  <c r="AA3"/>
  <c r="AB3"/>
  <c r="AC3"/>
  <c r="AD3"/>
  <c r="AE3"/>
  <c r="AF3"/>
  <c r="AG3"/>
  <c r="AH3"/>
  <c r="AI3"/>
  <c r="AJ3"/>
  <c r="AK3"/>
  <c r="C4"/>
  <c r="H4"/>
  <c r="I4"/>
  <c r="J4"/>
  <c r="K4"/>
  <c r="M4"/>
  <c r="P4"/>
  <c r="R4"/>
  <c r="S4"/>
  <c r="T4"/>
  <c r="U4"/>
  <c r="X4"/>
  <c r="Y4"/>
  <c r="Z4"/>
  <c r="AA4"/>
  <c r="AB4"/>
  <c r="AC4"/>
  <c r="AD4"/>
  <c r="AE4"/>
  <c r="AF4"/>
  <c r="AG4"/>
  <c r="AH4"/>
  <c r="AI4"/>
  <c r="AJ4"/>
  <c r="AK4"/>
  <c r="C5"/>
  <c r="H5"/>
  <c r="I5"/>
  <c r="J5"/>
  <c r="K5"/>
  <c r="M5"/>
  <c r="P5"/>
  <c r="R5"/>
  <c r="S5"/>
  <c r="T5"/>
  <c r="U5"/>
  <c r="X5"/>
  <c r="Y5"/>
  <c r="Z5"/>
  <c r="AA5"/>
  <c r="AB5"/>
  <c r="AC5"/>
  <c r="AD5"/>
  <c r="AE5"/>
  <c r="AF5"/>
  <c r="AG5"/>
  <c r="AH5"/>
  <c r="AI5"/>
  <c r="AJ5"/>
  <c r="AK5"/>
  <c r="C6"/>
  <c r="H6"/>
  <c r="I6"/>
  <c r="J6"/>
  <c r="K6"/>
  <c r="M6"/>
  <c r="P6"/>
  <c r="R6"/>
  <c r="S6"/>
  <c r="T6"/>
  <c r="U6"/>
  <c r="X6"/>
  <c r="Y6"/>
  <c r="Z6"/>
  <c r="AA6"/>
  <c r="AB6"/>
  <c r="AC6"/>
  <c r="AD6"/>
  <c r="AE6"/>
  <c r="AF6"/>
  <c r="AG6"/>
  <c r="AH6"/>
  <c r="AI6"/>
  <c r="AJ6"/>
  <c r="AK6"/>
  <c r="C7"/>
  <c r="H7"/>
  <c r="I7"/>
  <c r="J7"/>
  <c r="K7"/>
  <c r="M7"/>
  <c r="P7"/>
  <c r="R7"/>
  <c r="S7"/>
  <c r="T7"/>
  <c r="U7"/>
  <c r="X7"/>
  <c r="Y7"/>
  <c r="Z7"/>
  <c r="AA7"/>
  <c r="AB7"/>
  <c r="AC7"/>
  <c r="AD7"/>
  <c r="AE7"/>
  <c r="AF7"/>
  <c r="AG7"/>
  <c r="AH7"/>
  <c r="AI7"/>
  <c r="AJ7"/>
  <c r="AK7"/>
  <c r="C8"/>
  <c r="H8"/>
  <c r="I8"/>
  <c r="J8"/>
  <c r="K8"/>
  <c r="M8"/>
  <c r="P8"/>
  <c r="R8"/>
  <c r="S8"/>
  <c r="T8"/>
  <c r="U8"/>
  <c r="X8"/>
  <c r="Y8"/>
  <c r="Z8"/>
  <c r="AA8"/>
  <c r="AB8"/>
  <c r="AC8"/>
  <c r="AD8"/>
  <c r="AE8"/>
  <c r="AF8"/>
  <c r="AG8"/>
  <c r="AH8"/>
  <c r="AI8"/>
  <c r="AJ8"/>
  <c r="AK8"/>
  <c r="C9"/>
  <c r="H9"/>
  <c r="I9"/>
  <c r="J9"/>
  <c r="K9"/>
  <c r="M9"/>
  <c r="P9"/>
  <c r="R9"/>
  <c r="S9"/>
  <c r="T9"/>
  <c r="U9"/>
  <c r="X9"/>
  <c r="Y9"/>
  <c r="Z9"/>
  <c r="AA9"/>
  <c r="AB9"/>
  <c r="AC9"/>
  <c r="AD9"/>
  <c r="AE9"/>
  <c r="AF9"/>
  <c r="AG9"/>
  <c r="AH9"/>
  <c r="AI9"/>
  <c r="AJ9"/>
  <c r="AK9"/>
  <c r="C10"/>
  <c r="H10"/>
  <c r="I10"/>
  <c r="J10"/>
  <c r="K10"/>
  <c r="M10"/>
  <c r="P10"/>
  <c r="R10"/>
  <c r="S10"/>
  <c r="T10"/>
  <c r="U10"/>
  <c r="X10"/>
  <c r="Y10"/>
  <c r="Z10"/>
  <c r="AA10"/>
  <c r="AB10"/>
  <c r="AC10"/>
  <c r="AD10"/>
  <c r="AE10"/>
  <c r="AF10"/>
  <c r="AG10"/>
  <c r="AH10"/>
  <c r="AI10"/>
  <c r="AJ10"/>
  <c r="AK10"/>
  <c r="C11"/>
  <c r="H11"/>
  <c r="I11"/>
  <c r="J11"/>
  <c r="K11"/>
  <c r="M11"/>
  <c r="P11"/>
  <c r="R11"/>
  <c r="S11"/>
  <c r="T11"/>
  <c r="U11"/>
  <c r="X11"/>
  <c r="Y11"/>
  <c r="Z11"/>
  <c r="AA11"/>
  <c r="AB11"/>
  <c r="AC11"/>
  <c r="AD11"/>
  <c r="AE11"/>
  <c r="AF11"/>
  <c r="AG11"/>
  <c r="AH11"/>
  <c r="AI11"/>
  <c r="AJ11"/>
  <c r="AK11"/>
</calcChain>
</file>

<file path=xl/sharedStrings.xml><?xml version="1.0" encoding="utf-8"?>
<sst xmlns="http://schemas.openxmlformats.org/spreadsheetml/2006/main" count="37" uniqueCount="37">
  <si>
    <t>مقدار حواله</t>
  </si>
  <si>
    <t>شماره حواله</t>
  </si>
  <si>
    <t xml:space="preserve">آدرس حمل </t>
  </si>
  <si>
    <t>نرخ قرارداد</t>
  </si>
  <si>
    <t>مقدار تحويل شده</t>
  </si>
  <si>
    <t>سال مالي</t>
  </si>
  <si>
    <t>مانده تحويل نشده</t>
  </si>
  <si>
    <t>تاريخ حواله</t>
  </si>
  <si>
    <t>واحد سنجش</t>
  </si>
  <si>
    <t>كد كالا</t>
  </si>
  <si>
    <t>نام كالا</t>
  </si>
  <si>
    <t>كد انبار</t>
  </si>
  <si>
    <t>نام انبار</t>
  </si>
  <si>
    <t>كد مشتري</t>
  </si>
  <si>
    <t>VchItmId</t>
  </si>
  <si>
    <t>نام مشتري</t>
  </si>
  <si>
    <t>کد مرکز فروش</t>
  </si>
  <si>
    <t>مركز فروش</t>
  </si>
  <si>
    <t>مبناي حواله</t>
  </si>
  <si>
    <t>رزرو موجودي</t>
  </si>
  <si>
    <t>پيمانکار حمل</t>
  </si>
  <si>
    <t>شماره قرارداد</t>
  </si>
  <si>
    <t>شماره مبنا</t>
  </si>
  <si>
    <t>شماره قرارداد بورسي</t>
  </si>
  <si>
    <t>تاريخ قرارداد</t>
  </si>
  <si>
    <t>شماره درخواست</t>
  </si>
  <si>
    <t>عنوان پروژه</t>
  </si>
  <si>
    <t>تاريخ درخواست</t>
  </si>
  <si>
    <t>استان</t>
  </si>
  <si>
    <t>تاريخ قرارداد بورسي</t>
  </si>
  <si>
    <t>وضعيت حواله</t>
  </si>
  <si>
    <t>شماره پروانه صادراتي</t>
  </si>
  <si>
    <t>نماينده معرفي شده</t>
  </si>
  <si>
    <t>تاريخ قرارداد وزارت راه</t>
  </si>
  <si>
    <t>شماره قرارداد وزارت راه</t>
  </si>
  <si>
    <t>شناسه حواله</t>
  </si>
  <si>
    <t>شناسه طرح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</si>
</sst>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178"/>
      <scheme val="minor"/>
    </font>
    <font>
      <sz val="11"/>
      <color theme="1"/>
      <name val="Tahoma"/>
      <family val="2"/>
    </font>
    <font>
      <b/>
      <sz val="11"/>
      <color rgb="FF0000FF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K2108"/>
  <sheetViews>
    <sheetView rightToLeft="1" tabSelected="1" topLeftCell="A2067" workbookViewId="0">
      <selection activeCell="A2102" sqref="A2102:AK2108"/>
    </sheetView>
  </sheetViews>
  <sheetFormatPr defaultRowHeight="14.25"/>
  <cols>
    <col min="1" max="2" width="20.7109375" style="1" customWidth="1"/>
    <col min="3" max="3" width="255.7109375" style="1" customWidth="1"/>
    <col min="4" max="8" width="20.7109375" style="1" customWidth="1"/>
    <col min="9" max="9" width="30.7109375" style="1" customWidth="1"/>
    <col min="10" max="10" width="50.7109375" style="1" customWidth="1"/>
    <col min="11" max="11" width="255.7109375" style="1" customWidth="1"/>
    <col min="12" max="12" width="20.7109375" style="1" customWidth="1"/>
    <col min="13" max="13" width="50.7109375" style="1" customWidth="1"/>
    <col min="14" max="15" width="20.7109375" style="1" customWidth="1"/>
    <col min="16" max="16" width="200.7109375" style="1" customWidth="1"/>
    <col min="17" max="17" width="20.7109375" style="1" customWidth="1"/>
    <col min="18" max="18" width="100.7109375" style="1" customWidth="1"/>
    <col min="19" max="20" width="20.7109375" style="1" customWidth="1"/>
    <col min="21" max="21" width="201.7109375" style="1" customWidth="1"/>
    <col min="22" max="25" width="20.7109375" style="1" customWidth="1"/>
    <col min="26" max="27" width="50.7109375" style="1" customWidth="1"/>
    <col min="28" max="28" width="20.7109375" style="1" customWidth="1"/>
    <col min="29" max="29" width="50.7109375" style="1" customWidth="1"/>
    <col min="30" max="31" width="20.7109375" style="1" customWidth="1"/>
    <col min="32" max="32" width="50.7109375" style="1" customWidth="1"/>
    <col min="33" max="33" width="30.7109375" style="1" customWidth="1"/>
    <col min="34" max="35" width="20.7109375" style="1" customWidth="1"/>
    <col min="36" max="37" width="50.7109375" style="1" customWidth="1"/>
    <col min="38" max="16384" width="9.140625" style="1"/>
  </cols>
  <sheetData>
    <row r="1" spans="1:3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</row>
    <row r="2" spans="1:37">
      <c r="A2" s="1">
        <v>78411</v>
      </c>
      <c r="B2" s="1">
        <v>962000259</v>
      </c>
      <c r="C2" s="1" t="str">
        <f>"تخليه -خراسان جنوبي -كيلومتر5جاده فردوس -سرايان كارخانه آسفالت شهرداري سرايان"</f>
        <v>تخليه -خراسان جنوبي -كيلومتر5جاده فردوس -سرايان كارخانه آسفالت شهرداري سرايان</v>
      </c>
      <c r="D2" s="1">
        <v>9113</v>
      </c>
      <c r="E2" s="1">
        <v>0</v>
      </c>
      <c r="F2" s="1">
        <v>96</v>
      </c>
      <c r="G2" s="1">
        <v>78411</v>
      </c>
      <c r="H2" s="1" t="str">
        <f>"96/09/08"</f>
        <v>96/09/08</v>
      </c>
      <c r="I2" s="1" t="str">
        <f>"كيلوگرم"</f>
        <v>كيلوگرم</v>
      </c>
      <c r="J2" s="1" t="str">
        <f>"0000000076"</f>
        <v>0000000076</v>
      </c>
      <c r="K2" s="1" t="str">
        <f>"قير 60/70 - فله"</f>
        <v>قير 60/70 - فله</v>
      </c>
      <c r="L2" s="1">
        <v>100</v>
      </c>
      <c r="M2" s="1" t="str">
        <f>"مخازن قير اصفهان"</f>
        <v>مخازن قير اصفهان</v>
      </c>
      <c r="N2" s="1">
        <v>7170</v>
      </c>
      <c r="O2" s="1">
        <v>50037388</v>
      </c>
      <c r="P2" s="1" t="str">
        <f>"  شهرداري سرايان"</f>
        <v xml:space="preserve">  شهرداري سرايان</v>
      </c>
      <c r="Q2" s="1">
        <v>20</v>
      </c>
      <c r="R2" s="1" t="str">
        <f>"فروش داخلي - سازمان شهرداري ها و دهياري هاي كشور"</f>
        <v>فروش داخلي - سازمان شهرداري ها و دهياري هاي كشور</v>
      </c>
      <c r="S2" s="1" t="str">
        <f>"قرارداد فروش"</f>
        <v>قرارداد فروش</v>
      </c>
      <c r="T2" s="1" t="str">
        <f>"ندارد"</f>
        <v>ندارد</v>
      </c>
      <c r="U2" s="1" t="str">
        <f>"تعاوني جم گستر (1001 ج 89)"</f>
        <v>تعاوني جم گستر (1001 ج 89)</v>
      </c>
      <c r="V2" s="1">
        <v>962000259</v>
      </c>
      <c r="W2" s="1">
        <v>962000259</v>
      </c>
      <c r="X2" s="1" t="str">
        <f>"1396514467"</f>
        <v>1396514467</v>
      </c>
      <c r="Y2" s="1" t="str">
        <f>"96/09/08"</f>
        <v>96/09/08</v>
      </c>
      <c r="Z2" s="1" t="str">
        <f>"37084مرحله دوم"</f>
        <v>37084مرحله دوم</v>
      </c>
      <c r="AA2" s="1" t="str">
        <f>"شهرداريها"</f>
        <v>شهرداريها</v>
      </c>
      <c r="AB2" s="1" t="str">
        <f>"96/09/04"</f>
        <v>96/09/04</v>
      </c>
      <c r="AC2" s="1" t="str">
        <f>"خراسان جنوبي"</f>
        <v>خراسان جنوبي</v>
      </c>
      <c r="AD2" s="1" t="str">
        <f>"96/07/03"</f>
        <v>96/07/03</v>
      </c>
      <c r="AE2" s="1" t="str">
        <f>"ابطال شده"</f>
        <v>ابطال شده</v>
      </c>
      <c r="AF2" s="1" t="str">
        <f>""</f>
        <v/>
      </c>
      <c r="AG2" s="1" t="str">
        <f>""</f>
        <v/>
      </c>
      <c r="AH2" s="1" t="str">
        <f>""</f>
        <v/>
      </c>
      <c r="AI2" s="1" t="str">
        <f>""</f>
        <v/>
      </c>
      <c r="AJ2" s="1" t="str">
        <f>""</f>
        <v/>
      </c>
      <c r="AK2" s="1" t="str">
        <f>""</f>
        <v/>
      </c>
    </row>
    <row r="3" spans="1:37">
      <c r="A3" s="1">
        <v>579000</v>
      </c>
      <c r="B3" s="1">
        <v>966100017</v>
      </c>
      <c r="C3" s="1" t="str">
        <f>"تخليه يزدكارخانه آسفالت شركت زاويه سازيزد"</f>
        <v>تخليه يزدكارخانه آسفالت شركت زاويه سازيزد</v>
      </c>
      <c r="D3" s="1">
        <v>13600</v>
      </c>
      <c r="E3" s="1">
        <v>0</v>
      </c>
      <c r="F3" s="1">
        <v>96</v>
      </c>
      <c r="G3" s="1">
        <v>579000</v>
      </c>
      <c r="H3" s="1" t="str">
        <f>"96/06/19"</f>
        <v>96/06/19</v>
      </c>
      <c r="I3" s="1" t="str">
        <f>"كيلوگرم"</f>
        <v>كيلوگرم</v>
      </c>
      <c r="J3" s="1" t="str">
        <f>"0000000091"</f>
        <v>0000000091</v>
      </c>
      <c r="K3" s="1" t="str">
        <f>"قير  PG64-22"</f>
        <v>قير  PG64-22</v>
      </c>
      <c r="L3" s="1">
        <v>100</v>
      </c>
      <c r="M3" s="1" t="str">
        <f>"مخازن قير اصفهان"</f>
        <v>مخازن قير اصفهان</v>
      </c>
      <c r="N3" s="1">
        <v>1602</v>
      </c>
      <c r="O3" s="1">
        <v>50035931</v>
      </c>
      <c r="P3" s="1" t="str">
        <f>"  اداره كل راه و شهرسازي يزد"</f>
        <v xml:space="preserve">  اداره كل راه و شهرسازي يزد</v>
      </c>
      <c r="Q3" s="1">
        <v>61</v>
      </c>
      <c r="R3" s="1" t="str">
        <f>"فروش داخلي - وزارت راه - مسكن مهر"</f>
        <v>فروش داخلي - وزارت راه - مسكن مهر</v>
      </c>
      <c r="S3" s="1" t="str">
        <f>"قرارداد فروش"</f>
        <v>قرارداد فروش</v>
      </c>
      <c r="T3" s="1" t="str">
        <f>"ندارد"</f>
        <v>ندارد</v>
      </c>
      <c r="U3" s="1" t="str">
        <f>"قانعي محمدرضا(1011ج89)"</f>
        <v>قانعي محمدرضا(1011ج89)</v>
      </c>
      <c r="V3" s="1">
        <v>966100017</v>
      </c>
      <c r="W3" s="1">
        <v>966100017</v>
      </c>
      <c r="X3" s="1" t="str">
        <f>"1396511133"</f>
        <v>1396511133</v>
      </c>
      <c r="Y3" s="1" t="str">
        <f>"96/06/19"</f>
        <v>96/06/19</v>
      </c>
      <c r="Z3" s="1" t="str">
        <f>"29621/710"</f>
        <v>29621/710</v>
      </c>
      <c r="AA3" s="1" t="str">
        <f>"مسكن مهر-وزارت راه"</f>
        <v>مسكن مهر-وزارت راه</v>
      </c>
      <c r="AB3" s="1" t="str">
        <f>"96/06/15"</f>
        <v>96/06/15</v>
      </c>
      <c r="AC3" s="1" t="str">
        <f>"استان يزد"</f>
        <v>استان يزد</v>
      </c>
      <c r="AD3" s="1" t="str">
        <f>"96/06/19"</f>
        <v>96/06/19</v>
      </c>
      <c r="AE3" s="1" t="str">
        <f>"ابطال شده"</f>
        <v>ابطال شده</v>
      </c>
      <c r="AF3" s="1" t="str">
        <f>""</f>
        <v/>
      </c>
      <c r="AG3" s="1" t="str">
        <f>""</f>
        <v/>
      </c>
      <c r="AH3" s="1" t="str">
        <f>""</f>
        <v/>
      </c>
      <c r="AI3" s="1" t="str">
        <f>""</f>
        <v/>
      </c>
      <c r="AJ3" s="1" t="str">
        <f>""</f>
        <v/>
      </c>
      <c r="AK3" s="1" t="str">
        <f>""</f>
        <v/>
      </c>
    </row>
    <row r="4" spans="1:37">
      <c r="A4" s="1">
        <v>1000000</v>
      </c>
      <c r="B4" s="1">
        <v>961900188</v>
      </c>
      <c r="C4" s="1" t="str">
        <f>"تخليه ايرانشهرشهرستان چابهاركارخانه آسفالت اسپادانا"</f>
        <v>تخليه ايرانشهرشهرستان چابهاركارخانه آسفالت اسپادانا</v>
      </c>
      <c r="D4" s="1">
        <v>13600</v>
      </c>
      <c r="E4" s="1">
        <v>0</v>
      </c>
      <c r="F4" s="1">
        <v>96</v>
      </c>
      <c r="G4" s="1">
        <v>1000000</v>
      </c>
      <c r="H4" s="1" t="str">
        <f>"96/09/11"</f>
        <v>96/09/11</v>
      </c>
      <c r="I4" s="1" t="str">
        <f>"كيلوگرم"</f>
        <v>كيلوگرم</v>
      </c>
      <c r="J4" s="1" t="str">
        <f>"0000000092"</f>
        <v>0000000092</v>
      </c>
      <c r="K4" s="1" t="str">
        <f>"قير  PG64-16"</f>
        <v>قير  PG64-16</v>
      </c>
      <c r="L4" s="1">
        <v>100</v>
      </c>
      <c r="M4" s="1" t="str">
        <f>"مخازن قير اصفهان"</f>
        <v>مخازن قير اصفهان</v>
      </c>
      <c r="N4" s="1">
        <v>11498</v>
      </c>
      <c r="O4" s="1">
        <v>50037404</v>
      </c>
      <c r="P4" s="1" t="str">
        <f>"  مهندسي راه وآب و فاضلاب رهاب ايرانشهر"</f>
        <v xml:space="preserve">  مهندسي راه وآب و فاضلاب رهاب ايرانشهر</v>
      </c>
      <c r="Q4" s="1">
        <v>19</v>
      </c>
      <c r="R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4" s="1" t="str">
        <f>"قرارداد فروش"</f>
        <v>قرارداد فروش</v>
      </c>
      <c r="T4" s="1" t="str">
        <f>"ندارد"</f>
        <v>ندارد</v>
      </c>
      <c r="U4" s="1" t="str">
        <f>"راه وساختماني سنگ وكوه(5859000)"</f>
        <v>راه وساختماني سنگ وكوه(5859000)</v>
      </c>
      <c r="V4" s="1">
        <v>961900188</v>
      </c>
      <c r="W4" s="1">
        <v>961900188</v>
      </c>
      <c r="X4" s="1" t="str">
        <f>"1396529175"</f>
        <v>1396529175</v>
      </c>
      <c r="Y4" s="1" t="str">
        <f>"96/09/11"</f>
        <v>96/09/11</v>
      </c>
      <c r="Z4" s="1" t="str">
        <f>"43654/710"</f>
        <v>43654/710</v>
      </c>
      <c r="AA4" s="1" t="str">
        <f>"سازمان راهداري وحمل نقل جاده اي"</f>
        <v>سازمان راهداري وحمل نقل جاده اي</v>
      </c>
      <c r="AB4" s="1" t="str">
        <f>"96/08/24"</f>
        <v>96/08/24</v>
      </c>
      <c r="AC4" s="1" t="str">
        <f>"ايرانشهر"</f>
        <v>ايرانشهر</v>
      </c>
      <c r="AD4" s="1" t="str">
        <f>"96/09/08"</f>
        <v>96/09/08</v>
      </c>
      <c r="AE4" s="1" t="str">
        <f>"ابطال شده"</f>
        <v>ابطال شده</v>
      </c>
      <c r="AF4" s="1" t="str">
        <f>""</f>
        <v/>
      </c>
      <c r="AG4" s="1" t="str">
        <f>""</f>
        <v/>
      </c>
      <c r="AH4" s="1" t="str">
        <f>""</f>
        <v/>
      </c>
      <c r="AI4" s="1" t="str">
        <f>""</f>
        <v/>
      </c>
      <c r="AJ4" s="1" t="str">
        <f>""</f>
        <v/>
      </c>
      <c r="AK4" s="1" t="str">
        <f>""</f>
        <v/>
      </c>
    </row>
    <row r="5" spans="1:37">
      <c r="A5" s="1">
        <v>450000</v>
      </c>
      <c r="B5" s="1">
        <v>961700163</v>
      </c>
      <c r="C5" s="1" t="str">
        <f>"تخليه يزدبافق سازمان همياري شهرداري يزد"</f>
        <v>تخليه يزدبافق سازمان همياري شهرداري يزد</v>
      </c>
      <c r="D5" s="1">
        <v>13100</v>
      </c>
      <c r="E5" s="1">
        <v>0</v>
      </c>
      <c r="F5" s="1">
        <v>96</v>
      </c>
      <c r="G5" s="1">
        <v>450000</v>
      </c>
      <c r="H5" s="1" t="str">
        <f>"96/09/19"</f>
        <v>96/09/19</v>
      </c>
      <c r="I5" s="1" t="str">
        <f>"كيلوگرم"</f>
        <v>كيلوگرم</v>
      </c>
      <c r="J5" s="1" t="str">
        <f>"0000000091"</f>
        <v>0000000091</v>
      </c>
      <c r="K5" s="1" t="str">
        <f>"قير  PG64-22"</f>
        <v>قير  PG64-22</v>
      </c>
      <c r="L5" s="1">
        <v>100</v>
      </c>
      <c r="M5" s="1" t="str">
        <f>"مخازن قير اصفهان"</f>
        <v>مخازن قير اصفهان</v>
      </c>
      <c r="N5" s="1">
        <v>1602</v>
      </c>
      <c r="O5" s="1">
        <v>50037572</v>
      </c>
      <c r="P5" s="1" t="str">
        <f>"  اداره كل راه و شهرسازي يزد"</f>
        <v xml:space="preserve">  اداره كل راه و شهرسازي يزد</v>
      </c>
      <c r="Q5" s="1">
        <v>17</v>
      </c>
      <c r="R5" s="1" t="str">
        <f>"فروش داخلي تهران - وزارت راه - راه روستايي - روکش"</f>
        <v>فروش داخلي تهران - وزارت راه - راه روستايي - روکش</v>
      </c>
      <c r="S5" s="1" t="str">
        <f>"قرارداد فروش"</f>
        <v>قرارداد فروش</v>
      </c>
      <c r="T5" s="1" t="str">
        <f>"ندارد"</f>
        <v>ندارد</v>
      </c>
      <c r="U5" s="1" t="str">
        <f>"شيخي خيراله (1841012)"</f>
        <v>شيخي خيراله (1841012)</v>
      </c>
      <c r="V5" s="1">
        <v>961700163</v>
      </c>
      <c r="W5" s="1">
        <v>961700163</v>
      </c>
      <c r="X5" s="1" t="str">
        <f>"1396531056"</f>
        <v>1396531056</v>
      </c>
      <c r="Y5" s="1" t="str">
        <f>"96/09/19"</f>
        <v>96/09/19</v>
      </c>
      <c r="Z5" s="1" t="str">
        <f>"46867/710"</f>
        <v>46867/710</v>
      </c>
      <c r="AA5" s="1" t="str">
        <f>"راه روستائي -روكش"</f>
        <v>راه روستائي -روكش</v>
      </c>
      <c r="AB5" s="1" t="str">
        <f>"96/09/13"</f>
        <v>96/09/13</v>
      </c>
      <c r="AC5" s="1" t="str">
        <f>"استان يزد"</f>
        <v>استان يزد</v>
      </c>
      <c r="AD5" s="1" t="str">
        <f>"96/09/18"</f>
        <v>96/09/18</v>
      </c>
      <c r="AE5" s="1" t="str">
        <f>"ابطال شده"</f>
        <v>ابطال شده</v>
      </c>
      <c r="AF5" s="1" t="str">
        <f>""</f>
        <v/>
      </c>
      <c r="AG5" s="1" t="str">
        <f>""</f>
        <v/>
      </c>
      <c r="AH5" s="1" t="str">
        <f>""</f>
        <v/>
      </c>
      <c r="AI5" s="1" t="str">
        <f>""</f>
        <v/>
      </c>
      <c r="AJ5" s="1" t="str">
        <f>""</f>
        <v/>
      </c>
      <c r="AK5" s="1" t="str">
        <f>""</f>
        <v/>
      </c>
    </row>
    <row r="6" spans="1:37">
      <c r="A6" s="1">
        <v>1500000</v>
      </c>
      <c r="B6" s="1">
        <v>961900046</v>
      </c>
      <c r="C6" s="1" t="str">
        <f>"تخليه سيستان وبلوچستان مخازن ادارات راهداري وحل ونقل جاده اي تابعه استان سيستان وبلوچستان"</f>
        <v>تخليه سيستان وبلوچستان مخازن ادارات راهداري وحل ونقل جاده اي تابعه استان سيستان وبلوچستان</v>
      </c>
      <c r="D6" s="1">
        <v>9154</v>
      </c>
      <c r="E6" s="1">
        <v>0</v>
      </c>
      <c r="F6" s="1">
        <v>96</v>
      </c>
      <c r="G6" s="1">
        <v>1500000</v>
      </c>
      <c r="H6" s="1" t="str">
        <f>"96/01/28"</f>
        <v>96/01/28</v>
      </c>
      <c r="I6" s="1" t="str">
        <f>"كيلوگرم"</f>
        <v>كيلوگرم</v>
      </c>
      <c r="J6" s="1" t="str">
        <f>"0000000094"</f>
        <v>0000000094</v>
      </c>
      <c r="K6" s="1" t="str">
        <f>"قير  PG70-10"</f>
        <v>قير  PG70-10</v>
      </c>
      <c r="L6" s="1">
        <v>100</v>
      </c>
      <c r="M6" s="1" t="str">
        <f>"مخازن قير اصفهان"</f>
        <v>مخازن قير اصفهان</v>
      </c>
      <c r="N6" s="1">
        <v>11335</v>
      </c>
      <c r="O6" s="1">
        <v>50034630</v>
      </c>
      <c r="P6" s="1" t="str">
        <f>"  اداره كل راهداري وحمل ونقل جاده اي سيستان وبلوچستان"</f>
        <v xml:space="preserve">  اداره كل راهداري وحمل ونقل جاده اي سيستان وبلوچستان</v>
      </c>
      <c r="Q6" s="1">
        <v>19</v>
      </c>
      <c r="R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6" s="1" t="str">
        <f>"قرارداد فروش"</f>
        <v>قرارداد فروش</v>
      </c>
      <c r="T6" s="1" t="str">
        <f>"ندارد"</f>
        <v>ندارد</v>
      </c>
      <c r="U6" s="1" t="str">
        <f>"حسيني حسن(1841075)"</f>
        <v>حسيني حسن(1841075)</v>
      </c>
      <c r="V6" s="1">
        <v>961900046</v>
      </c>
      <c r="W6" s="1">
        <v>961900046</v>
      </c>
      <c r="X6" s="1" t="str">
        <f>"1396474838"</f>
        <v>1396474838</v>
      </c>
      <c r="Y6" s="1" t="str">
        <f>"96/01/28"</f>
        <v>96/01/28</v>
      </c>
      <c r="Z6" s="1" t="str">
        <f>"66485/710"</f>
        <v>66485/710</v>
      </c>
      <c r="AA6" s="1" t="str">
        <f>"سازمان راهداري وحمل نقل جاده اي"</f>
        <v>سازمان راهداري وحمل نقل جاده اي</v>
      </c>
      <c r="AB6" s="1" t="str">
        <f>"95/12/24"</f>
        <v>95/12/24</v>
      </c>
      <c r="AC6" s="1" t="str">
        <f>"استان سيستان بلوچستان"</f>
        <v>استان سيستان بلوچستان</v>
      </c>
      <c r="AD6" s="1" t="str">
        <f>"96/01/28"</f>
        <v>96/01/28</v>
      </c>
      <c r="AE6" s="1" t="str">
        <f>"اختتام"</f>
        <v>اختتام</v>
      </c>
      <c r="AF6" s="1" t="str">
        <f>""</f>
        <v/>
      </c>
      <c r="AG6" s="1" t="str">
        <f>""</f>
        <v/>
      </c>
      <c r="AH6" s="1" t="str">
        <f>""</f>
        <v/>
      </c>
      <c r="AI6" s="1" t="str">
        <f>""</f>
        <v/>
      </c>
      <c r="AJ6" s="1" t="str">
        <f>""</f>
        <v/>
      </c>
      <c r="AK6" s="1" t="str">
        <f>""</f>
        <v/>
      </c>
    </row>
    <row r="7" spans="1:37">
      <c r="A7" s="1">
        <v>2000000</v>
      </c>
      <c r="B7" s="1">
        <v>961900047</v>
      </c>
      <c r="C7" s="1" t="str">
        <f>"تخليه سيستان وبلوچستان مخازن ادارات راهداري وحل ونقل جاده اي تابعه استان سيستان وبلوچستان"</f>
        <v>تخليه سيستان وبلوچستان مخازن ادارات راهداري وحل ونقل جاده اي تابعه استان سيستان وبلوچستان</v>
      </c>
      <c r="D7" s="1">
        <v>9154</v>
      </c>
      <c r="E7" s="1">
        <v>0</v>
      </c>
      <c r="F7" s="1">
        <v>96</v>
      </c>
      <c r="G7" s="1">
        <v>2000000</v>
      </c>
      <c r="H7" s="1" t="str">
        <f>"96/01/28"</f>
        <v>96/01/28</v>
      </c>
      <c r="I7" s="1" t="str">
        <f>"كيلوگرم"</f>
        <v>كيلوگرم</v>
      </c>
      <c r="J7" s="1" t="str">
        <f>"0000000094"</f>
        <v>0000000094</v>
      </c>
      <c r="K7" s="1" t="str">
        <f>"قير  PG70-10"</f>
        <v>قير  PG70-10</v>
      </c>
      <c r="L7" s="1">
        <v>100</v>
      </c>
      <c r="M7" s="1" t="str">
        <f>"مخازن قير اصفهان"</f>
        <v>مخازن قير اصفهان</v>
      </c>
      <c r="N7" s="1">
        <v>11335</v>
      </c>
      <c r="O7" s="1">
        <v>50034631</v>
      </c>
      <c r="P7" s="1" t="str">
        <f>"  اداره كل راهداري وحمل ونقل جاده اي سيستان وبلوچستان"</f>
        <v xml:space="preserve">  اداره كل راهداري وحمل ونقل جاده اي سيستان وبلوچستان</v>
      </c>
      <c r="Q7" s="1">
        <v>19</v>
      </c>
      <c r="R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7" s="1" t="str">
        <f>"قرارداد فروش"</f>
        <v>قرارداد فروش</v>
      </c>
      <c r="T7" s="1" t="str">
        <f>"ندارد"</f>
        <v>ندارد</v>
      </c>
      <c r="U7" s="1" t="str">
        <f>"حسيني حسن(1841075)"</f>
        <v>حسيني حسن(1841075)</v>
      </c>
      <c r="V7" s="1">
        <v>961900047</v>
      </c>
      <c r="W7" s="1">
        <v>961900047</v>
      </c>
      <c r="X7" s="1" t="str">
        <f>"1396474838"</f>
        <v>1396474838</v>
      </c>
      <c r="Y7" s="1" t="str">
        <f>"96/01/28"</f>
        <v>96/01/28</v>
      </c>
      <c r="Z7" s="1" t="str">
        <f>"66487/710"</f>
        <v>66487/710</v>
      </c>
      <c r="AA7" s="1" t="str">
        <f>"سازمان راهداري وحمل نقل جاده اي"</f>
        <v>سازمان راهداري وحمل نقل جاده اي</v>
      </c>
      <c r="AB7" s="1" t="str">
        <f>"95/12/24"</f>
        <v>95/12/24</v>
      </c>
      <c r="AC7" s="1" t="str">
        <f>"استان سيستان بلوچستان"</f>
        <v>استان سيستان بلوچستان</v>
      </c>
      <c r="AD7" s="1" t="str">
        <f>"96/01/28"</f>
        <v>96/01/28</v>
      </c>
      <c r="AE7" s="1" t="str">
        <f>"ابطال شده"</f>
        <v>ابطال شده</v>
      </c>
      <c r="AF7" s="1" t="str">
        <f>""</f>
        <v/>
      </c>
      <c r="AG7" s="1" t="str">
        <f>""</f>
        <v/>
      </c>
      <c r="AH7" s="1" t="str">
        <f>""</f>
        <v/>
      </c>
      <c r="AI7" s="1" t="str">
        <f>""</f>
        <v/>
      </c>
      <c r="AJ7" s="1" t="str">
        <f>""</f>
        <v/>
      </c>
      <c r="AK7" s="1" t="str">
        <f>""</f>
        <v/>
      </c>
    </row>
    <row r="8" spans="1:37">
      <c r="A8" s="1">
        <v>3000</v>
      </c>
      <c r="B8" s="1">
        <v>966300078</v>
      </c>
      <c r="C8" s="1" t="str">
        <f>"تخليه اصفهان جاده سيمان سپاهان خيابان 11منطقه صنعتي شركت مقاوم راه زاينده رودكارخانه آسفالت راه آژند"</f>
        <v>تخليه اصفهان جاده سيمان سپاهان خيابان 11منطقه صنعتي شركت مقاوم راه زاينده رودكارخانه آسفالت راه آژند</v>
      </c>
      <c r="D8" s="1">
        <v>13350</v>
      </c>
      <c r="E8" s="1">
        <v>0</v>
      </c>
      <c r="F8" s="1">
        <v>96</v>
      </c>
      <c r="G8" s="1">
        <v>3000</v>
      </c>
      <c r="H8" s="1" t="str">
        <f>"96/12/26"</f>
        <v>96/12/26</v>
      </c>
      <c r="I8" s="1" t="str">
        <f>"كيلوگرم"</f>
        <v>كيلوگرم</v>
      </c>
      <c r="J8" s="1" t="str">
        <f>"0000000076"</f>
        <v>0000000076</v>
      </c>
      <c r="K8" s="1" t="str">
        <f>"قير 60/70 - فله"</f>
        <v>قير 60/70 - فله</v>
      </c>
      <c r="L8" s="1">
        <v>100</v>
      </c>
      <c r="M8" s="1" t="str">
        <f>"مخازن قير اصفهان"</f>
        <v>مخازن قير اصفهان</v>
      </c>
      <c r="N8" s="1">
        <v>11098</v>
      </c>
      <c r="O8" s="1">
        <v>50039032</v>
      </c>
      <c r="P8" s="1" t="str">
        <f>"  اداره كل نوسازي توسعه وتجهيزمدارس استان اصفهان"</f>
        <v xml:space="preserve">  اداره كل نوسازي توسعه وتجهيزمدارس استان اصفهان</v>
      </c>
      <c r="Q8" s="1">
        <v>63</v>
      </c>
      <c r="R8" s="1" t="str">
        <f>"سازمان نوسازي،توسعه و تجهيز مدارس كشور"</f>
        <v>سازمان نوسازي،توسعه و تجهيز مدارس كشور</v>
      </c>
      <c r="S8" s="1" t="str">
        <f>"قرارداد فروش"</f>
        <v>قرارداد فروش</v>
      </c>
      <c r="T8" s="1" t="str">
        <f>"ندارد"</f>
        <v>ندارد</v>
      </c>
      <c r="U8" s="1" t="str">
        <f>"سيفي پور عبدالمجيد(1009ج89)"</f>
        <v>سيفي پور عبدالمجيد(1009ج89)</v>
      </c>
      <c r="V8" s="1">
        <v>966300078</v>
      </c>
      <c r="W8" s="1">
        <v>966300078</v>
      </c>
      <c r="X8" s="1" t="str">
        <f>"1396555236"</f>
        <v>1396555236</v>
      </c>
      <c r="Y8" s="1" t="str">
        <f>"96/12/26"</f>
        <v>96/12/26</v>
      </c>
      <c r="Z8" s="1" t="str">
        <f>"3-96/422-34083"</f>
        <v>3-96/422-34083</v>
      </c>
      <c r="AA8" s="1" t="str">
        <f>"سازمان نوسازي توسعه وتجهيزمدارس كشور"</f>
        <v>سازمان نوسازي توسعه وتجهيزمدارس كشور</v>
      </c>
      <c r="AB8" s="1" t="str">
        <f>"96/12/21"</f>
        <v>96/12/21</v>
      </c>
      <c r="AC8" s="1" t="str">
        <f>"استان اصفهان"</f>
        <v>استان اصفهان</v>
      </c>
      <c r="AD8" s="1" t="str">
        <f>"96/12/23"</f>
        <v>96/12/23</v>
      </c>
      <c r="AE8" s="1" t="str">
        <f>"اختتام"</f>
        <v>اختتام</v>
      </c>
      <c r="AF8" s="1" t="str">
        <f>""</f>
        <v/>
      </c>
      <c r="AG8" s="1" t="str">
        <f>""</f>
        <v/>
      </c>
      <c r="AH8" s="1" t="str">
        <f>""</f>
        <v/>
      </c>
      <c r="AI8" s="1" t="str">
        <f>""</f>
        <v/>
      </c>
      <c r="AJ8" s="1" t="str">
        <f>""</f>
        <v/>
      </c>
      <c r="AK8" s="1" t="str">
        <f>""</f>
        <v/>
      </c>
    </row>
    <row r="9" spans="1:37">
      <c r="A9" s="1">
        <v>400000</v>
      </c>
      <c r="B9" s="1">
        <v>961700171</v>
      </c>
      <c r="C9" s="1" t="str">
        <f>"تخليه -لرستان -كمربندي جاده انديمشك -خرم آباد-بعدازپل باباحسين كيلومتر1جاده پيري جدكارخانه آسفالت سپهربستر"</f>
        <v>تخليه -لرستان -كمربندي جاده انديمشك -خرم آباد-بعدازپل باباحسين كيلومتر1جاده پيري جدكارخانه آسفالت سپهربستر</v>
      </c>
      <c r="D9" s="1">
        <v>13600</v>
      </c>
      <c r="E9" s="1">
        <v>0</v>
      </c>
      <c r="F9" s="1">
        <v>96</v>
      </c>
      <c r="G9" s="1">
        <v>400000</v>
      </c>
      <c r="H9" s="1" t="str">
        <f>"96/12/03"</f>
        <v>96/12/03</v>
      </c>
      <c r="I9" s="1" t="str">
        <f>"كيلوگرم"</f>
        <v>كيلوگرم</v>
      </c>
      <c r="J9" s="1" t="str">
        <f>"0000000091"</f>
        <v>0000000091</v>
      </c>
      <c r="K9" s="1" t="str">
        <f>"قير  PG64-22"</f>
        <v>قير  PG64-22</v>
      </c>
      <c r="L9" s="1">
        <v>100</v>
      </c>
      <c r="M9" s="1" t="str">
        <f>"مخازن قير اصفهان"</f>
        <v>مخازن قير اصفهان</v>
      </c>
      <c r="N9" s="1">
        <v>8305</v>
      </c>
      <c r="O9" s="1">
        <v>50038591</v>
      </c>
      <c r="P9" s="1" t="str">
        <f>"  سپهربستر"</f>
        <v xml:space="preserve">  سپهربستر</v>
      </c>
      <c r="Q9" s="1">
        <v>17</v>
      </c>
      <c r="R9" s="1" t="str">
        <f>"فروش داخلي تهران - وزارت راه - راه روستايي - روکش"</f>
        <v>فروش داخلي تهران - وزارت راه - راه روستايي - روکش</v>
      </c>
      <c r="S9" s="1" t="str">
        <f>"قرارداد فروش"</f>
        <v>قرارداد فروش</v>
      </c>
      <c r="T9" s="1" t="str">
        <f>"ندارد"</f>
        <v>ندارد</v>
      </c>
      <c r="U9" s="1" t="str">
        <f>"حاصليان ترابرجنوب مرتضي حاصلي (4844006)"</f>
        <v>حاصليان ترابرجنوب مرتضي حاصلي (4844006)</v>
      </c>
      <c r="V9" s="1">
        <v>961700171</v>
      </c>
      <c r="W9" s="1">
        <v>961700171</v>
      </c>
      <c r="X9" s="1" t="str">
        <f>"1396549380"</f>
        <v>1396549380</v>
      </c>
      <c r="Y9" s="1" t="str">
        <f>"96/12/02"</f>
        <v>96/12/02</v>
      </c>
      <c r="Z9" s="1" t="str">
        <f>"47275/710"</f>
        <v>47275/710</v>
      </c>
      <c r="AA9" s="1" t="str">
        <f>"راه روستائي -روكش"</f>
        <v>راه روستائي -روكش</v>
      </c>
      <c r="AB9" s="1" t="str">
        <f>"96/09/14"</f>
        <v>96/09/14</v>
      </c>
      <c r="AC9" s="1" t="str">
        <f>"لرستان"</f>
        <v>لرستان</v>
      </c>
      <c r="AD9" s="1" t="str">
        <f>"96/11/30"</f>
        <v>96/11/30</v>
      </c>
      <c r="AE9" s="1" t="str">
        <f>"ابطال شده"</f>
        <v>ابطال شده</v>
      </c>
      <c r="AF9" s="1" t="str">
        <f>""</f>
        <v/>
      </c>
      <c r="AG9" s="1" t="str">
        <f>""</f>
        <v/>
      </c>
      <c r="AH9" s="1" t="str">
        <f>""</f>
        <v/>
      </c>
      <c r="AI9" s="1" t="str">
        <f>""</f>
        <v/>
      </c>
      <c r="AJ9" s="1" t="str">
        <f>""</f>
        <v/>
      </c>
      <c r="AK9" s="1" t="str">
        <f>""</f>
        <v/>
      </c>
    </row>
    <row r="10" spans="1:37">
      <c r="A10" s="1">
        <v>270000</v>
      </c>
      <c r="B10" s="1">
        <v>961700156</v>
      </c>
      <c r="C10" s="1" t="str">
        <f>"تخليه - کهگيلويه - باشت - جاده ده بزرگ -کارخانه آسفالت رزمان"</f>
        <v>تخليه - کهگيلويه - باشت - جاده ده بزرگ -کارخانه آسفالت رزمان</v>
      </c>
      <c r="D10" s="1">
        <v>12970</v>
      </c>
      <c r="E10" s="1">
        <v>0</v>
      </c>
      <c r="F10" s="1">
        <v>96</v>
      </c>
      <c r="G10" s="1">
        <v>270000</v>
      </c>
      <c r="H10" s="1" t="str">
        <f>"96/09/08"</f>
        <v>96/09/08</v>
      </c>
      <c r="I10" s="1" t="str">
        <f>"كيلوگرم"</f>
        <v>كيلوگرم</v>
      </c>
      <c r="J10" s="1" t="str">
        <f>"0000000091"</f>
        <v>0000000091</v>
      </c>
      <c r="K10" s="1" t="str">
        <f>"قير  PG64-22"</f>
        <v>قير  PG64-22</v>
      </c>
      <c r="L10" s="1">
        <v>100</v>
      </c>
      <c r="M10" s="1" t="str">
        <f>"مخازن قير اصفهان"</f>
        <v>مخازن قير اصفهان</v>
      </c>
      <c r="N10" s="1">
        <v>11203</v>
      </c>
      <c r="O10" s="1">
        <v>50037580</v>
      </c>
      <c r="P10" s="1" t="str">
        <f>"  مسير پيماي شياس"</f>
        <v xml:space="preserve">  مسير پيماي شياس</v>
      </c>
      <c r="Q10" s="1">
        <v>17</v>
      </c>
      <c r="R10" s="1" t="str">
        <f>"فروش داخلي تهران - وزارت راه - راه روستايي - روکش"</f>
        <v>فروش داخلي تهران - وزارت راه - راه روستايي - روکش</v>
      </c>
      <c r="S10" s="1" t="str">
        <f>"قرارداد فروش"</f>
        <v>قرارداد فروش</v>
      </c>
      <c r="T10" s="1" t="str">
        <f>"ندارد"</f>
        <v>ندارد</v>
      </c>
      <c r="U10" s="1" t="str">
        <f>"قره باغي مجيد(1871065)"</f>
        <v>قره باغي مجيد(1871065)</v>
      </c>
      <c r="V10" s="1">
        <v>961700156</v>
      </c>
      <c r="W10" s="1">
        <v>961700156</v>
      </c>
      <c r="X10" s="1" t="str">
        <f>"1396529175"</f>
        <v>1396529175</v>
      </c>
      <c r="Y10" s="1" t="str">
        <f>"96/09/08"</f>
        <v>96/09/08</v>
      </c>
      <c r="Z10" s="1" t="str">
        <f>"45386/710"</f>
        <v>45386/710</v>
      </c>
      <c r="AA10" s="1" t="str">
        <f>"راه روستائي -روكش"</f>
        <v>راه روستائي -روكش</v>
      </c>
      <c r="AB10" s="1" t="str">
        <f>"96/09/05"</f>
        <v>96/09/05</v>
      </c>
      <c r="AC10" s="1" t="str">
        <f>"كهكيلويه و بوير احمد"</f>
        <v>كهكيلويه و بوير احمد</v>
      </c>
      <c r="AD10" s="1" t="str">
        <f>"96/09/08"</f>
        <v>96/09/08</v>
      </c>
      <c r="AE10" s="1" t="str">
        <f>"ابطال شده"</f>
        <v>ابطال شده</v>
      </c>
      <c r="AF10" s="1" t="str">
        <f>""</f>
        <v/>
      </c>
      <c r="AG10" s="1" t="str">
        <f>""</f>
        <v/>
      </c>
      <c r="AH10" s="1" t="str">
        <f>""</f>
        <v/>
      </c>
      <c r="AI10" s="1" t="str">
        <f>""</f>
        <v/>
      </c>
      <c r="AJ10" s="1" t="str">
        <f>""</f>
        <v/>
      </c>
      <c r="AK10" s="1" t="str">
        <f>""</f>
        <v/>
      </c>
    </row>
    <row r="11" spans="1:37">
      <c r="A11" s="1">
        <v>71000</v>
      </c>
      <c r="B11" s="1">
        <v>966200098</v>
      </c>
      <c r="C11" s="1" t="str">
        <f>"تخليه-جاده سيمان سپاهان- خ يازدهم-منطقه صنعتي اشترجان"</f>
        <v>تخليه-جاده سيمان سپاهان- خ يازدهم-منطقه صنعتي اشترجان</v>
      </c>
      <c r="D11" s="1">
        <v>8918</v>
      </c>
      <c r="E11" s="1">
        <v>70540</v>
      </c>
      <c r="F11" s="1">
        <v>96</v>
      </c>
      <c r="G11" s="1">
        <v>460</v>
      </c>
      <c r="H11" s="1" t="str">
        <f>"96/02/31"</f>
        <v>96/02/31</v>
      </c>
      <c r="I11" s="1" t="str">
        <f>"كيلوگرم"</f>
        <v>كيلوگرم</v>
      </c>
      <c r="J11" s="1" t="str">
        <f>"0000000076"</f>
        <v>0000000076</v>
      </c>
      <c r="K11" s="1" t="str">
        <f>"قير 60/70 - فله"</f>
        <v>قير 60/70 - فله</v>
      </c>
      <c r="L11" s="1">
        <v>100</v>
      </c>
      <c r="M11" s="1" t="str">
        <f>"مخازن قير اصفهان"</f>
        <v>مخازن قير اصفهان</v>
      </c>
      <c r="N11" s="1">
        <v>1002</v>
      </c>
      <c r="O11" s="1">
        <v>50034877</v>
      </c>
      <c r="P11" s="1" t="str">
        <f>"  راه آژند"</f>
        <v xml:space="preserve">  راه آژند</v>
      </c>
      <c r="Q11" s="1">
        <v>62</v>
      </c>
      <c r="R11" s="1" t="str">
        <f>"فروش داخلي - سازمان بنيادمسكن انقلاب اسلامي"</f>
        <v>فروش داخلي - سازمان بنيادمسكن انقلاب اسلامي</v>
      </c>
      <c r="S11" s="1" t="str">
        <f>"قرارداد فروش"</f>
        <v>قرارداد فروش</v>
      </c>
      <c r="T11" s="1" t="str">
        <f>"ندارد"</f>
        <v>ندارد</v>
      </c>
      <c r="U11" s="1" t="str">
        <f>"سيفي پور عبدالمجيد(1009ج89)"</f>
        <v>سيفي پور عبدالمجيد(1009ج89)</v>
      </c>
      <c r="V11" s="1">
        <v>966200098</v>
      </c>
      <c r="W11" s="1">
        <v>966200098</v>
      </c>
      <c r="X11" s="1" t="str">
        <f>"1396482232"</f>
        <v>1396482232</v>
      </c>
      <c r="Y11" s="1" t="str">
        <f>"96/02/31"</f>
        <v>96/02/31</v>
      </c>
      <c r="Z11" s="1" t="str">
        <f>"7422/د"</f>
        <v>7422/د</v>
      </c>
      <c r="AA11" s="1" t="str">
        <f>"بنيادمسكن انقلاب اسلامي"</f>
        <v>بنيادمسكن انقلاب اسلامي</v>
      </c>
      <c r="AB11" s="1" t="str">
        <f>"96/02/30"</f>
        <v>96/02/30</v>
      </c>
      <c r="AC11" s="1" t="str">
        <f>"استان اصفهان"</f>
        <v>استان اصفهان</v>
      </c>
      <c r="AD11" s="1" t="str">
        <f>"96/02/31"</f>
        <v>96/02/31</v>
      </c>
      <c r="AE11" s="1" t="str">
        <f>"اختتام"</f>
        <v>اختتام</v>
      </c>
      <c r="AF11" s="1" t="str">
        <f>""</f>
        <v/>
      </c>
      <c r="AG11" s="1" t="str">
        <f>""</f>
        <v/>
      </c>
      <c r="AH11" s="1" t="str">
        <f>""</f>
        <v/>
      </c>
      <c r="AI11" s="1" t="str">
        <f>""</f>
        <v/>
      </c>
      <c r="AJ11" s="1" t="str">
        <f>""</f>
        <v/>
      </c>
      <c r="AK11" s="1" t="str">
        <f>""</f>
        <v/>
      </c>
    </row>
    <row r="12" spans="1:37">
      <c r="A12" s="1">
        <v>119362</v>
      </c>
      <c r="B12" s="1">
        <v>962000062</v>
      </c>
      <c r="C12" s="1" t="str">
        <f>"تخليه - اصفهان - خيابان 22 بهمن- جاده چشمه لاك پشت-کارخانه آسفالت شهرداري فريدونشهر"</f>
        <v>تخليه - اصفهان - خيابان 22 بهمن- جاده چشمه لاك پشت-کارخانه آسفالت شهرداري فريدونشهر</v>
      </c>
      <c r="D12" s="1">
        <v>9113</v>
      </c>
      <c r="E12" s="1">
        <v>119362</v>
      </c>
      <c r="F12" s="1">
        <v>96</v>
      </c>
      <c r="G12" s="1">
        <v>0</v>
      </c>
      <c r="H12" s="1" t="str">
        <f>"96/07/03"</f>
        <v>96/07/03</v>
      </c>
      <c r="I12" s="1" t="str">
        <f>"كيلوگرم"</f>
        <v>كيلوگرم</v>
      </c>
      <c r="J12" s="1" t="str">
        <f>"0000000076"</f>
        <v>0000000076</v>
      </c>
      <c r="K12" s="1" t="str">
        <f>"قير 60/70 - فله"</f>
        <v>قير 60/70 - فله</v>
      </c>
      <c r="L12" s="1">
        <v>100</v>
      </c>
      <c r="M12" s="1" t="str">
        <f>"مخازن قير اصفهان"</f>
        <v>مخازن قير اصفهان</v>
      </c>
      <c r="N12" s="1">
        <v>1292</v>
      </c>
      <c r="O12" s="1">
        <v>50036210</v>
      </c>
      <c r="P12" s="1" t="str">
        <f>"  شهرداري فريدونشهر"</f>
        <v xml:space="preserve">  شهرداري فريدونشهر</v>
      </c>
      <c r="Q12" s="1">
        <v>20</v>
      </c>
      <c r="R12" s="1" t="str">
        <f>"فروش داخلي - سازمان شهرداري ها و دهياري هاي كشور"</f>
        <v>فروش داخلي - سازمان شهرداري ها و دهياري هاي كشور</v>
      </c>
      <c r="S12" s="1" t="str">
        <f>"قرارداد فروش"</f>
        <v>قرارداد فروش</v>
      </c>
      <c r="T12" s="1" t="str">
        <f>"ندارد"</f>
        <v>ندارد</v>
      </c>
      <c r="U12" s="1" t="str">
        <f>"تعاوني جم گستر (1001 ج 89)"</f>
        <v>تعاوني جم گستر (1001 ج 89)</v>
      </c>
      <c r="V12" s="1">
        <v>962000062</v>
      </c>
      <c r="W12" s="1">
        <v>962000062</v>
      </c>
      <c r="X12" s="1" t="str">
        <f>"1396514467"</f>
        <v>1396514467</v>
      </c>
      <c r="Y12" s="1" t="str">
        <f>"96/07/03"</f>
        <v>96/07/03</v>
      </c>
      <c r="Z12" s="1" t="str">
        <f>"26755مرحله اول"</f>
        <v>26755مرحله اول</v>
      </c>
      <c r="AA12" s="1" t="str">
        <f>"شهرداريها"</f>
        <v>شهرداريها</v>
      </c>
      <c r="AB12" s="1" t="str">
        <f>"96/06/29"</f>
        <v>96/06/29</v>
      </c>
      <c r="AC12" s="1" t="str">
        <f>"استان اصفهان"</f>
        <v>استان اصفهان</v>
      </c>
      <c r="AD12" s="1" t="str">
        <f>"96/07/03"</f>
        <v>96/07/03</v>
      </c>
      <c r="AE12" s="1" t="str">
        <f>"اختتام"</f>
        <v>اختتام</v>
      </c>
      <c r="AF12" s="1" t="str">
        <f>""</f>
        <v/>
      </c>
      <c r="AG12" s="1" t="str">
        <f>""</f>
        <v/>
      </c>
      <c r="AH12" s="1" t="str">
        <f>""</f>
        <v/>
      </c>
      <c r="AI12" s="1" t="str">
        <f>""</f>
        <v/>
      </c>
      <c r="AJ12" s="1" t="str">
        <f>""</f>
        <v/>
      </c>
      <c r="AK12" s="1" t="str">
        <f>""</f>
        <v/>
      </c>
    </row>
    <row r="13" spans="1:37">
      <c r="A13" s="1">
        <v>120000</v>
      </c>
      <c r="B13" s="1">
        <v>966200099</v>
      </c>
      <c r="C13" s="1" t="str">
        <f>"تخليه-جاده سيمان سپاهان- خ يازدهم-منطقه صنعتي اشترجان"</f>
        <v>تخليه-جاده سيمان سپاهان- خ يازدهم-منطقه صنعتي اشترجان</v>
      </c>
      <c r="D13" s="1">
        <v>8918</v>
      </c>
      <c r="E13" s="1">
        <v>119200</v>
      </c>
      <c r="F13" s="1">
        <v>96</v>
      </c>
      <c r="G13" s="1">
        <v>800</v>
      </c>
      <c r="H13" s="1" t="str">
        <f>"96/02/31"</f>
        <v>96/02/31</v>
      </c>
      <c r="I13" s="1" t="str">
        <f>"كيلوگرم"</f>
        <v>كيلوگرم</v>
      </c>
      <c r="J13" s="1" t="str">
        <f>"0000000076"</f>
        <v>0000000076</v>
      </c>
      <c r="K13" s="1" t="str">
        <f>"قير 60/70 - فله"</f>
        <v>قير 60/70 - فله</v>
      </c>
      <c r="L13" s="1">
        <v>100</v>
      </c>
      <c r="M13" s="1" t="str">
        <f>"مخازن قير اصفهان"</f>
        <v>مخازن قير اصفهان</v>
      </c>
      <c r="N13" s="1">
        <v>1002</v>
      </c>
      <c r="O13" s="1">
        <v>50034878</v>
      </c>
      <c r="P13" s="1" t="str">
        <f>"  راه آژند"</f>
        <v xml:space="preserve">  راه آژند</v>
      </c>
      <c r="Q13" s="1">
        <v>62</v>
      </c>
      <c r="R13" s="1" t="str">
        <f>"فروش داخلي - سازمان بنيادمسكن انقلاب اسلامي"</f>
        <v>فروش داخلي - سازمان بنيادمسكن انقلاب اسلامي</v>
      </c>
      <c r="S13" s="1" t="str">
        <f>"قرارداد فروش"</f>
        <v>قرارداد فروش</v>
      </c>
      <c r="T13" s="1" t="str">
        <f>"ندارد"</f>
        <v>ندارد</v>
      </c>
      <c r="U13" s="1" t="str">
        <f>"سيفي پور عبدالمجيد(1009ج89)"</f>
        <v>سيفي پور عبدالمجيد(1009ج89)</v>
      </c>
      <c r="V13" s="1">
        <v>966200099</v>
      </c>
      <c r="W13" s="1">
        <v>966200099</v>
      </c>
      <c r="X13" s="1" t="str">
        <f>"1396482232"</f>
        <v>1396482232</v>
      </c>
      <c r="Y13" s="1" t="str">
        <f>"96/02/31"</f>
        <v>96/02/31</v>
      </c>
      <c r="Z13" s="1" t="str">
        <f>"7421/د"</f>
        <v>7421/د</v>
      </c>
      <c r="AA13" s="1" t="str">
        <f>"بنيادمسكن انقلاب اسلامي"</f>
        <v>بنيادمسكن انقلاب اسلامي</v>
      </c>
      <c r="AB13" s="1" t="str">
        <f>"96/02/30"</f>
        <v>96/02/30</v>
      </c>
      <c r="AC13" s="1" t="str">
        <f>"استان اصفهان"</f>
        <v>استان اصفهان</v>
      </c>
      <c r="AD13" s="1" t="str">
        <f>"96/02/31"</f>
        <v>96/02/31</v>
      </c>
      <c r="AE13" s="1" t="str">
        <f>"اختتام"</f>
        <v>اختتام</v>
      </c>
      <c r="AF13" s="1" t="str">
        <f>""</f>
        <v/>
      </c>
      <c r="AG13" s="1" t="str">
        <f>""</f>
        <v/>
      </c>
      <c r="AH13" s="1" t="str">
        <f>""</f>
        <v/>
      </c>
      <c r="AI13" s="1" t="str">
        <f>""</f>
        <v/>
      </c>
      <c r="AJ13" s="1" t="str">
        <f>""</f>
        <v/>
      </c>
      <c r="AK13" s="1" t="str">
        <f>""</f>
        <v/>
      </c>
    </row>
    <row r="14" spans="1:37">
      <c r="A14" s="1">
        <v>127146</v>
      </c>
      <c r="B14" s="1">
        <v>962000033</v>
      </c>
      <c r="C14" s="1" t="str">
        <f>"تخليه - اصفهان-کارخانه آسفالت شهرداري دامنه"</f>
        <v>تخليه - اصفهان-کارخانه آسفالت شهرداري دامنه</v>
      </c>
      <c r="D14" s="1">
        <v>9113</v>
      </c>
      <c r="E14" s="1">
        <v>127146</v>
      </c>
      <c r="F14" s="1">
        <v>96</v>
      </c>
      <c r="G14" s="1">
        <v>0</v>
      </c>
      <c r="H14" s="1" t="str">
        <f>"96/07/03"</f>
        <v>96/07/03</v>
      </c>
      <c r="I14" s="1" t="str">
        <f>"كيلوگرم"</f>
        <v>كيلوگرم</v>
      </c>
      <c r="J14" s="1" t="str">
        <f>"0000000076"</f>
        <v>0000000076</v>
      </c>
      <c r="K14" s="1" t="str">
        <f>"قير 60/70 - فله"</f>
        <v>قير 60/70 - فله</v>
      </c>
      <c r="L14" s="1">
        <v>100</v>
      </c>
      <c r="M14" s="1" t="str">
        <f>"مخازن قير اصفهان"</f>
        <v>مخازن قير اصفهان</v>
      </c>
      <c r="N14" s="1">
        <v>1451</v>
      </c>
      <c r="O14" s="1">
        <v>50036178</v>
      </c>
      <c r="P14" s="1" t="str">
        <f>"  شهرداري خوانسار"</f>
        <v xml:space="preserve">  شهرداري خوانسار</v>
      </c>
      <c r="Q14" s="1">
        <v>20</v>
      </c>
      <c r="R14" s="1" t="str">
        <f>"فروش داخلي - سازمان شهرداري ها و دهياري هاي كشور"</f>
        <v>فروش داخلي - سازمان شهرداري ها و دهياري هاي كشور</v>
      </c>
      <c r="S14" s="1" t="str">
        <f>"قرارداد فروش"</f>
        <v>قرارداد فروش</v>
      </c>
      <c r="T14" s="1" t="str">
        <f>"ندارد"</f>
        <v>ندارد</v>
      </c>
      <c r="U14" s="1" t="str">
        <f>"تعاوني جم گستر (1001 ج 89)"</f>
        <v>تعاوني جم گستر (1001 ج 89)</v>
      </c>
      <c r="V14" s="1">
        <v>962000033</v>
      </c>
      <c r="W14" s="1">
        <v>962000033</v>
      </c>
      <c r="X14" s="1" t="str">
        <f>"1396514467"</f>
        <v>1396514467</v>
      </c>
      <c r="Y14" s="1" t="str">
        <f>"96/07/03"</f>
        <v>96/07/03</v>
      </c>
      <c r="Z14" s="1" t="str">
        <f>"26826مرحله اول"</f>
        <v>26826مرحله اول</v>
      </c>
      <c r="AA14" s="1" t="str">
        <f>"شهرداريها"</f>
        <v>شهرداريها</v>
      </c>
      <c r="AB14" s="1" t="str">
        <f>"96/06/29"</f>
        <v>96/06/29</v>
      </c>
      <c r="AC14" s="1" t="str">
        <f>"استان اصفهان"</f>
        <v>استان اصفهان</v>
      </c>
      <c r="AD14" s="1" t="str">
        <f>"96/07/03"</f>
        <v>96/07/03</v>
      </c>
      <c r="AE14" s="1" t="str">
        <f>"اختتام"</f>
        <v>اختتام</v>
      </c>
      <c r="AF14" s="1" t="str">
        <f>""</f>
        <v/>
      </c>
      <c r="AG14" s="1" t="str">
        <f>""</f>
        <v/>
      </c>
      <c r="AH14" s="1" t="str">
        <f>""</f>
        <v/>
      </c>
      <c r="AI14" s="1" t="str">
        <f>""</f>
        <v/>
      </c>
      <c r="AJ14" s="1" t="str">
        <f>""</f>
        <v/>
      </c>
      <c r="AK14" s="1" t="str">
        <f>""</f>
        <v/>
      </c>
    </row>
    <row r="15" spans="1:37">
      <c r="A15" s="1">
        <v>45190</v>
      </c>
      <c r="B15" s="1">
        <v>962000428</v>
      </c>
      <c r="C15" s="1" t="str">
        <f>"تخليه - اصفهان-کارخانه آسفالت شهرداري دامنه"</f>
        <v>تخليه - اصفهان-کارخانه آسفالت شهرداري دامنه</v>
      </c>
      <c r="D15" s="1">
        <v>12820</v>
      </c>
      <c r="E15" s="1">
        <v>44914</v>
      </c>
      <c r="F15" s="1">
        <v>96</v>
      </c>
      <c r="G15" s="1">
        <v>276</v>
      </c>
      <c r="H15" s="1" t="str">
        <f>"96/09/20"</f>
        <v>96/09/20</v>
      </c>
      <c r="I15" s="1" t="str">
        <f>"كيلوگرم"</f>
        <v>كيلوگرم</v>
      </c>
      <c r="J15" s="1" t="str">
        <f>"0000000076"</f>
        <v>0000000076</v>
      </c>
      <c r="K15" s="1" t="str">
        <f>"قير 60/70 - فله"</f>
        <v>قير 60/70 - فله</v>
      </c>
      <c r="L15" s="1">
        <v>100</v>
      </c>
      <c r="M15" s="1" t="str">
        <f>"مخازن قير اصفهان"</f>
        <v>مخازن قير اصفهان</v>
      </c>
      <c r="N15" s="1">
        <v>1451</v>
      </c>
      <c r="O15" s="1">
        <v>50037748</v>
      </c>
      <c r="P15" s="1" t="str">
        <f>"  شهرداري خوانسار"</f>
        <v xml:space="preserve">  شهرداري خوانسار</v>
      </c>
      <c r="Q15" s="1">
        <v>20</v>
      </c>
      <c r="R15" s="1" t="str">
        <f>"فروش داخلي - سازمان شهرداري ها و دهياري هاي كشور"</f>
        <v>فروش داخلي - سازمان شهرداري ها و دهياري هاي كشور</v>
      </c>
      <c r="S15" s="1" t="str">
        <f>"قرارداد فروش"</f>
        <v>قرارداد فروش</v>
      </c>
      <c r="T15" s="1" t="str">
        <f>"ندارد"</f>
        <v>ندارد</v>
      </c>
      <c r="U15" s="1" t="str">
        <f>"تعاوني جم گستر (1001 ج 89)"</f>
        <v>تعاوني جم گستر (1001 ج 89)</v>
      </c>
      <c r="V15" s="1">
        <v>962000428</v>
      </c>
      <c r="W15" s="1">
        <v>962000428</v>
      </c>
      <c r="X15" s="1" t="str">
        <f>"1396529711"</f>
        <v>1396529711</v>
      </c>
      <c r="Y15" s="1" t="str">
        <f>"96/09/20"</f>
        <v>96/09/20</v>
      </c>
      <c r="Z15" s="1" t="str">
        <f>"37129مرحله دوم"</f>
        <v>37129مرحله دوم</v>
      </c>
      <c r="AA15" s="1" t="str">
        <f>"شهرداريها"</f>
        <v>شهرداريها</v>
      </c>
      <c r="AB15" s="1" t="str">
        <f>"96/09/04"</f>
        <v>96/09/04</v>
      </c>
      <c r="AC15" s="1" t="str">
        <f>"استان اصفهان"</f>
        <v>استان اصفهان</v>
      </c>
      <c r="AD15" s="1" t="str">
        <f>"96/09/13"</f>
        <v>96/09/13</v>
      </c>
      <c r="AE15" s="1" t="str">
        <f>"تاييدشده"</f>
        <v>تاييدشده</v>
      </c>
      <c r="AF15" s="1" t="str">
        <f>""</f>
        <v/>
      </c>
      <c r="AG15" s="1" t="str">
        <f>""</f>
        <v/>
      </c>
      <c r="AH15" s="1" t="str">
        <f>""</f>
        <v/>
      </c>
      <c r="AI15" s="1" t="str">
        <f>""</f>
        <v/>
      </c>
      <c r="AJ15" s="1" t="str">
        <f>""</f>
        <v/>
      </c>
      <c r="AK15" s="1" t="str">
        <f>""</f>
        <v/>
      </c>
    </row>
    <row r="16" spans="1:37">
      <c r="A16" s="1">
        <v>67000</v>
      </c>
      <c r="B16" s="1">
        <v>966200641</v>
      </c>
      <c r="C16" s="1" t="str">
        <f>"تخليه - يزد- کنارگذر - بعداز پادگان شهيد صدوقي - شرکت موحدين آسفالت يزد"</f>
        <v>تخليه - يزد- کنارگذر - بعداز پادگان شهيد صدوقي - شرکت موحدين آسفالت يزد</v>
      </c>
      <c r="D16" s="1">
        <v>13350</v>
      </c>
      <c r="E16" s="1">
        <v>66320</v>
      </c>
      <c r="F16" s="1">
        <v>96</v>
      </c>
      <c r="G16" s="1">
        <v>680</v>
      </c>
      <c r="H16" s="1" t="str">
        <f>"96/12/14"</f>
        <v>96/12/14</v>
      </c>
      <c r="I16" s="1" t="str">
        <f>"كيلوگرم"</f>
        <v>كيلوگرم</v>
      </c>
      <c r="J16" s="1" t="str">
        <f>"0000000076"</f>
        <v>0000000076</v>
      </c>
      <c r="K16" s="1" t="str">
        <f>"قير 60/70 - فله"</f>
        <v>قير 60/70 - فله</v>
      </c>
      <c r="L16" s="1">
        <v>100</v>
      </c>
      <c r="M16" s="1" t="str">
        <f>"مخازن قير اصفهان"</f>
        <v>مخازن قير اصفهان</v>
      </c>
      <c r="N16" s="1">
        <v>1663</v>
      </c>
      <c r="O16" s="1">
        <v>50038762</v>
      </c>
      <c r="P16" s="1" t="str">
        <f>"  تعاوني موحدين آسفالت يزد"</f>
        <v xml:space="preserve">  تعاوني موحدين آسفالت يزد</v>
      </c>
      <c r="Q16" s="1">
        <v>62</v>
      </c>
      <c r="R16" s="1" t="str">
        <f>"فروش داخلي - سازمان بنيادمسكن انقلاب اسلامي"</f>
        <v>فروش داخلي - سازمان بنيادمسكن انقلاب اسلامي</v>
      </c>
      <c r="S16" s="1" t="str">
        <f>"قرارداد فروش"</f>
        <v>قرارداد فروش</v>
      </c>
      <c r="T16" s="1" t="str">
        <f>"ندارد"</f>
        <v>ندارد</v>
      </c>
      <c r="U16" s="1" t="str">
        <f>"قانعي محمدرضا(1011ج89)"</f>
        <v>قانعي محمدرضا(1011ج89)</v>
      </c>
      <c r="V16" s="1">
        <v>966200641</v>
      </c>
      <c r="W16" s="1">
        <v>966200641</v>
      </c>
      <c r="X16" s="1" t="str">
        <f>"1396552261"</f>
        <v>1396552261</v>
      </c>
      <c r="Y16" s="1" t="str">
        <f>"96/12/14"</f>
        <v>96/12/14</v>
      </c>
      <c r="Z16" s="1" t="str">
        <f>"56657/د"</f>
        <v>56657/د</v>
      </c>
      <c r="AA16" s="1" t="str">
        <f>"بنيادمسكن انقلاب اسلامي"</f>
        <v>بنيادمسكن انقلاب اسلامي</v>
      </c>
      <c r="AB16" s="1" t="str">
        <f>"96/12/13"</f>
        <v>96/12/13</v>
      </c>
      <c r="AC16" s="1" t="str">
        <f>"استان يزد"</f>
        <v>استان يزد</v>
      </c>
      <c r="AD16" s="1" t="str">
        <f>"96/12/14"</f>
        <v>96/12/14</v>
      </c>
      <c r="AE16" s="1" t="str">
        <f>"اختتام"</f>
        <v>اختتام</v>
      </c>
      <c r="AF16" s="1" t="str">
        <f>""</f>
        <v/>
      </c>
      <c r="AG16" s="1" t="str">
        <f>""</f>
        <v/>
      </c>
      <c r="AH16" s="1" t="str">
        <f>""</f>
        <v/>
      </c>
      <c r="AI16" s="1" t="str">
        <f>""</f>
        <v/>
      </c>
      <c r="AJ16" s="1" t="str">
        <f>""</f>
        <v/>
      </c>
      <c r="AK16" s="1" t="str">
        <f>""</f>
        <v/>
      </c>
    </row>
    <row r="17" spans="1:37">
      <c r="A17" s="1">
        <v>75000</v>
      </c>
      <c r="B17" s="1">
        <v>966200761</v>
      </c>
      <c r="C17" s="1" t="str">
        <f>"تخليه - يزد- کنارگذر - بعداز پادگان شهيد صدوقي - شرکت موحدين آسفالت يزد"</f>
        <v>تخليه - يزد- کنارگذر - بعداز پادگان شهيد صدوقي - شرکت موحدين آسفالت يزد</v>
      </c>
      <c r="D17" s="1">
        <v>13350</v>
      </c>
      <c r="E17" s="1">
        <v>75000</v>
      </c>
      <c r="F17" s="1">
        <v>96</v>
      </c>
      <c r="G17" s="1">
        <v>0</v>
      </c>
      <c r="H17" s="1" t="str">
        <f>"96/12/27"</f>
        <v>96/12/27</v>
      </c>
      <c r="I17" s="1" t="str">
        <f>"كيلوگرم"</f>
        <v>كيلوگرم</v>
      </c>
      <c r="J17" s="1" t="str">
        <f>"0000000076"</f>
        <v>0000000076</v>
      </c>
      <c r="K17" s="1" t="str">
        <f>"قير 60/70 - فله"</f>
        <v>قير 60/70 - فله</v>
      </c>
      <c r="L17" s="1">
        <v>100</v>
      </c>
      <c r="M17" s="1" t="str">
        <f>"مخازن قير اصفهان"</f>
        <v>مخازن قير اصفهان</v>
      </c>
      <c r="N17" s="1">
        <v>1663</v>
      </c>
      <c r="O17" s="1">
        <v>50039131</v>
      </c>
      <c r="P17" s="1" t="str">
        <f>"  تعاوني موحدين آسفالت يزد"</f>
        <v xml:space="preserve">  تعاوني موحدين آسفالت يزد</v>
      </c>
      <c r="Q17" s="1">
        <v>62</v>
      </c>
      <c r="R17" s="1" t="str">
        <f>"فروش داخلي - سازمان بنيادمسكن انقلاب اسلامي"</f>
        <v>فروش داخلي - سازمان بنيادمسكن انقلاب اسلامي</v>
      </c>
      <c r="S17" s="1" t="str">
        <f>"قرارداد فروش"</f>
        <v>قرارداد فروش</v>
      </c>
      <c r="T17" s="1" t="str">
        <f>"ندارد"</f>
        <v>ندارد</v>
      </c>
      <c r="U17" s="1" t="str">
        <f>"قانعي محمدرضا(1011ج89)"</f>
        <v>قانعي محمدرضا(1011ج89)</v>
      </c>
      <c r="V17" s="1">
        <v>966200761</v>
      </c>
      <c r="W17" s="1">
        <v>966200761</v>
      </c>
      <c r="X17" s="1" t="str">
        <f>"1396555465"</f>
        <v>1396555465</v>
      </c>
      <c r="Y17" s="1" t="str">
        <f>"96/12/27"</f>
        <v>96/12/27</v>
      </c>
      <c r="Z17" s="1" t="str">
        <f>"60138/د"</f>
        <v>60138/د</v>
      </c>
      <c r="AA17" s="1" t="str">
        <f>"بنيادمسكن انقلاب اسلامي"</f>
        <v>بنيادمسكن انقلاب اسلامي</v>
      </c>
      <c r="AB17" s="1" t="str">
        <f>"96/12/27"</f>
        <v>96/12/27</v>
      </c>
      <c r="AC17" s="1" t="str">
        <f>"استان يزد"</f>
        <v>استان يزد</v>
      </c>
      <c r="AD17" s="1" t="str">
        <f>"96/12/27"</f>
        <v>96/12/27</v>
      </c>
      <c r="AE17" s="1" t="str">
        <f>"اختتام"</f>
        <v>اختتام</v>
      </c>
      <c r="AF17" s="1" t="str">
        <f>""</f>
        <v/>
      </c>
      <c r="AG17" s="1" t="str">
        <f>""</f>
        <v/>
      </c>
      <c r="AH17" s="1" t="str">
        <f>""</f>
        <v/>
      </c>
      <c r="AI17" s="1" t="str">
        <f>""</f>
        <v/>
      </c>
      <c r="AJ17" s="1" t="str">
        <f>""</f>
        <v/>
      </c>
      <c r="AK17" s="1" t="str">
        <f>""</f>
        <v/>
      </c>
    </row>
    <row r="18" spans="1:37">
      <c r="A18" s="1">
        <v>30000</v>
      </c>
      <c r="B18" s="1">
        <v>966200762</v>
      </c>
      <c r="C18" s="1" t="str">
        <f>"تخليه - يزد- کنارگذر - بعداز پادگان شهيد صدوقي - شرکت موحدين آسفالت يزد"</f>
        <v>تخليه - يزد- کنارگذر - بعداز پادگان شهيد صدوقي - شرکت موحدين آسفالت يزد</v>
      </c>
      <c r="D18" s="1">
        <v>13350</v>
      </c>
      <c r="E18" s="1">
        <v>30000</v>
      </c>
      <c r="F18" s="1">
        <v>96</v>
      </c>
      <c r="G18" s="1">
        <v>0</v>
      </c>
      <c r="H18" s="1" t="str">
        <f>"96/12/27"</f>
        <v>96/12/27</v>
      </c>
      <c r="I18" s="1" t="str">
        <f>"كيلوگرم"</f>
        <v>كيلوگرم</v>
      </c>
      <c r="J18" s="1" t="str">
        <f>"0000000076"</f>
        <v>0000000076</v>
      </c>
      <c r="K18" s="1" t="str">
        <f>"قير 60/70 - فله"</f>
        <v>قير 60/70 - فله</v>
      </c>
      <c r="L18" s="1">
        <v>100</v>
      </c>
      <c r="M18" s="1" t="str">
        <f>"مخازن قير اصفهان"</f>
        <v>مخازن قير اصفهان</v>
      </c>
      <c r="N18" s="1">
        <v>1663</v>
      </c>
      <c r="O18" s="1">
        <v>50039132</v>
      </c>
      <c r="P18" s="1" t="str">
        <f>"  تعاوني موحدين آسفالت يزد"</f>
        <v xml:space="preserve">  تعاوني موحدين آسفالت يزد</v>
      </c>
      <c r="Q18" s="1">
        <v>62</v>
      </c>
      <c r="R18" s="1" t="str">
        <f>"فروش داخلي - سازمان بنيادمسكن انقلاب اسلامي"</f>
        <v>فروش داخلي - سازمان بنيادمسكن انقلاب اسلامي</v>
      </c>
      <c r="S18" s="1" t="str">
        <f>"قرارداد فروش"</f>
        <v>قرارداد فروش</v>
      </c>
      <c r="T18" s="1" t="str">
        <f>"ندارد"</f>
        <v>ندارد</v>
      </c>
      <c r="U18" s="1" t="str">
        <f>"قانعي محمدرضا(1011ج89)"</f>
        <v>قانعي محمدرضا(1011ج89)</v>
      </c>
      <c r="V18" s="1">
        <v>966200762</v>
      </c>
      <c r="W18" s="1">
        <v>966200762</v>
      </c>
      <c r="X18" s="1" t="str">
        <f>"1396555465"</f>
        <v>1396555465</v>
      </c>
      <c r="Y18" s="1" t="str">
        <f>"96/12/27"</f>
        <v>96/12/27</v>
      </c>
      <c r="Z18" s="1" t="str">
        <f>"60139/د"</f>
        <v>60139/د</v>
      </c>
      <c r="AA18" s="1" t="str">
        <f>"بنيادمسكن انقلاب اسلامي"</f>
        <v>بنيادمسكن انقلاب اسلامي</v>
      </c>
      <c r="AB18" s="1" t="str">
        <f>"96/12/27"</f>
        <v>96/12/27</v>
      </c>
      <c r="AC18" s="1" t="str">
        <f>"استان يزد"</f>
        <v>استان يزد</v>
      </c>
      <c r="AD18" s="1" t="str">
        <f>"96/12/27"</f>
        <v>96/12/27</v>
      </c>
      <c r="AE18" s="1" t="str">
        <f>"اختتام"</f>
        <v>اختتام</v>
      </c>
      <c r="AF18" s="1" t="str">
        <f>""</f>
        <v/>
      </c>
      <c r="AG18" s="1" t="str">
        <f>""</f>
        <v/>
      </c>
      <c r="AH18" s="1" t="str">
        <f>""</f>
        <v/>
      </c>
      <c r="AI18" s="1" t="str">
        <f>""</f>
        <v/>
      </c>
      <c r="AJ18" s="1" t="str">
        <f>""</f>
        <v/>
      </c>
      <c r="AK18" s="1" t="str">
        <f>""</f>
        <v/>
      </c>
    </row>
    <row r="19" spans="1:37">
      <c r="A19" s="1">
        <v>165310</v>
      </c>
      <c r="B19" s="1">
        <v>962000219</v>
      </c>
      <c r="C19" s="1" t="str">
        <f>"تخليه -يزدكيلومتر14جاده ابركوه -شيراز-كارخانه آسفالت شهرداري ابركوه"</f>
        <v>تخليه -يزدكيلومتر14جاده ابركوه -شيراز-كارخانه آسفالت شهرداري ابركوه</v>
      </c>
      <c r="D19" s="1">
        <v>9113</v>
      </c>
      <c r="E19" s="1">
        <v>165310</v>
      </c>
      <c r="F19" s="1">
        <v>96</v>
      </c>
      <c r="G19" s="1">
        <v>0</v>
      </c>
      <c r="H19" s="1" t="str">
        <f>"96/07/03"</f>
        <v>96/07/03</v>
      </c>
      <c r="I19" s="1" t="str">
        <f>"كيلوگرم"</f>
        <v>كيلوگرم</v>
      </c>
      <c r="J19" s="1" t="str">
        <f>"0000000076"</f>
        <v>0000000076</v>
      </c>
      <c r="K19" s="1" t="str">
        <f>"قير 60/70 - فله"</f>
        <v>قير 60/70 - فله</v>
      </c>
      <c r="L19" s="1">
        <v>100</v>
      </c>
      <c r="M19" s="1" t="str">
        <f>"مخازن قير اصفهان"</f>
        <v>مخازن قير اصفهان</v>
      </c>
      <c r="N19" s="1">
        <v>3451</v>
      </c>
      <c r="O19" s="1">
        <v>50036456</v>
      </c>
      <c r="P19" s="1" t="str">
        <f>"  شهرداري ابر كوه"</f>
        <v xml:space="preserve">  شهرداري ابر كوه</v>
      </c>
      <c r="Q19" s="1">
        <v>20</v>
      </c>
      <c r="R19" s="1" t="str">
        <f>"فروش داخلي - سازمان شهرداري ها و دهياري هاي كشور"</f>
        <v>فروش داخلي - سازمان شهرداري ها و دهياري هاي كشور</v>
      </c>
      <c r="S19" s="1" t="str">
        <f>"قرارداد فروش"</f>
        <v>قرارداد فروش</v>
      </c>
      <c r="T19" s="1" t="str">
        <f>"ندارد"</f>
        <v>ندارد</v>
      </c>
      <c r="U19" s="1" t="str">
        <f>"تعاوني جم گستر (1001 ج 89)"</f>
        <v>تعاوني جم گستر (1001 ج 89)</v>
      </c>
      <c r="V19" s="1">
        <v>962000219</v>
      </c>
      <c r="W19" s="1">
        <v>962000219</v>
      </c>
      <c r="X19" s="1" t="str">
        <f>"1396514467"</f>
        <v>1396514467</v>
      </c>
      <c r="Y19" s="1" t="str">
        <f>"96/07/03"</f>
        <v>96/07/03</v>
      </c>
      <c r="Z19" s="1" t="str">
        <f>"26864مرحله اول"</f>
        <v>26864مرحله اول</v>
      </c>
      <c r="AA19" s="1" t="str">
        <f>"شهرداريها"</f>
        <v>شهرداريها</v>
      </c>
      <c r="AB19" s="1" t="str">
        <f>"96/06/29"</f>
        <v>96/06/29</v>
      </c>
      <c r="AC19" s="1" t="str">
        <f>"استان يزد"</f>
        <v>استان يزد</v>
      </c>
      <c r="AD19" s="1" t="str">
        <f>"96/07/03"</f>
        <v>96/07/03</v>
      </c>
      <c r="AE19" s="1" t="str">
        <f>"اختتام"</f>
        <v>اختتام</v>
      </c>
      <c r="AF19" s="1" t="str">
        <f>""</f>
        <v/>
      </c>
      <c r="AG19" s="1" t="str">
        <f>""</f>
        <v/>
      </c>
      <c r="AH19" s="1" t="str">
        <f>""</f>
        <v/>
      </c>
      <c r="AI19" s="1" t="str">
        <f>""</f>
        <v/>
      </c>
      <c r="AJ19" s="1" t="str">
        <f>""</f>
        <v/>
      </c>
      <c r="AK19" s="1" t="str">
        <f>""</f>
        <v/>
      </c>
    </row>
    <row r="20" spans="1:37">
      <c r="A20" s="1">
        <v>69000</v>
      </c>
      <c r="B20" s="1">
        <v>966300058</v>
      </c>
      <c r="C20" s="1" t="str">
        <f>"تخليه - يزد - ابركوه - كيلومتر 10 جاده شيراز كارخانه آسفالت شهرداري ابركوه"</f>
        <v>تخليه - يزد - ابركوه - كيلومتر 10 جاده شيراز كارخانه آسفالت شهرداري ابركوه</v>
      </c>
      <c r="D20" s="1">
        <v>13200</v>
      </c>
      <c r="E20" s="1">
        <v>67420</v>
      </c>
      <c r="F20" s="1">
        <v>96</v>
      </c>
      <c r="G20" s="1">
        <v>1580</v>
      </c>
      <c r="H20" s="1" t="str">
        <f>"96/11/07"</f>
        <v>96/11/07</v>
      </c>
      <c r="I20" s="1" t="str">
        <f>"كيلوگرم"</f>
        <v>كيلوگرم</v>
      </c>
      <c r="J20" s="1" t="str">
        <f>"0000000076"</f>
        <v>0000000076</v>
      </c>
      <c r="K20" s="1" t="str">
        <f>"قير 60/70 - فله"</f>
        <v>قير 60/70 - فله</v>
      </c>
      <c r="L20" s="1">
        <v>100</v>
      </c>
      <c r="M20" s="1" t="str">
        <f>"مخازن قير اصفهان"</f>
        <v>مخازن قير اصفهان</v>
      </c>
      <c r="N20" s="1">
        <v>3451</v>
      </c>
      <c r="O20" s="1">
        <v>50038313</v>
      </c>
      <c r="P20" s="1" t="str">
        <f>"  شهرداري ابر كوه"</f>
        <v xml:space="preserve">  شهرداري ابر كوه</v>
      </c>
      <c r="Q20" s="1">
        <v>63</v>
      </c>
      <c r="R20" s="1" t="str">
        <f>"سازمان نوسازي،توسعه و تجهيز مدارس كشور"</f>
        <v>سازمان نوسازي،توسعه و تجهيز مدارس كشور</v>
      </c>
      <c r="S20" s="1" t="str">
        <f>"قرارداد فروش"</f>
        <v>قرارداد فروش</v>
      </c>
      <c r="T20" s="1" t="str">
        <f>"ندارد"</f>
        <v>ندارد</v>
      </c>
      <c r="U20" s="1" t="str">
        <f>"مرادي نجاتعلي(1020ج89)"</f>
        <v>مرادي نجاتعلي(1020ج89)</v>
      </c>
      <c r="V20" s="1">
        <v>966300058</v>
      </c>
      <c r="W20" s="1">
        <v>966300058</v>
      </c>
      <c r="X20" s="1" t="str">
        <f>"1396543186"</f>
        <v>1396543186</v>
      </c>
      <c r="Y20" s="1" t="str">
        <f>"96/11/07"</f>
        <v>96/11/07</v>
      </c>
      <c r="Z20" s="1" t="str">
        <f>"9683/1"</f>
        <v>9683/1</v>
      </c>
      <c r="AA20" s="1" t="str">
        <f>"سازمان نوسازي توسعه وتجهيزمدارس كشور"</f>
        <v>سازمان نوسازي توسعه وتجهيزمدارس كشور</v>
      </c>
      <c r="AB20" s="1" t="str">
        <f>"96/10/28"</f>
        <v>96/10/28</v>
      </c>
      <c r="AC20" s="1" t="str">
        <f>"استان يزد"</f>
        <v>استان يزد</v>
      </c>
      <c r="AD20" s="1" t="str">
        <f>"96/11/04"</f>
        <v>96/11/04</v>
      </c>
      <c r="AE20" s="1" t="str">
        <f>"اختتام"</f>
        <v>اختتام</v>
      </c>
      <c r="AF20" s="1" t="str">
        <f>""</f>
        <v/>
      </c>
      <c r="AG20" s="1" t="str">
        <f>""</f>
        <v/>
      </c>
      <c r="AH20" s="1" t="str">
        <f>""</f>
        <v/>
      </c>
      <c r="AI20" s="1" t="str">
        <f>""</f>
        <v/>
      </c>
      <c r="AJ20" s="1" t="str">
        <f>""</f>
        <v/>
      </c>
      <c r="AK20" s="1" t="str">
        <f>""</f>
        <v/>
      </c>
    </row>
    <row r="21" spans="1:37">
      <c r="A21" s="1">
        <v>82655</v>
      </c>
      <c r="B21" s="1">
        <v>962000231</v>
      </c>
      <c r="C21" s="1" t="str">
        <f>"تخليه -يزدكيلومتر14جاده ابركوه -شيراز-كارخانه آسفالت شهرداري ابركوه"</f>
        <v>تخليه -يزدكيلومتر14جاده ابركوه -شيراز-كارخانه آسفالت شهرداري ابركوه</v>
      </c>
      <c r="D21" s="1">
        <v>9113</v>
      </c>
      <c r="E21" s="1">
        <v>82655</v>
      </c>
      <c r="F21" s="1">
        <v>96</v>
      </c>
      <c r="G21" s="1">
        <v>0</v>
      </c>
      <c r="H21" s="1" t="str">
        <f>"96/09/07"</f>
        <v>96/09/07</v>
      </c>
      <c r="I21" s="1" t="str">
        <f>"كيلوگرم"</f>
        <v>كيلوگرم</v>
      </c>
      <c r="J21" s="1" t="str">
        <f>"0000000076"</f>
        <v>0000000076</v>
      </c>
      <c r="K21" s="1" t="str">
        <f>"قير 60/70 - فله"</f>
        <v>قير 60/70 - فله</v>
      </c>
      <c r="L21" s="1">
        <v>100</v>
      </c>
      <c r="M21" s="1" t="str">
        <f>"مخازن قير اصفهان"</f>
        <v>مخازن قير اصفهان</v>
      </c>
      <c r="N21" s="1">
        <v>3451</v>
      </c>
      <c r="O21" s="1">
        <v>50037270</v>
      </c>
      <c r="P21" s="1" t="str">
        <f>"  شهرداري ابر كوه"</f>
        <v xml:space="preserve">  شهرداري ابر كوه</v>
      </c>
      <c r="Q21" s="1">
        <v>20</v>
      </c>
      <c r="R21" s="1" t="str">
        <f>"فروش داخلي - سازمان شهرداري ها و دهياري هاي كشور"</f>
        <v>فروش داخلي - سازمان شهرداري ها و دهياري هاي كشور</v>
      </c>
      <c r="S21" s="1" t="str">
        <f>"قرارداد فروش"</f>
        <v>قرارداد فروش</v>
      </c>
      <c r="T21" s="1" t="str">
        <f>"ندارد"</f>
        <v>ندارد</v>
      </c>
      <c r="U21" s="1" t="str">
        <f>"تعاوني جم گستر (1001 ج 89)"</f>
        <v>تعاوني جم گستر (1001 ج 89)</v>
      </c>
      <c r="V21" s="1">
        <v>962000231</v>
      </c>
      <c r="W21" s="1">
        <v>962000231</v>
      </c>
      <c r="X21" s="1" t="str">
        <f>"1396514467"</f>
        <v>1396514467</v>
      </c>
      <c r="Y21" s="1" t="str">
        <f>"96/09/07"</f>
        <v>96/09/07</v>
      </c>
      <c r="Z21" s="1" t="str">
        <f>"36639مرحله دوم"</f>
        <v>36639مرحله دوم</v>
      </c>
      <c r="AA21" s="1" t="str">
        <f>"شهرداريها"</f>
        <v>شهرداريها</v>
      </c>
      <c r="AB21" s="1" t="str">
        <f>"96/09/01"</f>
        <v>96/09/01</v>
      </c>
      <c r="AC21" s="1" t="str">
        <f>"استان يزد"</f>
        <v>استان يزد</v>
      </c>
      <c r="AD21" s="1" t="str">
        <f>"96/07/03"</f>
        <v>96/07/03</v>
      </c>
      <c r="AE21" s="1" t="str">
        <f>"تاييدشده"</f>
        <v>تاييدشده</v>
      </c>
      <c r="AF21" s="1" t="str">
        <f>""</f>
        <v/>
      </c>
      <c r="AG21" s="1" t="str">
        <f>""</f>
        <v/>
      </c>
      <c r="AH21" s="1" t="str">
        <f>""</f>
        <v/>
      </c>
      <c r="AI21" s="1" t="str">
        <f>""</f>
        <v/>
      </c>
      <c r="AJ21" s="1" t="str">
        <f>""</f>
        <v/>
      </c>
      <c r="AK21" s="1" t="str">
        <f>""</f>
        <v/>
      </c>
    </row>
    <row r="22" spans="1:37">
      <c r="A22" s="1">
        <v>57195</v>
      </c>
      <c r="B22" s="1">
        <v>962000326</v>
      </c>
      <c r="C22" s="1" t="str">
        <f>"تخليه خراسان رضوي -کيلومتر5جاده گناباد-قاين-کارخانه آسفالت شهرداري بيدخت"</f>
        <v>تخليه خراسان رضوي -کيلومتر5جاده گناباد-قاين-کارخانه آسفالت شهرداري بيدخت</v>
      </c>
      <c r="D22" s="1">
        <v>9113</v>
      </c>
      <c r="E22" s="1">
        <v>55609</v>
      </c>
      <c r="F22" s="1">
        <v>96</v>
      </c>
      <c r="G22" s="1">
        <v>1586</v>
      </c>
      <c r="H22" s="1" t="str">
        <f>"96/09/13"</f>
        <v>96/09/13</v>
      </c>
      <c r="I22" s="1" t="str">
        <f>"كيلوگرم"</f>
        <v>كيلوگرم</v>
      </c>
      <c r="J22" s="1" t="str">
        <f>"0000000076"</f>
        <v>0000000076</v>
      </c>
      <c r="K22" s="1" t="str">
        <f>"قير 60/70 - فله"</f>
        <v>قير 60/70 - فله</v>
      </c>
      <c r="L22" s="1">
        <v>100</v>
      </c>
      <c r="M22" s="1" t="str">
        <f>"مخازن قير اصفهان"</f>
        <v>مخازن قير اصفهان</v>
      </c>
      <c r="N22" s="1">
        <v>4030</v>
      </c>
      <c r="O22" s="1">
        <v>50037533</v>
      </c>
      <c r="P22" s="1" t="str">
        <f>"  شهرداري بيدخت"</f>
        <v xml:space="preserve">  شهرداري بيدخت</v>
      </c>
      <c r="Q22" s="1">
        <v>20</v>
      </c>
      <c r="R22" s="1" t="str">
        <f>"فروش داخلي - سازمان شهرداري ها و دهياري هاي كشور"</f>
        <v>فروش داخلي - سازمان شهرداري ها و دهياري هاي كشور</v>
      </c>
      <c r="S22" s="1" t="str">
        <f>"قرارداد فروش"</f>
        <v>قرارداد فروش</v>
      </c>
      <c r="T22" s="1" t="str">
        <f>"ندارد"</f>
        <v>ندارد</v>
      </c>
      <c r="U22" s="1" t="str">
        <f>"تعاوني جم گستر (1001 ج 89)"</f>
        <v>تعاوني جم گستر (1001 ج 89)</v>
      </c>
      <c r="V22" s="1">
        <v>962000326</v>
      </c>
      <c r="W22" s="1">
        <v>962000326</v>
      </c>
      <c r="X22" s="1" t="str">
        <f>"1396514467"</f>
        <v>1396514467</v>
      </c>
      <c r="Y22" s="1" t="str">
        <f>"96/09/12"</f>
        <v>96/09/12</v>
      </c>
      <c r="Z22" s="1" t="str">
        <f>"37009مرحله دوم"</f>
        <v>37009مرحله دوم</v>
      </c>
      <c r="AA22" s="1" t="str">
        <f>"شهرداريها"</f>
        <v>شهرداريها</v>
      </c>
      <c r="AB22" s="1" t="str">
        <f>"96/09/04"</f>
        <v>96/09/04</v>
      </c>
      <c r="AC22" s="1" t="str">
        <f>"خراسان رضوي"</f>
        <v>خراسان رضوي</v>
      </c>
      <c r="AD22" s="1" t="str">
        <f>"96/07/03"</f>
        <v>96/07/03</v>
      </c>
      <c r="AE22" s="1" t="str">
        <f>"اختتام"</f>
        <v>اختتام</v>
      </c>
      <c r="AF22" s="1" t="str">
        <f>""</f>
        <v/>
      </c>
      <c r="AG22" s="1" t="str">
        <f>""</f>
        <v/>
      </c>
      <c r="AH22" s="1" t="str">
        <f>""</f>
        <v/>
      </c>
      <c r="AI22" s="1" t="str">
        <f>""</f>
        <v/>
      </c>
      <c r="AJ22" s="1" t="str">
        <f>""</f>
        <v/>
      </c>
      <c r="AK22" s="1" t="str">
        <f>""</f>
        <v/>
      </c>
    </row>
    <row r="23" spans="1:37">
      <c r="A23" s="1">
        <v>161000</v>
      </c>
      <c r="B23" s="1">
        <v>966200541</v>
      </c>
      <c r="C23" s="1" t="str">
        <f>"تخليه -چمستان -اول جاده لاويج كارخانه آسفالت پونل"</f>
        <v>تخليه -چمستان -اول جاده لاويج كارخانه آسفالت پونل</v>
      </c>
      <c r="D23" s="1">
        <v>13200</v>
      </c>
      <c r="E23" s="1">
        <v>160340</v>
      </c>
      <c r="F23" s="1">
        <v>96</v>
      </c>
      <c r="G23" s="1">
        <v>660</v>
      </c>
      <c r="H23" s="1" t="str">
        <f>"96/11/03"</f>
        <v>96/11/03</v>
      </c>
      <c r="I23" s="1" t="str">
        <f>"كيلوگرم"</f>
        <v>كيلوگرم</v>
      </c>
      <c r="J23" s="1" t="str">
        <f>"0000000076"</f>
        <v>0000000076</v>
      </c>
      <c r="K23" s="1" t="str">
        <f>"قير 60/70 - فله"</f>
        <v>قير 60/70 - فله</v>
      </c>
      <c r="L23" s="1">
        <v>100</v>
      </c>
      <c r="M23" s="1" t="str">
        <f>"مخازن قير اصفهان"</f>
        <v>مخازن قير اصفهان</v>
      </c>
      <c r="N23" s="1">
        <v>4040</v>
      </c>
      <c r="O23" s="1">
        <v>50038265</v>
      </c>
      <c r="P23" s="1" t="str">
        <f>"  ساختماني پونل"</f>
        <v xml:space="preserve">  ساختماني پونل</v>
      </c>
      <c r="Q23" s="1">
        <v>62</v>
      </c>
      <c r="R23" s="1" t="str">
        <f>"فروش داخلي - سازمان بنيادمسكن انقلاب اسلامي"</f>
        <v>فروش داخلي - سازمان بنيادمسكن انقلاب اسلامي</v>
      </c>
      <c r="S23" s="1" t="str">
        <f>"قرارداد فروش"</f>
        <v>قرارداد فروش</v>
      </c>
      <c r="T23" s="1" t="str">
        <f>"ندارد"</f>
        <v>ندارد</v>
      </c>
      <c r="U23" s="1" t="str">
        <f>"بهاري مرتضي (1881070)"</f>
        <v>بهاري مرتضي (1881070)</v>
      </c>
      <c r="V23" s="1">
        <v>966200541</v>
      </c>
      <c r="W23" s="1">
        <v>966200541</v>
      </c>
      <c r="X23" s="1" t="str">
        <f>"1396542495"</f>
        <v>1396542495</v>
      </c>
      <c r="Y23" s="1" t="str">
        <f>"96/11/03"</f>
        <v>96/11/03</v>
      </c>
      <c r="Z23" s="1" t="str">
        <f>"48618/د"</f>
        <v>48618/د</v>
      </c>
      <c r="AA23" s="1" t="str">
        <f>"بنيادمسكن انقلاب اسلامي"</f>
        <v>بنيادمسكن انقلاب اسلامي</v>
      </c>
      <c r="AB23" s="1" t="str">
        <f>"96/11/01"</f>
        <v>96/11/01</v>
      </c>
      <c r="AC23" s="1" t="str">
        <f>"استان مازندران"</f>
        <v>استان مازندران</v>
      </c>
      <c r="AD23" s="1" t="str">
        <f>"96/11/03"</f>
        <v>96/11/03</v>
      </c>
      <c r="AE23" s="1" t="str">
        <f>"اختتام"</f>
        <v>اختتام</v>
      </c>
      <c r="AF23" s="1" t="str">
        <f>""</f>
        <v/>
      </c>
      <c r="AG23" s="1" t="str">
        <f>""</f>
        <v/>
      </c>
      <c r="AH23" s="1" t="str">
        <f>""</f>
        <v/>
      </c>
      <c r="AI23" s="1" t="str">
        <f>""</f>
        <v/>
      </c>
      <c r="AJ23" s="1" t="str">
        <f>""</f>
        <v/>
      </c>
      <c r="AK23" s="1" t="str">
        <f>""</f>
        <v/>
      </c>
    </row>
    <row r="24" spans="1:37">
      <c r="A24" s="1">
        <v>67188</v>
      </c>
      <c r="B24" s="1">
        <v>962000252</v>
      </c>
      <c r="C24" s="1" t="str">
        <f>"تخليه خراسان جنوبي شهرستان درميان شهراسديه كارخانه آسفالت شهرداري"</f>
        <v>تخليه خراسان جنوبي شهرستان درميان شهراسديه كارخانه آسفالت شهرداري</v>
      </c>
      <c r="D24" s="1">
        <v>9113</v>
      </c>
      <c r="E24" s="1">
        <v>67188</v>
      </c>
      <c r="F24" s="1">
        <v>96</v>
      </c>
      <c r="G24" s="1">
        <v>0</v>
      </c>
      <c r="H24" s="1" t="str">
        <f>"96/09/08"</f>
        <v>96/09/08</v>
      </c>
      <c r="I24" s="1" t="str">
        <f>"كيلوگرم"</f>
        <v>كيلوگرم</v>
      </c>
      <c r="J24" s="1" t="str">
        <f>"0000000076"</f>
        <v>0000000076</v>
      </c>
      <c r="K24" s="1" t="str">
        <f>"قير 60/70 - فله"</f>
        <v>قير 60/70 - فله</v>
      </c>
      <c r="L24" s="1">
        <v>100</v>
      </c>
      <c r="M24" s="1" t="str">
        <f>"مخازن قير اصفهان"</f>
        <v>مخازن قير اصفهان</v>
      </c>
      <c r="N24" s="1">
        <v>4024</v>
      </c>
      <c r="O24" s="1">
        <v>50037381</v>
      </c>
      <c r="P24" s="1" t="str">
        <f>"  شهرداري اسديه"</f>
        <v xml:space="preserve">  شهرداري اسديه</v>
      </c>
      <c r="Q24" s="1">
        <v>20</v>
      </c>
      <c r="R24" s="1" t="str">
        <f>"فروش داخلي - سازمان شهرداري ها و دهياري هاي كشور"</f>
        <v>فروش داخلي - سازمان شهرداري ها و دهياري هاي كشور</v>
      </c>
      <c r="S24" s="1" t="str">
        <f>"قرارداد فروش"</f>
        <v>قرارداد فروش</v>
      </c>
      <c r="T24" s="1" t="str">
        <f>"ندارد"</f>
        <v>ندارد</v>
      </c>
      <c r="U24" s="1" t="str">
        <f>"تعاوني جم گستر (1001 ج 89)"</f>
        <v>تعاوني جم گستر (1001 ج 89)</v>
      </c>
      <c r="V24" s="1">
        <v>962000252</v>
      </c>
      <c r="W24" s="1">
        <v>962000252</v>
      </c>
      <c r="X24" s="1" t="str">
        <f>"1396514467"</f>
        <v>1396514467</v>
      </c>
      <c r="Y24" s="1" t="str">
        <f>"96/09/08"</f>
        <v>96/09/08</v>
      </c>
      <c r="Z24" s="1" t="str">
        <f>"37091مرحله دوم"</f>
        <v>37091مرحله دوم</v>
      </c>
      <c r="AA24" s="1" t="str">
        <f>"شهرداريها"</f>
        <v>شهرداريها</v>
      </c>
      <c r="AB24" s="1" t="str">
        <f>"96/09/04"</f>
        <v>96/09/04</v>
      </c>
      <c r="AC24" s="1" t="str">
        <f>"خراسان جنوبي"</f>
        <v>خراسان جنوبي</v>
      </c>
      <c r="AD24" s="1" t="str">
        <f>"96/07/03"</f>
        <v>96/07/03</v>
      </c>
      <c r="AE24" s="1" t="str">
        <f>"اختتام"</f>
        <v>اختتام</v>
      </c>
      <c r="AF24" s="1" t="str">
        <f>""</f>
        <v/>
      </c>
      <c r="AG24" s="1" t="str">
        <f>""</f>
        <v/>
      </c>
      <c r="AH24" s="1" t="str">
        <f>""</f>
        <v/>
      </c>
      <c r="AI24" s="1" t="str">
        <f>""</f>
        <v/>
      </c>
      <c r="AJ24" s="1" t="str">
        <f>""</f>
        <v/>
      </c>
      <c r="AK24" s="1" t="str">
        <f>""</f>
        <v/>
      </c>
    </row>
    <row r="25" spans="1:37">
      <c r="A25" s="1">
        <v>58375</v>
      </c>
      <c r="B25" s="1">
        <v>962000238</v>
      </c>
      <c r="C25" s="1" t="str">
        <f>"تخليه يزدشهرستان بهابادكارخانه آسفالت كويرجام"</f>
        <v>تخليه يزدشهرستان بهابادكارخانه آسفالت كويرجام</v>
      </c>
      <c r="D25" s="1">
        <v>9113</v>
      </c>
      <c r="E25" s="1">
        <v>58375</v>
      </c>
      <c r="F25" s="1">
        <v>96</v>
      </c>
      <c r="G25" s="1">
        <v>0</v>
      </c>
      <c r="H25" s="1" t="str">
        <f>"96/09/07"</f>
        <v>96/09/07</v>
      </c>
      <c r="I25" s="1" t="str">
        <f>"كيلوگرم"</f>
        <v>كيلوگرم</v>
      </c>
      <c r="J25" s="1" t="str">
        <f>"0000000076"</f>
        <v>0000000076</v>
      </c>
      <c r="K25" s="1" t="str">
        <f>"قير 60/70 - فله"</f>
        <v>قير 60/70 - فله</v>
      </c>
      <c r="L25" s="1">
        <v>100</v>
      </c>
      <c r="M25" s="1" t="str">
        <f>"مخازن قير اصفهان"</f>
        <v>مخازن قير اصفهان</v>
      </c>
      <c r="N25" s="1">
        <v>1601</v>
      </c>
      <c r="O25" s="1">
        <v>50037283</v>
      </c>
      <c r="P25" s="1" t="str">
        <f>"  شهرداري بهاباد"</f>
        <v xml:space="preserve">  شهرداري بهاباد</v>
      </c>
      <c r="Q25" s="1">
        <v>20</v>
      </c>
      <c r="R25" s="1" t="str">
        <f>"فروش داخلي - سازمان شهرداري ها و دهياري هاي كشور"</f>
        <v>فروش داخلي - سازمان شهرداري ها و دهياري هاي كشور</v>
      </c>
      <c r="S25" s="1" t="str">
        <f>"قرارداد فروش"</f>
        <v>قرارداد فروش</v>
      </c>
      <c r="T25" s="1" t="str">
        <f>"ندارد"</f>
        <v>ندارد</v>
      </c>
      <c r="U25" s="1" t="str">
        <f>"تعاوني جم گستر (1001 ج 89)"</f>
        <v>تعاوني جم گستر (1001 ج 89)</v>
      </c>
      <c r="V25" s="1">
        <v>962000238</v>
      </c>
      <c r="W25" s="1">
        <v>962000238</v>
      </c>
      <c r="X25" s="1" t="str">
        <f>"1396514467"</f>
        <v>1396514467</v>
      </c>
      <c r="Y25" s="1" t="str">
        <f>"96/09/07"</f>
        <v>96/09/07</v>
      </c>
      <c r="Z25" s="1" t="str">
        <f>"36643مرحله دوم"</f>
        <v>36643مرحله دوم</v>
      </c>
      <c r="AA25" s="1" t="str">
        <f>"شهرداريها"</f>
        <v>شهرداريها</v>
      </c>
      <c r="AB25" s="1" t="str">
        <f>"96/09/01"</f>
        <v>96/09/01</v>
      </c>
      <c r="AC25" s="1" t="str">
        <f>"استان يزد"</f>
        <v>استان يزد</v>
      </c>
      <c r="AD25" s="1" t="str">
        <f>"96/07/03"</f>
        <v>96/07/03</v>
      </c>
      <c r="AE25" s="1" t="str">
        <f>"تاييدشده"</f>
        <v>تاييدشده</v>
      </c>
      <c r="AF25" s="1" t="str">
        <f>""</f>
        <v/>
      </c>
      <c r="AG25" s="1" t="str">
        <f>""</f>
        <v/>
      </c>
      <c r="AH25" s="1" t="str">
        <f>""</f>
        <v/>
      </c>
      <c r="AI25" s="1" t="str">
        <f>""</f>
        <v/>
      </c>
      <c r="AJ25" s="1" t="str">
        <f>""</f>
        <v/>
      </c>
      <c r="AK25" s="1" t="str">
        <f>""</f>
        <v/>
      </c>
    </row>
    <row r="26" spans="1:37">
      <c r="A26" s="1">
        <v>110826</v>
      </c>
      <c r="B26" s="1">
        <v>962000269</v>
      </c>
      <c r="C26" s="1" t="str">
        <f>"تخليه -خراسان جنوبي -شهرستان قاين -كارخانه آسفالت شهرداري قاين"</f>
        <v>تخليه -خراسان جنوبي -شهرستان قاين -كارخانه آسفالت شهرداري قاين</v>
      </c>
      <c r="D26" s="1">
        <v>9113</v>
      </c>
      <c r="E26" s="1">
        <v>110826</v>
      </c>
      <c r="F26" s="1">
        <v>96</v>
      </c>
      <c r="G26" s="1">
        <v>0</v>
      </c>
      <c r="H26" s="1" t="str">
        <f>"96/09/08"</f>
        <v>96/09/08</v>
      </c>
      <c r="I26" s="1" t="str">
        <f>"كيلوگرم"</f>
        <v>كيلوگرم</v>
      </c>
      <c r="J26" s="1" t="str">
        <f>"0000000076"</f>
        <v>0000000076</v>
      </c>
      <c r="K26" s="1" t="str">
        <f>"قير 60/70 - فله"</f>
        <v>قير 60/70 - فله</v>
      </c>
      <c r="L26" s="1">
        <v>100</v>
      </c>
      <c r="M26" s="1" t="str">
        <f>"مخازن قير اصفهان"</f>
        <v>مخازن قير اصفهان</v>
      </c>
      <c r="N26" s="1">
        <v>4046</v>
      </c>
      <c r="O26" s="1">
        <v>50037398</v>
      </c>
      <c r="P26" s="1" t="str">
        <f>"  شهرداري قاين"</f>
        <v xml:space="preserve">  شهرداري قاين</v>
      </c>
      <c r="Q26" s="1">
        <v>20</v>
      </c>
      <c r="R26" s="1" t="str">
        <f>"فروش داخلي - سازمان شهرداري ها و دهياري هاي كشور"</f>
        <v>فروش داخلي - سازمان شهرداري ها و دهياري هاي كشور</v>
      </c>
      <c r="S26" s="1" t="str">
        <f>"قرارداد فروش"</f>
        <v>قرارداد فروش</v>
      </c>
      <c r="T26" s="1" t="str">
        <f>"ندارد"</f>
        <v>ندارد</v>
      </c>
      <c r="U26" s="1" t="str">
        <f>"تعاوني جم گستر (1001 ج 89)"</f>
        <v>تعاوني جم گستر (1001 ج 89)</v>
      </c>
      <c r="V26" s="1">
        <v>962000269</v>
      </c>
      <c r="W26" s="1">
        <v>962000269</v>
      </c>
      <c r="X26" s="1" t="str">
        <f>"1396514467"</f>
        <v>1396514467</v>
      </c>
      <c r="Y26" s="1" t="str">
        <f>"96/09/08"</f>
        <v>96/09/08</v>
      </c>
      <c r="Z26" s="1" t="str">
        <f>"37100مرحله دوم"</f>
        <v>37100مرحله دوم</v>
      </c>
      <c r="AA26" s="1" t="str">
        <f>"شهرداريها"</f>
        <v>شهرداريها</v>
      </c>
      <c r="AB26" s="1" t="str">
        <f>"96/09/04"</f>
        <v>96/09/04</v>
      </c>
      <c r="AC26" s="1" t="str">
        <f>"خراسان جنوبي"</f>
        <v>خراسان جنوبي</v>
      </c>
      <c r="AD26" s="1" t="str">
        <f>"96/07/03"</f>
        <v>96/07/03</v>
      </c>
      <c r="AE26" s="1" t="str">
        <f>"اختتام"</f>
        <v>اختتام</v>
      </c>
      <c r="AF26" s="1" t="str">
        <f>""</f>
        <v/>
      </c>
      <c r="AG26" s="1" t="str">
        <f>""</f>
        <v/>
      </c>
      <c r="AH26" s="1" t="str">
        <f>""</f>
        <v/>
      </c>
      <c r="AI26" s="1" t="str">
        <f>""</f>
        <v/>
      </c>
      <c r="AJ26" s="1" t="str">
        <f>""</f>
        <v/>
      </c>
      <c r="AK26" s="1" t="str">
        <f>""</f>
        <v/>
      </c>
    </row>
    <row r="27" spans="1:37">
      <c r="A27" s="1">
        <v>150000</v>
      </c>
      <c r="B27" s="1">
        <v>961100051</v>
      </c>
      <c r="C27" s="1" t="str">
        <f>"تخليه -شهرضا-كارخانه آسفالت شهرداري شهرضا"</f>
        <v>تخليه -شهرضا-كارخانه آسفالت شهرداري شهرضا</v>
      </c>
      <c r="D27" s="1">
        <v>8704</v>
      </c>
      <c r="E27" s="1">
        <v>150000</v>
      </c>
      <c r="F27" s="1">
        <v>96</v>
      </c>
      <c r="G27" s="1">
        <v>0</v>
      </c>
      <c r="H27" s="1" t="str">
        <f>"96/05/25"</f>
        <v>96/05/25</v>
      </c>
      <c r="I27" s="1" t="str">
        <f>"كيلوگرم"</f>
        <v>كيلوگرم</v>
      </c>
      <c r="J27" s="1" t="str">
        <f>"0000000076"</f>
        <v>0000000076</v>
      </c>
      <c r="K27" s="1" t="str">
        <f>"قير 60/70 - فله"</f>
        <v>قير 60/70 - فله</v>
      </c>
      <c r="L27" s="1">
        <v>100</v>
      </c>
      <c r="M27" s="1" t="str">
        <f>"مخازن قير اصفهان"</f>
        <v>مخازن قير اصفهان</v>
      </c>
      <c r="N27" s="1">
        <v>1701</v>
      </c>
      <c r="O27" s="1">
        <v>50035703</v>
      </c>
      <c r="P27" s="1" t="str">
        <f>"  شهرداري شهرضا"</f>
        <v xml:space="preserve">  شهرداري شهرضا</v>
      </c>
      <c r="Q27" s="1">
        <v>11</v>
      </c>
      <c r="R27" s="1" t="str">
        <f>"فروش داخلي تهران - بورس"</f>
        <v>فروش داخلي تهران - بورس</v>
      </c>
      <c r="S27" s="1" t="str">
        <f>"قرارداد فروش"</f>
        <v>قرارداد فروش</v>
      </c>
      <c r="T27" s="1" t="str">
        <f>"ندارد"</f>
        <v>ندارد</v>
      </c>
      <c r="U27" s="1" t="str">
        <f>"كبيري رحمت اله(1024ج89)"</f>
        <v>كبيري رحمت اله(1024ج89)</v>
      </c>
      <c r="V27" s="1">
        <v>961100051</v>
      </c>
      <c r="W27" s="1">
        <v>961100051</v>
      </c>
      <c r="X27" s="1" t="str">
        <f>"1396506144"</f>
        <v>1396506144</v>
      </c>
      <c r="Y27" s="1" t="str">
        <f>"96/05/25"</f>
        <v>96/05/25</v>
      </c>
      <c r="Z27" s="1" t="str">
        <f>"12793"</f>
        <v>12793</v>
      </c>
      <c r="AA27" s="1" t="str">
        <f>"شهرداريها"</f>
        <v>شهرداريها</v>
      </c>
      <c r="AB27" s="1" t="str">
        <f>"96/05/23"</f>
        <v>96/05/23</v>
      </c>
      <c r="AC27" s="1" t="str">
        <f>"استان اصفهان"</f>
        <v>استان اصفهان</v>
      </c>
      <c r="AD27" s="1" t="str">
        <f>"96/05/25"</f>
        <v>96/05/25</v>
      </c>
      <c r="AE27" s="1" t="str">
        <f>"اختتام"</f>
        <v>اختتام</v>
      </c>
      <c r="AF27" s="1" t="str">
        <f>""</f>
        <v/>
      </c>
      <c r="AG27" s="1" t="str">
        <f>""</f>
        <v/>
      </c>
      <c r="AH27" s="1" t="str">
        <f>""</f>
        <v/>
      </c>
      <c r="AI27" s="1" t="str">
        <f>""</f>
        <v/>
      </c>
      <c r="AJ27" s="1" t="str">
        <f>""</f>
        <v/>
      </c>
      <c r="AK27" s="1" t="str">
        <f>""</f>
        <v/>
      </c>
    </row>
    <row r="28" spans="1:37">
      <c r="A28" s="1">
        <v>84000</v>
      </c>
      <c r="B28" s="1">
        <v>966200640</v>
      </c>
      <c r="C28" s="1" t="str">
        <f>"تخليه - يزد- کنارگذر - بعداز پادگان شهيد صدوقي - شرکت موحدين آسفالت يزد"</f>
        <v>تخليه - يزد- کنارگذر - بعداز پادگان شهيد صدوقي - شرکت موحدين آسفالت يزد</v>
      </c>
      <c r="D28" s="1">
        <v>13350</v>
      </c>
      <c r="E28" s="1">
        <v>84000</v>
      </c>
      <c r="F28" s="1">
        <v>96</v>
      </c>
      <c r="G28" s="1">
        <v>0</v>
      </c>
      <c r="H28" s="1" t="str">
        <f>"96/12/14"</f>
        <v>96/12/14</v>
      </c>
      <c r="I28" s="1" t="str">
        <f>"كيلوگرم"</f>
        <v>كيلوگرم</v>
      </c>
      <c r="J28" s="1" t="str">
        <f>"0000000076"</f>
        <v>0000000076</v>
      </c>
      <c r="K28" s="1" t="str">
        <f>"قير 60/70 - فله"</f>
        <v>قير 60/70 - فله</v>
      </c>
      <c r="L28" s="1">
        <v>100</v>
      </c>
      <c r="M28" s="1" t="str">
        <f>"مخازن قير اصفهان"</f>
        <v>مخازن قير اصفهان</v>
      </c>
      <c r="N28" s="1">
        <v>1663</v>
      </c>
      <c r="O28" s="1">
        <v>50038761</v>
      </c>
      <c r="P28" s="1" t="str">
        <f>"  تعاوني موحدين آسفالت يزد"</f>
        <v xml:space="preserve">  تعاوني موحدين آسفالت يزد</v>
      </c>
      <c r="Q28" s="1">
        <v>62</v>
      </c>
      <c r="R28" s="1" t="str">
        <f>"فروش داخلي - سازمان بنيادمسكن انقلاب اسلامي"</f>
        <v>فروش داخلي - سازمان بنيادمسكن انقلاب اسلامي</v>
      </c>
      <c r="S28" s="1" t="str">
        <f>"قرارداد فروش"</f>
        <v>قرارداد فروش</v>
      </c>
      <c r="T28" s="1" t="str">
        <f>"ندارد"</f>
        <v>ندارد</v>
      </c>
      <c r="U28" s="1" t="str">
        <f>"قانعي محمدرضا(1011ج89)"</f>
        <v>قانعي محمدرضا(1011ج89)</v>
      </c>
      <c r="V28" s="1">
        <v>966200640</v>
      </c>
      <c r="W28" s="1">
        <v>966200640</v>
      </c>
      <c r="X28" s="1" t="str">
        <f>"1396552261"</f>
        <v>1396552261</v>
      </c>
      <c r="Y28" s="1" t="str">
        <f>"96/12/14"</f>
        <v>96/12/14</v>
      </c>
      <c r="Z28" s="1" t="str">
        <f>"56658/د"</f>
        <v>56658/د</v>
      </c>
      <c r="AA28" s="1" t="str">
        <f>"بنيادمسكن انقلاب اسلامي"</f>
        <v>بنيادمسكن انقلاب اسلامي</v>
      </c>
      <c r="AB28" s="1" t="str">
        <f>"96/12/13"</f>
        <v>96/12/13</v>
      </c>
      <c r="AC28" s="1" t="str">
        <f>"استان يزد"</f>
        <v>استان يزد</v>
      </c>
      <c r="AD28" s="1" t="str">
        <f>"96/12/14"</f>
        <v>96/12/14</v>
      </c>
      <c r="AE28" s="1" t="str">
        <f>"اختتام"</f>
        <v>اختتام</v>
      </c>
      <c r="AF28" s="1" t="str">
        <f>""</f>
        <v/>
      </c>
      <c r="AG28" s="1" t="str">
        <f>""</f>
        <v/>
      </c>
      <c r="AH28" s="1" t="str">
        <f>""</f>
        <v/>
      </c>
      <c r="AI28" s="1" t="str">
        <f>""</f>
        <v/>
      </c>
      <c r="AJ28" s="1" t="str">
        <f>""</f>
        <v/>
      </c>
      <c r="AK28" s="1" t="str">
        <f>""</f>
        <v/>
      </c>
    </row>
    <row r="29" spans="1:37">
      <c r="A29" s="1">
        <v>35000</v>
      </c>
      <c r="B29" s="1">
        <v>966200692</v>
      </c>
      <c r="C29" s="1" t="str">
        <f>"تخليه - يزد- کنارگذر - بعداز پادگان شهيد صدوقي - شرکت موحدين آسفالت يزد"</f>
        <v>تخليه - يزد- کنارگذر - بعداز پادگان شهيد صدوقي - شرکت موحدين آسفالت يزد</v>
      </c>
      <c r="D29" s="1">
        <v>13350</v>
      </c>
      <c r="E29" s="1">
        <v>35000</v>
      </c>
      <c r="F29" s="1">
        <v>96</v>
      </c>
      <c r="G29" s="1">
        <v>0</v>
      </c>
      <c r="H29" s="1" t="str">
        <f>"96/12/23"</f>
        <v>96/12/23</v>
      </c>
      <c r="I29" s="1" t="str">
        <f>"كيلوگرم"</f>
        <v>كيلوگرم</v>
      </c>
      <c r="J29" s="1" t="str">
        <f>"0000000076"</f>
        <v>0000000076</v>
      </c>
      <c r="K29" s="1" t="str">
        <f>"قير 60/70 - فله"</f>
        <v>قير 60/70 - فله</v>
      </c>
      <c r="L29" s="1">
        <v>100</v>
      </c>
      <c r="M29" s="1" t="str">
        <f>"مخازن قير اصفهان"</f>
        <v>مخازن قير اصفهان</v>
      </c>
      <c r="N29" s="1">
        <v>1663</v>
      </c>
      <c r="O29" s="1">
        <v>50038968</v>
      </c>
      <c r="P29" s="1" t="str">
        <f>"  تعاوني موحدين آسفالت يزد"</f>
        <v xml:space="preserve">  تعاوني موحدين آسفالت يزد</v>
      </c>
      <c r="Q29" s="1">
        <v>62</v>
      </c>
      <c r="R29" s="1" t="str">
        <f>"فروش داخلي - سازمان بنيادمسكن انقلاب اسلامي"</f>
        <v>فروش داخلي - سازمان بنيادمسكن انقلاب اسلامي</v>
      </c>
      <c r="S29" s="1" t="str">
        <f>"قرارداد فروش"</f>
        <v>قرارداد فروش</v>
      </c>
      <c r="T29" s="1" t="str">
        <f>"ندارد"</f>
        <v>ندارد</v>
      </c>
      <c r="U29" s="1" t="str">
        <f>"قانعي محمدرضا(1011ج89)"</f>
        <v>قانعي محمدرضا(1011ج89)</v>
      </c>
      <c r="V29" s="1">
        <v>966200692</v>
      </c>
      <c r="W29" s="1">
        <v>966200692</v>
      </c>
      <c r="X29" s="1" t="str">
        <f>"1396554554"</f>
        <v>1396554554</v>
      </c>
      <c r="Y29" s="1" t="str">
        <f>"96/12/23"</f>
        <v>96/12/23</v>
      </c>
      <c r="Z29" s="1" t="str">
        <f>"58757/د"</f>
        <v>58757/د</v>
      </c>
      <c r="AA29" s="1" t="str">
        <f>"بنيادمسكن انقلاب اسلامي"</f>
        <v>بنيادمسكن انقلاب اسلامي</v>
      </c>
      <c r="AB29" s="1" t="str">
        <f>"96/12/21"</f>
        <v>96/12/21</v>
      </c>
      <c r="AC29" s="1" t="str">
        <f>"استان يزد"</f>
        <v>استان يزد</v>
      </c>
      <c r="AD29" s="1" t="str">
        <f>"96/12/23"</f>
        <v>96/12/23</v>
      </c>
      <c r="AE29" s="1" t="str">
        <f>"اختتام"</f>
        <v>اختتام</v>
      </c>
      <c r="AF29" s="1" t="str">
        <f>""</f>
        <v/>
      </c>
      <c r="AG29" s="1" t="str">
        <f>""</f>
        <v/>
      </c>
      <c r="AH29" s="1" t="str">
        <f>""</f>
        <v/>
      </c>
      <c r="AI29" s="1" t="str">
        <f>""</f>
        <v/>
      </c>
      <c r="AJ29" s="1" t="str">
        <f>""</f>
        <v/>
      </c>
      <c r="AK29" s="1" t="str">
        <f>""</f>
        <v/>
      </c>
    </row>
    <row r="30" spans="1:37">
      <c r="A30" s="1">
        <v>70000</v>
      </c>
      <c r="B30" s="1">
        <v>961100134</v>
      </c>
      <c r="C30" s="1" t="str">
        <f>"تخليه -يزد-كيلومتر15محوريزد-كرمان -حريتاش"</f>
        <v>تخليه -يزد-كيلومتر15محوريزد-كرمان -حريتاش</v>
      </c>
      <c r="D30" s="1">
        <v>13350</v>
      </c>
      <c r="E30" s="1">
        <v>68740</v>
      </c>
      <c r="F30" s="1">
        <v>96</v>
      </c>
      <c r="G30" s="1">
        <v>1260</v>
      </c>
      <c r="H30" s="1" t="str">
        <f>"96/12/23"</f>
        <v>96/12/23</v>
      </c>
      <c r="I30" s="1" t="str">
        <f>"كيلوگرم"</f>
        <v>كيلوگرم</v>
      </c>
      <c r="J30" s="1" t="str">
        <f>"0000000076"</f>
        <v>0000000076</v>
      </c>
      <c r="K30" s="1" t="str">
        <f>"قير 60/70 - فله"</f>
        <v>قير 60/70 - فله</v>
      </c>
      <c r="L30" s="1">
        <v>100</v>
      </c>
      <c r="M30" s="1" t="str">
        <f>"مخازن قير اصفهان"</f>
        <v>مخازن قير اصفهان</v>
      </c>
      <c r="N30" s="1">
        <v>1728</v>
      </c>
      <c r="O30" s="1">
        <v>50038950</v>
      </c>
      <c r="P30" s="1" t="str">
        <f>"  حريتاش"</f>
        <v xml:space="preserve">  حريتاش</v>
      </c>
      <c r="Q30" s="1">
        <v>11</v>
      </c>
      <c r="R30" s="1" t="str">
        <f>"فروش داخلي تهران - بورس"</f>
        <v>فروش داخلي تهران - بورس</v>
      </c>
      <c r="S30" s="1" t="str">
        <f>"قرارداد فروش"</f>
        <v>قرارداد فروش</v>
      </c>
      <c r="T30" s="1" t="str">
        <f>"ندارد"</f>
        <v>ندارد</v>
      </c>
      <c r="U30" s="1" t="str">
        <f>"عزيزي صفر(1006ج 89)"</f>
        <v>عزيزي صفر(1006ج 89)</v>
      </c>
      <c r="V30" s="1">
        <v>961100134</v>
      </c>
      <c r="W30" s="1">
        <v>961100134</v>
      </c>
      <c r="X30" s="1" t="str">
        <f>"1396554103"</f>
        <v>1396554103</v>
      </c>
      <c r="Y30" s="1" t="str">
        <f>"96/12/23"</f>
        <v>96/12/23</v>
      </c>
      <c r="Z30" s="1" t="str">
        <f>"96-37459"</f>
        <v>96-37459</v>
      </c>
      <c r="AA30" s="1" t="str">
        <f>"آسفالت سازان"</f>
        <v>آسفالت سازان</v>
      </c>
      <c r="AB30" s="1" t="str">
        <f>"96/12/22"</f>
        <v>96/12/22</v>
      </c>
      <c r="AC30" s="1" t="str">
        <f>"استان يزد"</f>
        <v>استان يزد</v>
      </c>
      <c r="AD30" s="1" t="str">
        <f>"96/12/21"</f>
        <v>96/12/21</v>
      </c>
      <c r="AE30" s="1" t="str">
        <f>"اختتام"</f>
        <v>اختتام</v>
      </c>
      <c r="AF30" s="1" t="str">
        <f>""</f>
        <v/>
      </c>
      <c r="AG30" s="1" t="str">
        <f>""</f>
        <v/>
      </c>
      <c r="AH30" s="1" t="str">
        <f>""</f>
        <v/>
      </c>
      <c r="AI30" s="1" t="str">
        <f>""</f>
        <v/>
      </c>
      <c r="AJ30" s="1" t="str">
        <f>""</f>
        <v/>
      </c>
      <c r="AK30" s="1" t="str">
        <f>""</f>
        <v/>
      </c>
    </row>
    <row r="31" spans="1:37">
      <c r="A31" s="1">
        <v>146000</v>
      </c>
      <c r="B31" s="1">
        <v>966200111</v>
      </c>
      <c r="C31" s="1" t="str">
        <f>"تخليه -خراسان جنوبي -فردوس -خروجي به طرف سرايان كارخانه آسفالت توس راديه"</f>
        <v>تخليه -خراسان جنوبي -فردوس -خروجي به طرف سرايان كارخانه آسفالت توس راديه</v>
      </c>
      <c r="D31" s="1">
        <v>9204</v>
      </c>
      <c r="E31" s="1">
        <v>138800</v>
      </c>
      <c r="F31" s="1">
        <v>96</v>
      </c>
      <c r="G31" s="1">
        <v>7200</v>
      </c>
      <c r="H31" s="1" t="str">
        <f>"96/03/10"</f>
        <v>96/03/10</v>
      </c>
      <c r="I31" s="1" t="str">
        <f>"كيلوگرم"</f>
        <v>كيلوگرم</v>
      </c>
      <c r="J31" s="1" t="str">
        <f>"0000000076"</f>
        <v>0000000076</v>
      </c>
      <c r="K31" s="1" t="str">
        <f>"قير 60/70 - فله"</f>
        <v>قير 60/70 - فله</v>
      </c>
      <c r="L31" s="1">
        <v>100</v>
      </c>
      <c r="M31" s="1" t="str">
        <f>"مخازن قير اصفهان"</f>
        <v>مخازن قير اصفهان</v>
      </c>
      <c r="N31" s="1">
        <v>4060</v>
      </c>
      <c r="O31" s="1">
        <v>50034927</v>
      </c>
      <c r="P31" s="1" t="str">
        <f>"  توس راديه"</f>
        <v xml:space="preserve">  توس راديه</v>
      </c>
      <c r="Q31" s="1">
        <v>62</v>
      </c>
      <c r="R31" s="1" t="str">
        <f>"فروش داخلي - سازمان بنيادمسكن انقلاب اسلامي"</f>
        <v>فروش داخلي - سازمان بنيادمسكن انقلاب اسلامي</v>
      </c>
      <c r="S31" s="1" t="str">
        <f>"قرارداد فروش"</f>
        <v>قرارداد فروش</v>
      </c>
      <c r="T31" s="1" t="str">
        <f>"ندارد"</f>
        <v>ندارد</v>
      </c>
      <c r="U31" s="1" t="str">
        <f>"بابامحمدي عنايت اله(4844000)"</f>
        <v>بابامحمدي عنايت اله(4844000)</v>
      </c>
      <c r="V31" s="1">
        <v>966200111</v>
      </c>
      <c r="W31" s="1">
        <v>966200111</v>
      </c>
      <c r="X31" s="1" t="str">
        <f>"1396485067"</f>
        <v>1396485067</v>
      </c>
      <c r="Y31" s="1" t="str">
        <f>"96/03/10"</f>
        <v>96/03/10</v>
      </c>
      <c r="Z31" s="1" t="str">
        <f>"9192/د"</f>
        <v>9192/د</v>
      </c>
      <c r="AA31" s="1" t="str">
        <f>"بنيادمسكن انقلاب اسلامي"</f>
        <v>بنيادمسكن انقلاب اسلامي</v>
      </c>
      <c r="AB31" s="1" t="str">
        <f>"96/03/09"</f>
        <v>96/03/09</v>
      </c>
      <c r="AC31" s="1" t="str">
        <f>"خراسان جنوبي"</f>
        <v>خراسان جنوبي</v>
      </c>
      <c r="AD31" s="1" t="str">
        <f>"96/03/10"</f>
        <v>96/03/10</v>
      </c>
      <c r="AE31" s="1" t="str">
        <f>"اختتام"</f>
        <v>اختتام</v>
      </c>
      <c r="AF31" s="1" t="str">
        <f>""</f>
        <v/>
      </c>
      <c r="AG31" s="1" t="str">
        <f>""</f>
        <v/>
      </c>
      <c r="AH31" s="1" t="str">
        <f>""</f>
        <v/>
      </c>
      <c r="AI31" s="1" t="str">
        <f>""</f>
        <v/>
      </c>
      <c r="AJ31" s="1" t="str">
        <f>""</f>
        <v/>
      </c>
      <c r="AK31" s="1" t="str">
        <f>""</f>
        <v/>
      </c>
    </row>
    <row r="32" spans="1:37">
      <c r="A32" s="1">
        <v>500000</v>
      </c>
      <c r="B32" s="1">
        <v>961100031</v>
      </c>
      <c r="C32" s="1" t="str">
        <f>"تخليه -شهرضا-كارخانه آسفالت شهرداري شهرضا"</f>
        <v>تخليه -شهرضا-كارخانه آسفالت شهرداري شهرضا</v>
      </c>
      <c r="D32" s="1">
        <v>8704</v>
      </c>
      <c r="E32" s="1">
        <v>499500</v>
      </c>
      <c r="F32" s="1">
        <v>96</v>
      </c>
      <c r="G32" s="1">
        <v>500</v>
      </c>
      <c r="H32" s="1" t="str">
        <f>"96/04/13"</f>
        <v>96/04/13</v>
      </c>
      <c r="I32" s="1" t="str">
        <f>"كيلوگرم"</f>
        <v>كيلوگرم</v>
      </c>
      <c r="J32" s="1" t="str">
        <f>"0000000076"</f>
        <v>0000000076</v>
      </c>
      <c r="K32" s="1" t="str">
        <f>"قير 60/70 - فله"</f>
        <v>قير 60/70 - فله</v>
      </c>
      <c r="L32" s="1">
        <v>100</v>
      </c>
      <c r="M32" s="1" t="str">
        <f>"مخازن قير اصفهان"</f>
        <v>مخازن قير اصفهان</v>
      </c>
      <c r="N32" s="1">
        <v>1701</v>
      </c>
      <c r="O32" s="1">
        <v>50035087</v>
      </c>
      <c r="P32" s="1" t="str">
        <f>"  شهرداري شهرضا"</f>
        <v xml:space="preserve">  شهرداري شهرضا</v>
      </c>
      <c r="Q32" s="1">
        <v>11</v>
      </c>
      <c r="R32" s="1" t="str">
        <f>"فروش داخلي تهران - بورس"</f>
        <v>فروش داخلي تهران - بورس</v>
      </c>
      <c r="S32" s="1" t="str">
        <f>"قرارداد فروش"</f>
        <v>قرارداد فروش</v>
      </c>
      <c r="T32" s="1" t="str">
        <f>"ندارد"</f>
        <v>ندارد</v>
      </c>
      <c r="U32" s="1" t="str">
        <f>"علي عابدي ابوالقاسم(1003ج89)"</f>
        <v>علي عابدي ابوالقاسم(1003ج89)</v>
      </c>
      <c r="V32" s="1">
        <v>961100031</v>
      </c>
      <c r="W32" s="1">
        <v>961100031</v>
      </c>
      <c r="X32" s="1" t="str">
        <f>"1396492346"</f>
        <v>1396492346</v>
      </c>
      <c r="Y32" s="1" t="str">
        <f>"96/04/11"</f>
        <v>96/04/11</v>
      </c>
      <c r="Z32" s="1" t="str">
        <f>"6915"</f>
        <v>6915</v>
      </c>
      <c r="AA32" s="1" t="str">
        <f>"شهرداريها"</f>
        <v>شهرداريها</v>
      </c>
      <c r="AB32" s="1" t="str">
        <f>"96/03/29"</f>
        <v>96/03/29</v>
      </c>
      <c r="AC32" s="1" t="str">
        <f>"استان اصفهان"</f>
        <v>استان اصفهان</v>
      </c>
      <c r="AD32" s="1" t="str">
        <f>"96/04/11"</f>
        <v>96/04/11</v>
      </c>
      <c r="AE32" s="1" t="str">
        <f>"اختتام"</f>
        <v>اختتام</v>
      </c>
      <c r="AF32" s="1" t="str">
        <f>""</f>
        <v/>
      </c>
      <c r="AG32" s="1" t="str">
        <f>""</f>
        <v/>
      </c>
      <c r="AH32" s="1" t="str">
        <f>""</f>
        <v/>
      </c>
      <c r="AI32" s="1" t="str">
        <f>""</f>
        <v/>
      </c>
      <c r="AJ32" s="1" t="str">
        <f>""</f>
        <v/>
      </c>
      <c r="AK32" s="1" t="str">
        <f>""</f>
        <v/>
      </c>
    </row>
    <row r="33" spans="1:37">
      <c r="A33" s="1">
        <v>513000</v>
      </c>
      <c r="B33" s="1">
        <v>966200059</v>
      </c>
      <c r="C33" s="1" t="str">
        <f>"تخليه -گلستان -گرگان -کيلومتر9جاده آق قلا-روبروي قربان آباد"</f>
        <v>تخليه -گلستان -گرگان -کيلومتر9جاده آق قلا-روبروي قربان آباد</v>
      </c>
      <c r="D33" s="1">
        <v>8918</v>
      </c>
      <c r="E33" s="1">
        <v>512120</v>
      </c>
      <c r="F33" s="1">
        <v>96</v>
      </c>
      <c r="G33" s="1">
        <v>880</v>
      </c>
      <c r="H33" s="1" t="str">
        <f>"96/02/13"</f>
        <v>96/02/13</v>
      </c>
      <c r="I33" s="1" t="str">
        <f>"كيلوگرم"</f>
        <v>كيلوگرم</v>
      </c>
      <c r="J33" s="1" t="str">
        <f>"0000000076"</f>
        <v>0000000076</v>
      </c>
      <c r="K33" s="1" t="str">
        <f>"قير 60/70 - فله"</f>
        <v>قير 60/70 - فله</v>
      </c>
      <c r="L33" s="1">
        <v>100</v>
      </c>
      <c r="M33" s="1" t="str">
        <f>"مخازن قير اصفهان"</f>
        <v>مخازن قير اصفهان</v>
      </c>
      <c r="N33" s="1">
        <v>4106</v>
      </c>
      <c r="O33" s="1">
        <v>50034754</v>
      </c>
      <c r="P33" s="1" t="str">
        <f>"  سپيد راه كيان"</f>
        <v xml:space="preserve">  سپيد راه كيان</v>
      </c>
      <c r="Q33" s="1">
        <v>62</v>
      </c>
      <c r="R33" s="1" t="str">
        <f>"فروش داخلي - سازمان بنيادمسكن انقلاب اسلامي"</f>
        <v>فروش داخلي - سازمان بنيادمسكن انقلاب اسلامي</v>
      </c>
      <c r="S33" s="1" t="str">
        <f>"قرارداد فروش"</f>
        <v>قرارداد فروش</v>
      </c>
      <c r="T33" s="1" t="str">
        <f>"ندارد"</f>
        <v>ندارد</v>
      </c>
      <c r="U33" s="1" t="str">
        <f>"شيشه بر كريم(1841016)"</f>
        <v>شيشه بر كريم(1841016)</v>
      </c>
      <c r="V33" s="1">
        <v>966200059</v>
      </c>
      <c r="W33" s="1">
        <v>966200059</v>
      </c>
      <c r="X33" s="1" t="str">
        <f>"1396477992"</f>
        <v>1396477992</v>
      </c>
      <c r="Y33" s="1" t="str">
        <f>"96/02/13"</f>
        <v>96/02/13</v>
      </c>
      <c r="Z33" s="1" t="str">
        <f>"4635/د"</f>
        <v>4635/د</v>
      </c>
      <c r="AA33" s="1" t="str">
        <f>"بنيادمسكن انقلاب اسلامي"</f>
        <v>بنيادمسكن انقلاب اسلامي</v>
      </c>
      <c r="AB33" s="1" t="str">
        <f>"96/02/11"</f>
        <v>96/02/11</v>
      </c>
      <c r="AC33" s="1" t="str">
        <f>"استان گلستان"</f>
        <v>استان گلستان</v>
      </c>
      <c r="AD33" s="1" t="str">
        <f>"96/02/12"</f>
        <v>96/02/12</v>
      </c>
      <c r="AE33" s="1" t="str">
        <f>"اختتام"</f>
        <v>اختتام</v>
      </c>
      <c r="AF33" s="1" t="str">
        <f>""</f>
        <v/>
      </c>
      <c r="AG33" s="1" t="str">
        <f>""</f>
        <v/>
      </c>
      <c r="AH33" s="1" t="str">
        <f>""</f>
        <v/>
      </c>
      <c r="AI33" s="1" t="str">
        <f>""</f>
        <v/>
      </c>
      <c r="AJ33" s="1" t="str">
        <f>""</f>
        <v/>
      </c>
      <c r="AK33" s="1" t="str">
        <f>""</f>
        <v/>
      </c>
    </row>
    <row r="34" spans="1:37">
      <c r="A34" s="1">
        <v>72109</v>
      </c>
      <c r="B34" s="1">
        <v>962000332</v>
      </c>
      <c r="C34" s="1" t="str">
        <f>"تخليه خراسان رضوي كيلومتر12جاده گنابادفردوس كارخانه آسفالت كيهان راه شرق"</f>
        <v>تخليه خراسان رضوي كيلومتر12جاده گنابادفردوس كارخانه آسفالت كيهان راه شرق</v>
      </c>
      <c r="D34" s="1">
        <v>9113</v>
      </c>
      <c r="E34" s="1">
        <v>68981</v>
      </c>
      <c r="F34" s="1">
        <v>96</v>
      </c>
      <c r="G34" s="1">
        <v>3128</v>
      </c>
      <c r="H34" s="1" t="str">
        <f>"96/09/13"</f>
        <v>96/09/13</v>
      </c>
      <c r="I34" s="1" t="str">
        <f>"كيلوگرم"</f>
        <v>كيلوگرم</v>
      </c>
      <c r="J34" s="1" t="str">
        <f>"0000000076"</f>
        <v>0000000076</v>
      </c>
      <c r="K34" s="1" t="str">
        <f>"قير 60/70 - فله"</f>
        <v>قير 60/70 - فله</v>
      </c>
      <c r="L34" s="1">
        <v>100</v>
      </c>
      <c r="M34" s="1" t="str">
        <f>"مخازن قير اصفهان"</f>
        <v>مخازن قير اصفهان</v>
      </c>
      <c r="N34" s="1">
        <v>4145</v>
      </c>
      <c r="O34" s="1">
        <v>50037540</v>
      </c>
      <c r="P34" s="1" t="str">
        <f>"  شهرداري فيض آباد"</f>
        <v xml:space="preserve">  شهرداري فيض آباد</v>
      </c>
      <c r="Q34" s="1">
        <v>20</v>
      </c>
      <c r="R34" s="1" t="str">
        <f>"فروش داخلي - سازمان شهرداري ها و دهياري هاي كشور"</f>
        <v>فروش داخلي - سازمان شهرداري ها و دهياري هاي كشور</v>
      </c>
      <c r="S34" s="1" t="str">
        <f>"قرارداد فروش"</f>
        <v>قرارداد فروش</v>
      </c>
      <c r="T34" s="1" t="str">
        <f>"ندارد"</f>
        <v>ندارد</v>
      </c>
      <c r="U34" s="1" t="str">
        <f>"تعاوني جم گستر (1001 ج 89)"</f>
        <v>تعاوني جم گستر (1001 ج 89)</v>
      </c>
      <c r="V34" s="1">
        <v>962000332</v>
      </c>
      <c r="W34" s="1">
        <v>962000332</v>
      </c>
      <c r="X34" s="1" t="str">
        <f>"1396514467"</f>
        <v>1396514467</v>
      </c>
      <c r="Y34" s="1" t="str">
        <f>"96/09/12"</f>
        <v>96/09/12</v>
      </c>
      <c r="Z34" s="1" t="str">
        <f>"37046مرحله دوم"</f>
        <v>37046مرحله دوم</v>
      </c>
      <c r="AA34" s="1" t="str">
        <f>"شهرداريها"</f>
        <v>شهرداريها</v>
      </c>
      <c r="AB34" s="1" t="str">
        <f>"96/09/04"</f>
        <v>96/09/04</v>
      </c>
      <c r="AC34" s="1" t="str">
        <f>"خراسان رضوي"</f>
        <v>خراسان رضوي</v>
      </c>
      <c r="AD34" s="1" t="str">
        <f>"96/07/03"</f>
        <v>96/07/03</v>
      </c>
      <c r="AE34" s="1" t="str">
        <f>"اختتام"</f>
        <v>اختتام</v>
      </c>
      <c r="AF34" s="1" t="str">
        <f>""</f>
        <v/>
      </c>
      <c r="AG34" s="1" t="str">
        <f>""</f>
        <v/>
      </c>
      <c r="AH34" s="1" t="str">
        <f>""</f>
        <v/>
      </c>
      <c r="AI34" s="1" t="str">
        <f>""</f>
        <v/>
      </c>
      <c r="AJ34" s="1" t="str">
        <f>""</f>
        <v/>
      </c>
      <c r="AK34" s="1" t="str">
        <f>""</f>
        <v/>
      </c>
    </row>
    <row r="35" spans="1:37">
      <c r="A35" s="1">
        <v>114391</v>
      </c>
      <c r="B35" s="1">
        <v>962000161</v>
      </c>
      <c r="C35" s="1" t="str">
        <f>"تخليه خراسان رضوي -کيلومتر5جاده گناباد-قاين-کارخانه آسفالت شهرداري بيدخت"</f>
        <v>تخليه خراسان رضوي -کيلومتر5جاده گناباد-قاين-کارخانه آسفالت شهرداري بيدخت</v>
      </c>
      <c r="D35" s="1">
        <v>9113</v>
      </c>
      <c r="E35" s="1">
        <v>114391</v>
      </c>
      <c r="F35" s="1">
        <v>96</v>
      </c>
      <c r="G35" s="1">
        <v>0</v>
      </c>
      <c r="H35" s="1" t="str">
        <f>"96/07/03"</f>
        <v>96/07/03</v>
      </c>
      <c r="I35" s="1" t="str">
        <f>"كيلوگرم"</f>
        <v>كيلوگرم</v>
      </c>
      <c r="J35" s="1" t="str">
        <f>"0000000076"</f>
        <v>0000000076</v>
      </c>
      <c r="K35" s="1" t="str">
        <f>"قير 60/70 - فله"</f>
        <v>قير 60/70 - فله</v>
      </c>
      <c r="L35" s="1">
        <v>100</v>
      </c>
      <c r="M35" s="1" t="str">
        <f>"مخازن قير اصفهان"</f>
        <v>مخازن قير اصفهان</v>
      </c>
      <c r="N35" s="1">
        <v>4030</v>
      </c>
      <c r="O35" s="1">
        <v>50036366</v>
      </c>
      <c r="P35" s="1" t="str">
        <f>"  شهرداري بيدخت"</f>
        <v xml:space="preserve">  شهرداري بيدخت</v>
      </c>
      <c r="Q35" s="1">
        <v>20</v>
      </c>
      <c r="R35" s="1" t="str">
        <f>"فروش داخلي - سازمان شهرداري ها و دهياري هاي كشور"</f>
        <v>فروش داخلي - سازمان شهرداري ها و دهياري هاي كشور</v>
      </c>
      <c r="S35" s="1" t="str">
        <f>"قرارداد فروش"</f>
        <v>قرارداد فروش</v>
      </c>
      <c r="T35" s="1" t="str">
        <f>"ندارد"</f>
        <v>ندارد</v>
      </c>
      <c r="U35" s="1" t="str">
        <f>"تعاوني جم گستر (1001 ج 89)"</f>
        <v>تعاوني جم گستر (1001 ج 89)</v>
      </c>
      <c r="V35" s="1">
        <v>962000161</v>
      </c>
      <c r="W35" s="1">
        <v>962000161</v>
      </c>
      <c r="X35" s="1" t="str">
        <f>"1396514467"</f>
        <v>1396514467</v>
      </c>
      <c r="Y35" s="1" t="str">
        <f>"96/07/03"</f>
        <v>96/07/03</v>
      </c>
      <c r="Z35" s="1" t="str">
        <f>"26844مرحله اول"</f>
        <v>26844مرحله اول</v>
      </c>
      <c r="AA35" s="1" t="str">
        <f>"شهرداريها"</f>
        <v>شهرداريها</v>
      </c>
      <c r="AB35" s="1" t="str">
        <f>"96/06/29"</f>
        <v>96/06/29</v>
      </c>
      <c r="AC35" s="1" t="str">
        <f>"خراسان رضوي"</f>
        <v>خراسان رضوي</v>
      </c>
      <c r="AD35" s="1" t="str">
        <f>"96/07/03"</f>
        <v>96/07/03</v>
      </c>
      <c r="AE35" s="1" t="str">
        <f>"اختتام"</f>
        <v>اختتام</v>
      </c>
      <c r="AF35" s="1" t="str">
        <f>""</f>
        <v/>
      </c>
      <c r="AG35" s="1" t="str">
        <f>""</f>
        <v/>
      </c>
      <c r="AH35" s="1" t="str">
        <f>""</f>
        <v/>
      </c>
      <c r="AI35" s="1" t="str">
        <f>""</f>
        <v/>
      </c>
      <c r="AJ35" s="1" t="str">
        <f>""</f>
        <v/>
      </c>
      <c r="AK35" s="1" t="str">
        <f>""</f>
        <v/>
      </c>
    </row>
    <row r="36" spans="1:37">
      <c r="A36" s="1">
        <v>152000</v>
      </c>
      <c r="B36" s="1">
        <v>966300056</v>
      </c>
      <c r="C36" s="1" t="str">
        <f>"تخليه -يزد كيلومتر15جاده يزد-مهريز-كارگاه حريتاش"</f>
        <v>تخليه -يزد كيلومتر15جاده يزد-مهريز-كارگاه حريتاش</v>
      </c>
      <c r="D36" s="1">
        <v>13200</v>
      </c>
      <c r="E36" s="1">
        <v>152000</v>
      </c>
      <c r="F36" s="1">
        <v>96</v>
      </c>
      <c r="G36" s="1">
        <v>0</v>
      </c>
      <c r="H36" s="1" t="str">
        <f>"96/11/07"</f>
        <v>96/11/07</v>
      </c>
      <c r="I36" s="1" t="str">
        <f>"كيلوگرم"</f>
        <v>كيلوگرم</v>
      </c>
      <c r="J36" s="1" t="str">
        <f>"0000000076"</f>
        <v>0000000076</v>
      </c>
      <c r="K36" s="1" t="str">
        <f>"قير 60/70 - فله"</f>
        <v>قير 60/70 - فله</v>
      </c>
      <c r="L36" s="1">
        <v>100</v>
      </c>
      <c r="M36" s="1" t="str">
        <f>"مخازن قير اصفهان"</f>
        <v>مخازن قير اصفهان</v>
      </c>
      <c r="N36" s="1">
        <v>1728</v>
      </c>
      <c r="O36" s="1">
        <v>50038311</v>
      </c>
      <c r="P36" s="1" t="str">
        <f>"  حريتاش"</f>
        <v xml:space="preserve">  حريتاش</v>
      </c>
      <c r="Q36" s="1">
        <v>63</v>
      </c>
      <c r="R36" s="1" t="str">
        <f>"سازمان نوسازي،توسعه و تجهيز مدارس كشور"</f>
        <v>سازمان نوسازي،توسعه و تجهيز مدارس كشور</v>
      </c>
      <c r="S36" s="1" t="str">
        <f>"قرارداد فروش"</f>
        <v>قرارداد فروش</v>
      </c>
      <c r="T36" s="1" t="str">
        <f>"ندارد"</f>
        <v>ندارد</v>
      </c>
      <c r="U36" s="1" t="str">
        <f>"عزيزي صفر(1006ج 89)"</f>
        <v>عزيزي صفر(1006ج 89)</v>
      </c>
      <c r="V36" s="1">
        <v>966300056</v>
      </c>
      <c r="W36" s="1">
        <v>966300056</v>
      </c>
      <c r="X36" s="1" t="str">
        <f>"1396543187"</f>
        <v>1396543187</v>
      </c>
      <c r="Y36" s="1" t="str">
        <f>"96/11/07"</f>
        <v>96/11/07</v>
      </c>
      <c r="Z36" s="1" t="str">
        <f>"9682/1"</f>
        <v>9682/1</v>
      </c>
      <c r="AA36" s="1" t="str">
        <f>"سازمان نوسازي توسعه وتجهيزمدارس كشور"</f>
        <v>سازمان نوسازي توسعه وتجهيزمدارس كشور</v>
      </c>
      <c r="AB36" s="1" t="str">
        <f>"96/10/28"</f>
        <v>96/10/28</v>
      </c>
      <c r="AC36" s="1" t="str">
        <f>"استان يزد"</f>
        <v>استان يزد</v>
      </c>
      <c r="AD36" s="1" t="str">
        <f>"96/11/04"</f>
        <v>96/11/04</v>
      </c>
      <c r="AE36" s="1" t="str">
        <f>"اختتام"</f>
        <v>اختتام</v>
      </c>
      <c r="AF36" s="1" t="str">
        <f>""</f>
        <v/>
      </c>
      <c r="AG36" s="1" t="str">
        <f>""</f>
        <v/>
      </c>
      <c r="AH36" s="1" t="str">
        <f>""</f>
        <v/>
      </c>
      <c r="AI36" s="1" t="str">
        <f>""</f>
        <v/>
      </c>
      <c r="AJ36" s="1" t="str">
        <f>""</f>
        <v/>
      </c>
      <c r="AK36" s="1" t="str">
        <f>""</f>
        <v/>
      </c>
    </row>
    <row r="37" spans="1:37">
      <c r="A37" s="1">
        <v>75000</v>
      </c>
      <c r="B37" s="1">
        <v>966300065</v>
      </c>
      <c r="C37" s="1" t="str">
        <f>"تخليه -يزد كيلومتر15جاده يزد-مهريز-كارگاه حريتاش"</f>
        <v>تخليه -يزد كيلومتر15جاده يزد-مهريز-كارگاه حريتاش</v>
      </c>
      <c r="D37" s="1">
        <v>13350</v>
      </c>
      <c r="E37" s="1">
        <v>74700</v>
      </c>
      <c r="F37" s="1">
        <v>96</v>
      </c>
      <c r="G37" s="1">
        <v>300</v>
      </c>
      <c r="H37" s="1" t="str">
        <f>"96/12/06"</f>
        <v>96/12/06</v>
      </c>
      <c r="I37" s="1" t="str">
        <f>"كيلوگرم"</f>
        <v>كيلوگرم</v>
      </c>
      <c r="J37" s="1" t="str">
        <f>"0000000076"</f>
        <v>0000000076</v>
      </c>
      <c r="K37" s="1" t="str">
        <f>"قير 60/70 - فله"</f>
        <v>قير 60/70 - فله</v>
      </c>
      <c r="L37" s="1">
        <v>100</v>
      </c>
      <c r="M37" s="1" t="str">
        <f>"مخازن قير اصفهان"</f>
        <v>مخازن قير اصفهان</v>
      </c>
      <c r="N37" s="1">
        <v>1728</v>
      </c>
      <c r="O37" s="1">
        <v>50038613</v>
      </c>
      <c r="P37" s="1" t="str">
        <f>"  حريتاش"</f>
        <v xml:space="preserve">  حريتاش</v>
      </c>
      <c r="Q37" s="1">
        <v>63</v>
      </c>
      <c r="R37" s="1" t="str">
        <f>"سازمان نوسازي،توسعه و تجهيز مدارس كشور"</f>
        <v>سازمان نوسازي،توسعه و تجهيز مدارس كشور</v>
      </c>
      <c r="S37" s="1" t="str">
        <f>"قرارداد فروش"</f>
        <v>قرارداد فروش</v>
      </c>
      <c r="T37" s="1" t="str">
        <f>"ندارد"</f>
        <v>ندارد</v>
      </c>
      <c r="U37" s="1" t="str">
        <f>"عزيزي صفر(1006ج 89)"</f>
        <v>عزيزي صفر(1006ج 89)</v>
      </c>
      <c r="V37" s="1">
        <v>966300065</v>
      </c>
      <c r="W37" s="1">
        <v>966300065</v>
      </c>
      <c r="X37" s="1" t="str">
        <f>"1396550457"</f>
        <v>1396550457</v>
      </c>
      <c r="Y37" s="1" t="str">
        <f>"96/12/06"</f>
        <v>96/12/06</v>
      </c>
      <c r="Z37" s="1" t="str">
        <f>"10599/1"</f>
        <v>10599/1</v>
      </c>
      <c r="AA37" s="1" t="str">
        <f>"سازمان نوسازي توسعه وتجهيزمدارس كشور"</f>
        <v>سازمان نوسازي توسعه وتجهيزمدارس كشور</v>
      </c>
      <c r="AB37" s="1" t="str">
        <f>"96/11/28"</f>
        <v>96/11/28</v>
      </c>
      <c r="AC37" s="1" t="str">
        <f>"استان يزد"</f>
        <v>استان يزد</v>
      </c>
      <c r="AD37" s="1" t="str">
        <f>"96/12/06"</f>
        <v>96/12/06</v>
      </c>
      <c r="AE37" s="1" t="str">
        <f>"اختتام"</f>
        <v>اختتام</v>
      </c>
      <c r="AF37" s="1" t="str">
        <f>""</f>
        <v/>
      </c>
      <c r="AG37" s="1" t="str">
        <f>""</f>
        <v/>
      </c>
      <c r="AH37" s="1" t="str">
        <f>""</f>
        <v/>
      </c>
      <c r="AI37" s="1" t="str">
        <f>""</f>
        <v/>
      </c>
      <c r="AJ37" s="1" t="str">
        <f>""</f>
        <v/>
      </c>
      <c r="AK37" s="1" t="str">
        <f>""</f>
        <v/>
      </c>
    </row>
    <row r="38" spans="1:37">
      <c r="A38" s="1">
        <v>200000</v>
      </c>
      <c r="B38" s="1">
        <v>961100038</v>
      </c>
      <c r="C38" s="1" t="str">
        <f>"يزد-تفت -كيلومتر5-شركت ناورود"</f>
        <v>يزد-تفت -كيلومتر5-شركت ناورود</v>
      </c>
      <c r="D38" s="1">
        <v>8704</v>
      </c>
      <c r="E38" s="1">
        <v>199100</v>
      </c>
      <c r="F38" s="1">
        <v>96</v>
      </c>
      <c r="G38" s="1">
        <v>900</v>
      </c>
      <c r="H38" s="1" t="str">
        <f>"96/04/25"</f>
        <v>96/04/25</v>
      </c>
      <c r="I38" s="1" t="str">
        <f>"كيلوگرم"</f>
        <v>كيلوگرم</v>
      </c>
      <c r="J38" s="1" t="str">
        <f>"0000000076"</f>
        <v>0000000076</v>
      </c>
      <c r="K38" s="1" t="str">
        <f>"قير 60/70 - فله"</f>
        <v>قير 60/70 - فله</v>
      </c>
      <c r="L38" s="1">
        <v>100</v>
      </c>
      <c r="M38" s="1" t="str">
        <f>"مخازن قير اصفهان"</f>
        <v>مخازن قير اصفهان</v>
      </c>
      <c r="N38" s="1">
        <v>4062</v>
      </c>
      <c r="O38" s="1">
        <v>50035221</v>
      </c>
      <c r="P38" s="1" t="str">
        <f>"  ناورود"</f>
        <v xml:space="preserve">  ناورود</v>
      </c>
      <c r="Q38" s="1">
        <v>11</v>
      </c>
      <c r="R38" s="1" t="str">
        <f>"فروش داخلي تهران - بورس"</f>
        <v>فروش داخلي تهران - بورس</v>
      </c>
      <c r="S38" s="1" t="str">
        <f>"قرارداد فروش"</f>
        <v>قرارداد فروش</v>
      </c>
      <c r="T38" s="1" t="str">
        <f>"ندارد"</f>
        <v>ندارد</v>
      </c>
      <c r="U38" s="1" t="str">
        <f>"فتاح زاده سيداحمد(3843011)"</f>
        <v>فتاح زاده سيداحمد(3843011)</v>
      </c>
      <c r="V38" s="1">
        <v>961100038</v>
      </c>
      <c r="W38" s="1">
        <v>961100038</v>
      </c>
      <c r="X38" s="1" t="str">
        <f>"1396496975"</f>
        <v>1396496975</v>
      </c>
      <c r="Y38" s="1" t="str">
        <f>"96/04/25"</f>
        <v>96/04/25</v>
      </c>
      <c r="Z38" s="1" t="str">
        <f>"96-203-1278"</f>
        <v>96-203-1278</v>
      </c>
      <c r="AA38" s="1" t="str">
        <f>"وزارت راه و ترابري-استانها"</f>
        <v>وزارت راه و ترابري-استانها</v>
      </c>
      <c r="AB38" s="1" t="str">
        <f>"96/04/20"</f>
        <v>96/04/20</v>
      </c>
      <c r="AC38" s="1" t="str">
        <f>"استان يزد"</f>
        <v>استان يزد</v>
      </c>
      <c r="AD38" s="1" t="str">
        <f>"96/04/25"</f>
        <v>96/04/25</v>
      </c>
      <c r="AE38" s="1" t="str">
        <f>"اختتام"</f>
        <v>اختتام</v>
      </c>
      <c r="AF38" s="1" t="str">
        <f>""</f>
        <v/>
      </c>
      <c r="AG38" s="1" t="str">
        <f>""</f>
        <v/>
      </c>
      <c r="AH38" s="1" t="str">
        <f>""</f>
        <v/>
      </c>
      <c r="AI38" s="1" t="str">
        <f>""</f>
        <v/>
      </c>
      <c r="AJ38" s="1" t="str">
        <f>""</f>
        <v/>
      </c>
      <c r="AK38" s="1" t="str">
        <f>""</f>
        <v/>
      </c>
    </row>
    <row r="39" spans="1:37">
      <c r="A39" s="1">
        <v>127497</v>
      </c>
      <c r="B39" s="1">
        <v>962000119</v>
      </c>
      <c r="C39" s="1" t="str">
        <f>"تخليه بوشهربزرگراه سيراف نرسيده به شهرخورموج كارخانه آسفالت راهگشيان دشتي"</f>
        <v>تخليه بوشهربزرگراه سيراف نرسيده به شهرخورموج كارخانه آسفالت راهگشيان دشتي</v>
      </c>
      <c r="D39" s="1">
        <v>9113</v>
      </c>
      <c r="E39" s="1">
        <v>127497</v>
      </c>
      <c r="F39" s="1">
        <v>96</v>
      </c>
      <c r="G39" s="1">
        <v>0</v>
      </c>
      <c r="H39" s="1" t="str">
        <f>"96/07/03"</f>
        <v>96/07/03</v>
      </c>
      <c r="I39" s="1" t="str">
        <f>"كيلوگرم"</f>
        <v>كيلوگرم</v>
      </c>
      <c r="J39" s="1" t="str">
        <f>"0000000076"</f>
        <v>0000000076</v>
      </c>
      <c r="K39" s="1" t="str">
        <f>"قير 60/70 - فله"</f>
        <v>قير 60/70 - فله</v>
      </c>
      <c r="L39" s="1">
        <v>100</v>
      </c>
      <c r="M39" s="1" t="str">
        <f>"مخازن قير اصفهان"</f>
        <v>مخازن قير اصفهان</v>
      </c>
      <c r="N39" s="1">
        <v>4198</v>
      </c>
      <c r="O39" s="1">
        <v>50036287</v>
      </c>
      <c r="P39" s="1" t="str">
        <f>"  شهرداري كاكي"</f>
        <v xml:space="preserve">  شهرداري كاكي</v>
      </c>
      <c r="Q39" s="1">
        <v>20</v>
      </c>
      <c r="R39" s="1" t="str">
        <f>"فروش داخلي - سازمان شهرداري ها و دهياري هاي كشور"</f>
        <v>فروش داخلي - سازمان شهرداري ها و دهياري هاي كشور</v>
      </c>
      <c r="S39" s="1" t="str">
        <f>"قرارداد فروش"</f>
        <v>قرارداد فروش</v>
      </c>
      <c r="T39" s="1" t="str">
        <f>"ندارد"</f>
        <v>ندارد</v>
      </c>
      <c r="U39" s="1" t="str">
        <f>"تعاوني جم گستر (1001 ج 89)"</f>
        <v>تعاوني جم گستر (1001 ج 89)</v>
      </c>
      <c r="V39" s="1">
        <v>962000119</v>
      </c>
      <c r="W39" s="1">
        <v>962000119</v>
      </c>
      <c r="X39" s="1" t="str">
        <f>"1396514467"</f>
        <v>1396514467</v>
      </c>
      <c r="Y39" s="1" t="str">
        <f>"96/07/03"</f>
        <v>96/07/03</v>
      </c>
      <c r="Z39" s="1" t="str">
        <f>"26686مرحله اول"</f>
        <v>26686مرحله اول</v>
      </c>
      <c r="AA39" s="1" t="str">
        <f>"شهرداريها"</f>
        <v>شهرداريها</v>
      </c>
      <c r="AB39" s="1" t="str">
        <f>"96/06/29"</f>
        <v>96/06/29</v>
      </c>
      <c r="AC39" s="1" t="str">
        <f>"بوشهر"</f>
        <v>بوشهر</v>
      </c>
      <c r="AD39" s="1" t="str">
        <f>"96/07/03"</f>
        <v>96/07/03</v>
      </c>
      <c r="AE39" s="1" t="str">
        <f>"تاييدشده"</f>
        <v>تاييدشده</v>
      </c>
      <c r="AF39" s="1" t="str">
        <f>""</f>
        <v/>
      </c>
      <c r="AG39" s="1" t="str">
        <f>""</f>
        <v/>
      </c>
      <c r="AH39" s="1" t="str">
        <f>""</f>
        <v/>
      </c>
      <c r="AI39" s="1" t="str">
        <f>""</f>
        <v/>
      </c>
      <c r="AJ39" s="1" t="str">
        <f>""</f>
        <v/>
      </c>
      <c r="AK39" s="1" t="str">
        <f>""</f>
        <v/>
      </c>
    </row>
    <row r="40" spans="1:37">
      <c r="A40" s="1">
        <v>116751</v>
      </c>
      <c r="B40" s="1">
        <v>962000223</v>
      </c>
      <c r="C40" s="1" t="str">
        <f>"تخليه يزدشهرستان بهابادكارخانه آسفالت كويرجام"</f>
        <v>تخليه يزدشهرستان بهابادكارخانه آسفالت كويرجام</v>
      </c>
      <c r="D40" s="1">
        <v>9113</v>
      </c>
      <c r="E40" s="1">
        <v>116751</v>
      </c>
      <c r="F40" s="1">
        <v>96</v>
      </c>
      <c r="G40" s="1">
        <v>0</v>
      </c>
      <c r="H40" s="1" t="str">
        <f>"96/07/03"</f>
        <v>96/07/03</v>
      </c>
      <c r="I40" s="1" t="str">
        <f>"كيلوگرم"</f>
        <v>كيلوگرم</v>
      </c>
      <c r="J40" s="1" t="str">
        <f>"0000000076"</f>
        <v>0000000076</v>
      </c>
      <c r="K40" s="1" t="str">
        <f>"قير 60/70 - فله"</f>
        <v>قير 60/70 - فله</v>
      </c>
      <c r="L40" s="1">
        <v>100</v>
      </c>
      <c r="M40" s="1" t="str">
        <f>"مخازن قير اصفهان"</f>
        <v>مخازن قير اصفهان</v>
      </c>
      <c r="N40" s="1">
        <v>1601</v>
      </c>
      <c r="O40" s="1">
        <v>50036460</v>
      </c>
      <c r="P40" s="1" t="str">
        <f>"  شهرداري بهاباد"</f>
        <v xml:space="preserve">  شهرداري بهاباد</v>
      </c>
      <c r="Q40" s="1">
        <v>20</v>
      </c>
      <c r="R40" s="1" t="str">
        <f>"فروش داخلي - سازمان شهرداري ها و دهياري هاي كشور"</f>
        <v>فروش داخلي - سازمان شهرداري ها و دهياري هاي كشور</v>
      </c>
      <c r="S40" s="1" t="str">
        <f>"قرارداد فروش"</f>
        <v>قرارداد فروش</v>
      </c>
      <c r="T40" s="1" t="str">
        <f>"ندارد"</f>
        <v>ندارد</v>
      </c>
      <c r="U40" s="1" t="str">
        <f>"تعاوني جم گستر (1001 ج 89)"</f>
        <v>تعاوني جم گستر (1001 ج 89)</v>
      </c>
      <c r="V40" s="1">
        <v>962000223</v>
      </c>
      <c r="W40" s="1">
        <v>962000223</v>
      </c>
      <c r="X40" s="1" t="str">
        <f>"1396514467"</f>
        <v>1396514467</v>
      </c>
      <c r="Y40" s="1" t="str">
        <f>"96/07/03"</f>
        <v>96/07/03</v>
      </c>
      <c r="Z40" s="1" t="str">
        <f>"26847مرحله اول"</f>
        <v>26847مرحله اول</v>
      </c>
      <c r="AA40" s="1" t="str">
        <f>"شهرداريها"</f>
        <v>شهرداريها</v>
      </c>
      <c r="AB40" s="1" t="str">
        <f>"96/06/29"</f>
        <v>96/06/29</v>
      </c>
      <c r="AC40" s="1" t="str">
        <f>"استان يزد"</f>
        <v>استان يزد</v>
      </c>
      <c r="AD40" s="1" t="str">
        <f>"96/07/03"</f>
        <v>96/07/03</v>
      </c>
      <c r="AE40" s="1" t="str">
        <f>"اختتام"</f>
        <v>اختتام</v>
      </c>
      <c r="AF40" s="1" t="str">
        <f>""</f>
        <v/>
      </c>
      <c r="AG40" s="1" t="str">
        <f>""</f>
        <v/>
      </c>
      <c r="AH40" s="1" t="str">
        <f>""</f>
        <v/>
      </c>
      <c r="AI40" s="1" t="str">
        <f>""</f>
        <v/>
      </c>
      <c r="AJ40" s="1" t="str">
        <f>""</f>
        <v/>
      </c>
      <c r="AK40" s="1" t="str">
        <f>""</f>
        <v/>
      </c>
    </row>
    <row r="41" spans="1:37">
      <c r="A41" s="1">
        <v>95234</v>
      </c>
      <c r="B41" s="1">
        <v>962000328</v>
      </c>
      <c r="C41" s="1" t="str">
        <f>"تخليه خراسان رضوي كيلومتر10جاده گنابادمشهدكارخانه آسفالت شهرداري گناباد"</f>
        <v>تخليه خراسان رضوي كيلومتر10جاده گنابادمشهدكارخانه آسفالت شهرداري گناباد</v>
      </c>
      <c r="D41" s="1">
        <v>9113</v>
      </c>
      <c r="E41" s="1">
        <v>93712</v>
      </c>
      <c r="F41" s="1">
        <v>96</v>
      </c>
      <c r="G41" s="1">
        <v>1522</v>
      </c>
      <c r="H41" s="1" t="str">
        <f>"96/09/13"</f>
        <v>96/09/13</v>
      </c>
      <c r="I41" s="1" t="str">
        <f>"كيلوگرم"</f>
        <v>كيلوگرم</v>
      </c>
      <c r="J41" s="1" t="str">
        <f>"0000000076"</f>
        <v>0000000076</v>
      </c>
      <c r="K41" s="1" t="str">
        <f>"قير 60/70 - فله"</f>
        <v>قير 60/70 - فله</v>
      </c>
      <c r="L41" s="1">
        <v>100</v>
      </c>
      <c r="M41" s="1" t="str">
        <f>"مخازن قير اصفهان"</f>
        <v>مخازن قير اصفهان</v>
      </c>
      <c r="N41" s="1">
        <v>4045</v>
      </c>
      <c r="O41" s="1">
        <v>50037535</v>
      </c>
      <c r="P41" s="1" t="str">
        <f>"  شهرداري گناباد(00146)"</f>
        <v xml:space="preserve">  شهرداري گناباد(00146)</v>
      </c>
      <c r="Q41" s="1">
        <v>20</v>
      </c>
      <c r="R41" s="1" t="str">
        <f>"فروش داخلي - سازمان شهرداري ها و دهياري هاي كشور"</f>
        <v>فروش داخلي - سازمان شهرداري ها و دهياري هاي كشور</v>
      </c>
      <c r="S41" s="1" t="str">
        <f>"قرارداد فروش"</f>
        <v>قرارداد فروش</v>
      </c>
      <c r="T41" s="1" t="str">
        <f>"ندارد"</f>
        <v>ندارد</v>
      </c>
      <c r="U41" s="1" t="str">
        <f>"تعاوني جم گستر (1001 ج 89)"</f>
        <v>تعاوني جم گستر (1001 ج 89)</v>
      </c>
      <c r="V41" s="1">
        <v>962000328</v>
      </c>
      <c r="W41" s="1">
        <v>962000328</v>
      </c>
      <c r="X41" s="1" t="str">
        <f>"1396514467"</f>
        <v>1396514467</v>
      </c>
      <c r="Y41" s="1" t="str">
        <f>"96/09/12"</f>
        <v>96/09/12</v>
      </c>
      <c r="Z41" s="1" t="str">
        <f>"37058مرحله دوم"</f>
        <v>37058مرحله دوم</v>
      </c>
      <c r="AA41" s="1" t="str">
        <f>"شهرداريها"</f>
        <v>شهرداريها</v>
      </c>
      <c r="AB41" s="1" t="str">
        <f>"96/09/04"</f>
        <v>96/09/04</v>
      </c>
      <c r="AC41" s="1" t="str">
        <f>"خراسان رضوي"</f>
        <v>خراسان رضوي</v>
      </c>
      <c r="AD41" s="1" t="str">
        <f>"96/07/03"</f>
        <v>96/07/03</v>
      </c>
      <c r="AE41" s="1" t="str">
        <f>"اختتام"</f>
        <v>اختتام</v>
      </c>
      <c r="AF41" s="1" t="str">
        <f>""</f>
        <v/>
      </c>
      <c r="AG41" s="1" t="str">
        <f>""</f>
        <v/>
      </c>
      <c r="AH41" s="1" t="str">
        <f>""</f>
        <v/>
      </c>
      <c r="AI41" s="1" t="str">
        <f>""</f>
        <v/>
      </c>
      <c r="AJ41" s="1" t="str">
        <f>""</f>
        <v/>
      </c>
      <c r="AK41" s="1" t="str">
        <f>""</f>
        <v/>
      </c>
    </row>
    <row r="42" spans="1:37">
      <c r="A42" s="1">
        <v>131012</v>
      </c>
      <c r="B42" s="1">
        <v>962000159</v>
      </c>
      <c r="C42" s="1" t="str">
        <f>"تخليه -خراسان رضوي شهرستان بجستان كارخانه آسفالت شهرداري بجستان"</f>
        <v>تخليه -خراسان رضوي شهرستان بجستان كارخانه آسفالت شهرداري بجستان</v>
      </c>
      <c r="D42" s="1">
        <v>9113</v>
      </c>
      <c r="E42" s="1">
        <v>131012</v>
      </c>
      <c r="F42" s="1">
        <v>96</v>
      </c>
      <c r="G42" s="1">
        <v>0</v>
      </c>
      <c r="H42" s="1" t="str">
        <f>"96/07/03"</f>
        <v>96/07/03</v>
      </c>
      <c r="I42" s="1" t="str">
        <f>"كيلوگرم"</f>
        <v>كيلوگرم</v>
      </c>
      <c r="J42" s="1" t="str">
        <f>"0000000076"</f>
        <v>0000000076</v>
      </c>
      <c r="K42" s="1" t="str">
        <f>"قير 60/70 - فله"</f>
        <v>قير 60/70 - فله</v>
      </c>
      <c r="L42" s="1">
        <v>100</v>
      </c>
      <c r="M42" s="1" t="str">
        <f>"مخازن قير اصفهان"</f>
        <v>مخازن قير اصفهان</v>
      </c>
      <c r="N42" s="1">
        <v>4093</v>
      </c>
      <c r="O42" s="1">
        <v>50036363</v>
      </c>
      <c r="P42" s="1" t="str">
        <f>"  شهرداري بجستان"</f>
        <v xml:space="preserve">  شهرداري بجستان</v>
      </c>
      <c r="Q42" s="1">
        <v>20</v>
      </c>
      <c r="R42" s="1" t="str">
        <f>"فروش داخلي - سازمان شهرداري ها و دهياري هاي كشور"</f>
        <v>فروش داخلي - سازمان شهرداري ها و دهياري هاي كشور</v>
      </c>
      <c r="S42" s="1" t="str">
        <f>"قرارداد فروش"</f>
        <v>قرارداد فروش</v>
      </c>
      <c r="T42" s="1" t="str">
        <f>"ندارد"</f>
        <v>ندارد</v>
      </c>
      <c r="U42" s="1" t="str">
        <f>"تعاوني جم گستر (1001 ج 89)"</f>
        <v>تعاوني جم گستر (1001 ج 89)</v>
      </c>
      <c r="V42" s="1">
        <v>962000159</v>
      </c>
      <c r="W42" s="1">
        <v>962000159</v>
      </c>
      <c r="X42" s="1" t="str">
        <f>"1396514467"</f>
        <v>1396514467</v>
      </c>
      <c r="Y42" s="1" t="str">
        <f>"96/07/03"</f>
        <v>96/07/03</v>
      </c>
      <c r="Z42" s="1" t="str">
        <f>"26887مرحله اول"</f>
        <v>26887مرحله اول</v>
      </c>
      <c r="AA42" s="1" t="str">
        <f>"شهرداريها"</f>
        <v>شهرداريها</v>
      </c>
      <c r="AB42" s="1" t="str">
        <f>"96/06/29"</f>
        <v>96/06/29</v>
      </c>
      <c r="AC42" s="1" t="str">
        <f>"خراسان رضوي"</f>
        <v>خراسان رضوي</v>
      </c>
      <c r="AD42" s="1" t="str">
        <f>"96/07/03"</f>
        <v>96/07/03</v>
      </c>
      <c r="AE42" s="1" t="str">
        <f>"اختتام"</f>
        <v>اختتام</v>
      </c>
      <c r="AF42" s="1" t="str">
        <f>""</f>
        <v/>
      </c>
      <c r="AG42" s="1" t="str">
        <f>""</f>
        <v/>
      </c>
      <c r="AH42" s="1" t="str">
        <f>""</f>
        <v/>
      </c>
      <c r="AI42" s="1" t="str">
        <f>""</f>
        <v/>
      </c>
      <c r="AJ42" s="1" t="str">
        <f>""</f>
        <v/>
      </c>
      <c r="AK42" s="1" t="str">
        <f>""</f>
        <v/>
      </c>
    </row>
    <row r="43" spans="1:37">
      <c r="A43" s="1">
        <v>68318</v>
      </c>
      <c r="B43" s="1">
        <v>962000268</v>
      </c>
      <c r="C43" s="1" t="str">
        <f>"تخليه خراسان جنوبي كارخانه آسفالت شركت پيوندسازان بجنوردكيلومتر6جاده خضري قاين"</f>
        <v>تخليه خراسان جنوبي كارخانه آسفالت شركت پيوندسازان بجنوردكيلومتر6جاده خضري قاين</v>
      </c>
      <c r="D43" s="1">
        <v>9113</v>
      </c>
      <c r="E43" s="1">
        <v>67624</v>
      </c>
      <c r="F43" s="1">
        <v>96</v>
      </c>
      <c r="G43" s="1">
        <v>694</v>
      </c>
      <c r="H43" s="1" t="str">
        <f>"96/09/08"</f>
        <v>96/09/08</v>
      </c>
      <c r="I43" s="1" t="str">
        <f>"كيلوگرم"</f>
        <v>كيلوگرم</v>
      </c>
      <c r="J43" s="1" t="str">
        <f>"0000000076"</f>
        <v>0000000076</v>
      </c>
      <c r="K43" s="1" t="str">
        <f>"قير 60/70 - فله"</f>
        <v>قير 60/70 - فله</v>
      </c>
      <c r="L43" s="1">
        <v>100</v>
      </c>
      <c r="M43" s="1" t="str">
        <f>"مخازن قير اصفهان"</f>
        <v>مخازن قير اصفهان</v>
      </c>
      <c r="N43" s="1">
        <v>4098</v>
      </c>
      <c r="O43" s="1">
        <v>50037397</v>
      </c>
      <c r="P43" s="1" t="str">
        <f>"  شهرداري خضري دشت بياض"</f>
        <v xml:space="preserve">  شهرداري خضري دشت بياض</v>
      </c>
      <c r="Q43" s="1">
        <v>20</v>
      </c>
      <c r="R43" s="1" t="str">
        <f>"فروش داخلي - سازمان شهرداري ها و دهياري هاي كشور"</f>
        <v>فروش داخلي - سازمان شهرداري ها و دهياري هاي كشور</v>
      </c>
      <c r="S43" s="1" t="str">
        <f>"قرارداد فروش"</f>
        <v>قرارداد فروش</v>
      </c>
      <c r="T43" s="1" t="str">
        <f>"ندارد"</f>
        <v>ندارد</v>
      </c>
      <c r="U43" s="1" t="str">
        <f>"تعاوني جم گستر (1001 ج 89)"</f>
        <v>تعاوني جم گستر (1001 ج 89)</v>
      </c>
      <c r="V43" s="1">
        <v>962000268</v>
      </c>
      <c r="W43" s="1">
        <v>962000268</v>
      </c>
      <c r="X43" s="1" t="str">
        <f>"1396514467"</f>
        <v>1396514467</v>
      </c>
      <c r="Y43" s="1" t="str">
        <f>"96/09/08"</f>
        <v>96/09/08</v>
      </c>
      <c r="Z43" s="1" t="str">
        <f>"37087مرحله دوم"</f>
        <v>37087مرحله دوم</v>
      </c>
      <c r="AA43" s="1" t="str">
        <f>"شهرداريها"</f>
        <v>شهرداريها</v>
      </c>
      <c r="AB43" s="1" t="str">
        <f>"96/09/04"</f>
        <v>96/09/04</v>
      </c>
      <c r="AC43" s="1" t="str">
        <f>"خراسان جنوبي"</f>
        <v>خراسان جنوبي</v>
      </c>
      <c r="AD43" s="1" t="str">
        <f>"96/07/03"</f>
        <v>96/07/03</v>
      </c>
      <c r="AE43" s="1" t="str">
        <f>"اختتام"</f>
        <v>اختتام</v>
      </c>
      <c r="AF43" s="1" t="str">
        <f>""</f>
        <v/>
      </c>
      <c r="AG43" s="1" t="str">
        <f>""</f>
        <v/>
      </c>
      <c r="AH43" s="1" t="str">
        <f>""</f>
        <v/>
      </c>
      <c r="AI43" s="1" t="str">
        <f>""</f>
        <v/>
      </c>
      <c r="AJ43" s="1" t="str">
        <f>""</f>
        <v/>
      </c>
      <c r="AK43" s="1" t="str">
        <f>""</f>
        <v/>
      </c>
    </row>
    <row r="44" spans="1:37">
      <c r="A44" s="1">
        <v>91000</v>
      </c>
      <c r="B44" s="1">
        <v>966200508</v>
      </c>
      <c r="C44" s="1" t="str">
        <f>"تخليه -گلستان -گرگان -کيلومتر9جاده آق قلا-روبروي قربان آباد"</f>
        <v>تخليه -گلستان -گرگان -کيلومتر9جاده آق قلا-روبروي قربان آباد</v>
      </c>
      <c r="D44" s="1">
        <v>12850</v>
      </c>
      <c r="E44" s="1">
        <v>90480</v>
      </c>
      <c r="F44" s="1">
        <v>96</v>
      </c>
      <c r="G44" s="1">
        <v>520</v>
      </c>
      <c r="H44" s="1" t="str">
        <f>"96/10/17"</f>
        <v>96/10/17</v>
      </c>
      <c r="I44" s="1" t="str">
        <f>"كيلوگرم"</f>
        <v>كيلوگرم</v>
      </c>
      <c r="J44" s="1" t="str">
        <f>"0000000076"</f>
        <v>0000000076</v>
      </c>
      <c r="K44" s="1" t="str">
        <f>"قير 60/70 - فله"</f>
        <v>قير 60/70 - فله</v>
      </c>
      <c r="L44" s="1">
        <v>100</v>
      </c>
      <c r="M44" s="1" t="str">
        <f>"مخازن قير اصفهان"</f>
        <v>مخازن قير اصفهان</v>
      </c>
      <c r="N44" s="1">
        <v>4106</v>
      </c>
      <c r="O44" s="1">
        <v>50038069</v>
      </c>
      <c r="P44" s="1" t="str">
        <f>"  سپيد راه كيان"</f>
        <v xml:space="preserve">  سپيد راه كيان</v>
      </c>
      <c r="Q44" s="1">
        <v>62</v>
      </c>
      <c r="R44" s="1" t="str">
        <f>"فروش داخلي - سازمان بنيادمسكن انقلاب اسلامي"</f>
        <v>فروش داخلي - سازمان بنيادمسكن انقلاب اسلامي</v>
      </c>
      <c r="S44" s="1" t="str">
        <f>"قرارداد فروش"</f>
        <v>قرارداد فروش</v>
      </c>
      <c r="T44" s="1" t="str">
        <f>"ندارد"</f>
        <v>ندارد</v>
      </c>
      <c r="U44" s="1" t="str">
        <f>"شيشه بر كريم(1841016)"</f>
        <v>شيشه بر كريم(1841016)</v>
      </c>
      <c r="V44" s="1">
        <v>966200508</v>
      </c>
      <c r="W44" s="1">
        <v>966200508</v>
      </c>
      <c r="X44" s="1" t="str">
        <f>"1396538183"</f>
        <v>1396538183</v>
      </c>
      <c r="Y44" s="1" t="str">
        <f>"96/10/17"</f>
        <v>96/10/17</v>
      </c>
      <c r="Z44" s="1" t="str">
        <f>"45926/د"</f>
        <v>45926/د</v>
      </c>
      <c r="AA44" s="1" t="str">
        <f>"بنيادمسكن انقلاب اسلامي"</f>
        <v>بنيادمسكن انقلاب اسلامي</v>
      </c>
      <c r="AB44" s="1" t="str">
        <f>"96/10/16"</f>
        <v>96/10/16</v>
      </c>
      <c r="AC44" s="1" t="str">
        <f>"استان گلستان"</f>
        <v>استان گلستان</v>
      </c>
      <c r="AD44" s="1" t="str">
        <f>"96/10/17"</f>
        <v>96/10/17</v>
      </c>
      <c r="AE44" s="1" t="str">
        <f>"اختتام"</f>
        <v>اختتام</v>
      </c>
      <c r="AF44" s="1" t="str">
        <f>""</f>
        <v/>
      </c>
      <c r="AG44" s="1" t="str">
        <f>""</f>
        <v/>
      </c>
      <c r="AH44" s="1" t="str">
        <f>""</f>
        <v/>
      </c>
      <c r="AI44" s="1" t="str">
        <f>""</f>
        <v/>
      </c>
      <c r="AJ44" s="1" t="str">
        <f>""</f>
        <v/>
      </c>
      <c r="AK44" s="1" t="str">
        <f>""</f>
        <v/>
      </c>
    </row>
    <row r="45" spans="1:37">
      <c r="A45" s="1">
        <v>485000</v>
      </c>
      <c r="B45" s="1">
        <v>961100084</v>
      </c>
      <c r="C45" s="1" t="str">
        <f>"تخليه -شهرضا-كارخانه آسفالت شهرداري شهرضا"</f>
        <v>تخليه -شهرضا-كارخانه آسفالت شهرداري شهرضا</v>
      </c>
      <c r="D45" s="1">
        <v>9416</v>
      </c>
      <c r="E45" s="1">
        <v>475400</v>
      </c>
      <c r="F45" s="1">
        <v>96</v>
      </c>
      <c r="G45" s="1">
        <v>9600</v>
      </c>
      <c r="H45" s="1" t="str">
        <f>"96/08/03"</f>
        <v>96/08/03</v>
      </c>
      <c r="I45" s="1" t="str">
        <f>"كيلوگرم"</f>
        <v>كيلوگرم</v>
      </c>
      <c r="J45" s="1" t="str">
        <f>"0000000076"</f>
        <v>0000000076</v>
      </c>
      <c r="K45" s="1" t="str">
        <f>"قير 60/70 - فله"</f>
        <v>قير 60/70 - فله</v>
      </c>
      <c r="L45" s="1">
        <v>100</v>
      </c>
      <c r="M45" s="1" t="str">
        <f>"مخازن قير اصفهان"</f>
        <v>مخازن قير اصفهان</v>
      </c>
      <c r="N45" s="1">
        <v>1701</v>
      </c>
      <c r="O45" s="1">
        <v>50036891</v>
      </c>
      <c r="P45" s="1" t="str">
        <f>"  شهرداري شهرضا"</f>
        <v xml:space="preserve">  شهرداري شهرضا</v>
      </c>
      <c r="Q45" s="1">
        <v>11</v>
      </c>
      <c r="R45" s="1" t="str">
        <f>"فروش داخلي تهران - بورس"</f>
        <v>فروش داخلي تهران - بورس</v>
      </c>
      <c r="S45" s="1" t="str">
        <f>"قرارداد فروش"</f>
        <v>قرارداد فروش</v>
      </c>
      <c r="T45" s="1" t="str">
        <f>"ندارد"</f>
        <v>ندارد</v>
      </c>
      <c r="U45" s="1" t="str">
        <f>"كبيري رحمت اله(1024ج89)"</f>
        <v>كبيري رحمت اله(1024ج89)</v>
      </c>
      <c r="V45" s="1">
        <v>961100084</v>
      </c>
      <c r="W45" s="1">
        <v>961100084</v>
      </c>
      <c r="X45" s="1" t="str">
        <f>"1396521489"</f>
        <v>1396521489</v>
      </c>
      <c r="Y45" s="1" t="str">
        <f>"96/08/03"</f>
        <v>96/08/03</v>
      </c>
      <c r="Z45" s="1" t="str">
        <f>"16807"</f>
        <v>16807</v>
      </c>
      <c r="AA45" s="1" t="str">
        <f>"شهرداريها"</f>
        <v>شهرداريها</v>
      </c>
      <c r="AB45" s="1" t="str">
        <f>"96/07/29"</f>
        <v>96/07/29</v>
      </c>
      <c r="AC45" s="1" t="str">
        <f>"استان اصفهان"</f>
        <v>استان اصفهان</v>
      </c>
      <c r="AD45" s="1" t="str">
        <f>"96/08/03"</f>
        <v>96/08/03</v>
      </c>
      <c r="AE45" s="1" t="str">
        <f>"اختتام"</f>
        <v>اختتام</v>
      </c>
      <c r="AF45" s="1" t="str">
        <f>""</f>
        <v/>
      </c>
      <c r="AG45" s="1" t="str">
        <f>""</f>
        <v/>
      </c>
      <c r="AH45" s="1" t="str">
        <f>""</f>
        <v/>
      </c>
      <c r="AI45" s="1" t="str">
        <f>""</f>
        <v/>
      </c>
      <c r="AJ45" s="1" t="str">
        <f>""</f>
        <v/>
      </c>
      <c r="AK45" s="1" t="str">
        <f>""</f>
        <v/>
      </c>
    </row>
    <row r="46" spans="1:37">
      <c r="A46" s="1">
        <v>136636</v>
      </c>
      <c r="B46" s="1">
        <v>962000134</v>
      </c>
      <c r="C46" s="1" t="str">
        <f>"تخليه خراسان جنوبي كارخانه آسفالت شركت پيوندسازان بجنوردكيلومتر6جاده خضري قاين"</f>
        <v>تخليه خراسان جنوبي كارخانه آسفالت شركت پيوندسازان بجنوردكيلومتر6جاده خضري قاين</v>
      </c>
      <c r="D46" s="1">
        <v>9113</v>
      </c>
      <c r="E46" s="1">
        <v>136636</v>
      </c>
      <c r="F46" s="1">
        <v>96</v>
      </c>
      <c r="G46" s="1">
        <v>0</v>
      </c>
      <c r="H46" s="1" t="str">
        <f>"96/07/03"</f>
        <v>96/07/03</v>
      </c>
      <c r="I46" s="1" t="str">
        <f>"كيلوگرم"</f>
        <v>كيلوگرم</v>
      </c>
      <c r="J46" s="1" t="str">
        <f>"0000000076"</f>
        <v>0000000076</v>
      </c>
      <c r="K46" s="1" t="str">
        <f>"قير 60/70 - فله"</f>
        <v>قير 60/70 - فله</v>
      </c>
      <c r="L46" s="1">
        <v>100</v>
      </c>
      <c r="M46" s="1" t="str">
        <f>"مخازن قير اصفهان"</f>
        <v>مخازن قير اصفهان</v>
      </c>
      <c r="N46" s="1">
        <v>4098</v>
      </c>
      <c r="O46" s="1">
        <v>50036321</v>
      </c>
      <c r="P46" s="1" t="str">
        <f>"  شهرداري خضري دشت بياض"</f>
        <v xml:space="preserve">  شهرداري خضري دشت بياض</v>
      </c>
      <c r="Q46" s="1">
        <v>20</v>
      </c>
      <c r="R46" s="1" t="str">
        <f>"فروش داخلي - سازمان شهرداري ها و دهياري هاي كشور"</f>
        <v>فروش داخلي - سازمان شهرداري ها و دهياري هاي كشور</v>
      </c>
      <c r="S46" s="1" t="str">
        <f>"قرارداد فروش"</f>
        <v>قرارداد فروش</v>
      </c>
      <c r="T46" s="1" t="str">
        <f>"ندارد"</f>
        <v>ندارد</v>
      </c>
      <c r="U46" s="1" t="str">
        <f>"تعاوني جم گستر (1001 ج 89)"</f>
        <v>تعاوني جم گستر (1001 ج 89)</v>
      </c>
      <c r="V46" s="1">
        <v>962000134</v>
      </c>
      <c r="W46" s="1">
        <v>962000134</v>
      </c>
      <c r="X46" s="1" t="str">
        <f>"1396514467"</f>
        <v>1396514467</v>
      </c>
      <c r="Y46" s="1" t="str">
        <f>"96/07/03"</f>
        <v>96/07/03</v>
      </c>
      <c r="Z46" s="1" t="str">
        <f>"26732مرحله اول"</f>
        <v>26732مرحله اول</v>
      </c>
      <c r="AA46" s="1" t="str">
        <f>"شهرداريها"</f>
        <v>شهرداريها</v>
      </c>
      <c r="AB46" s="1" t="str">
        <f>"96/06/29"</f>
        <v>96/06/29</v>
      </c>
      <c r="AC46" s="1" t="str">
        <f>"خراسان جنوبي"</f>
        <v>خراسان جنوبي</v>
      </c>
      <c r="AD46" s="1" t="str">
        <f>"96/07/03"</f>
        <v>96/07/03</v>
      </c>
      <c r="AE46" s="1" t="str">
        <f>"اختتام"</f>
        <v>اختتام</v>
      </c>
      <c r="AF46" s="1" t="str">
        <f>""</f>
        <v/>
      </c>
      <c r="AG46" s="1" t="str">
        <f>""</f>
        <v/>
      </c>
      <c r="AH46" s="1" t="str">
        <f>""</f>
        <v/>
      </c>
      <c r="AI46" s="1" t="str">
        <f>""</f>
        <v/>
      </c>
      <c r="AJ46" s="1" t="str">
        <f>""</f>
        <v/>
      </c>
      <c r="AK46" s="1" t="str">
        <f>""</f>
        <v/>
      </c>
    </row>
    <row r="47" spans="1:37">
      <c r="A47" s="1">
        <v>124283</v>
      </c>
      <c r="B47" s="1">
        <v>962000108</v>
      </c>
      <c r="C47" s="1" t="str">
        <f>"تخليه بوشهرجم روستاي تنگستان كارخانه آسفالت خاتم الانبياء"</f>
        <v>تخليه بوشهرجم روستاي تنگستان كارخانه آسفالت خاتم الانبياء</v>
      </c>
      <c r="D47" s="1">
        <v>9113</v>
      </c>
      <c r="E47" s="1">
        <v>124283</v>
      </c>
      <c r="F47" s="1">
        <v>96</v>
      </c>
      <c r="G47" s="1">
        <v>0</v>
      </c>
      <c r="H47" s="1" t="str">
        <f>"96/07/03"</f>
        <v>96/07/03</v>
      </c>
      <c r="I47" s="1" t="str">
        <f>"كيلوگرم"</f>
        <v>كيلوگرم</v>
      </c>
      <c r="J47" s="1" t="str">
        <f>"0000000076"</f>
        <v>0000000076</v>
      </c>
      <c r="K47" s="1" t="str">
        <f>"قير 60/70 - فله"</f>
        <v>قير 60/70 - فله</v>
      </c>
      <c r="L47" s="1">
        <v>100</v>
      </c>
      <c r="M47" s="1" t="str">
        <f>"مخازن قير اصفهان"</f>
        <v>مخازن قير اصفهان</v>
      </c>
      <c r="N47" s="1">
        <v>4187</v>
      </c>
      <c r="O47" s="1">
        <v>50036266</v>
      </c>
      <c r="P47" s="1" t="str">
        <f>"  شهرداري جم"</f>
        <v xml:space="preserve">  شهرداري جم</v>
      </c>
      <c r="Q47" s="1">
        <v>20</v>
      </c>
      <c r="R47" s="1" t="str">
        <f>"فروش داخلي - سازمان شهرداري ها و دهياري هاي كشور"</f>
        <v>فروش داخلي - سازمان شهرداري ها و دهياري هاي كشور</v>
      </c>
      <c r="S47" s="1" t="str">
        <f>"قرارداد فروش"</f>
        <v>قرارداد فروش</v>
      </c>
      <c r="T47" s="1" t="str">
        <f>"ندارد"</f>
        <v>ندارد</v>
      </c>
      <c r="U47" s="1" t="str">
        <f>"تعاوني جم گستر (1001 ج 89)"</f>
        <v>تعاوني جم گستر (1001 ج 89)</v>
      </c>
      <c r="V47" s="1">
        <v>962000108</v>
      </c>
      <c r="W47" s="1">
        <v>962000108</v>
      </c>
      <c r="X47" s="1" t="str">
        <f>"1396514467"</f>
        <v>1396514467</v>
      </c>
      <c r="Y47" s="1" t="str">
        <f>"96/07/03"</f>
        <v>96/07/03</v>
      </c>
      <c r="Z47" s="1" t="str">
        <f>"26869مرحله اول"</f>
        <v>26869مرحله اول</v>
      </c>
      <c r="AA47" s="1" t="str">
        <f>"شهرداريها"</f>
        <v>شهرداريها</v>
      </c>
      <c r="AB47" s="1" t="str">
        <f>"96/06/29"</f>
        <v>96/06/29</v>
      </c>
      <c r="AC47" s="1" t="str">
        <f>"بوشهر"</f>
        <v>بوشهر</v>
      </c>
      <c r="AD47" s="1" t="str">
        <f>"96/07/03"</f>
        <v>96/07/03</v>
      </c>
      <c r="AE47" s="1" t="str">
        <f>"تاييدشده"</f>
        <v>تاييدشده</v>
      </c>
      <c r="AF47" s="1" t="str">
        <f>""</f>
        <v/>
      </c>
      <c r="AG47" s="1" t="str">
        <f>""</f>
        <v/>
      </c>
      <c r="AH47" s="1" t="str">
        <f>""</f>
        <v/>
      </c>
      <c r="AI47" s="1" t="str">
        <f>""</f>
        <v/>
      </c>
      <c r="AJ47" s="1" t="str">
        <f>""</f>
        <v/>
      </c>
      <c r="AK47" s="1" t="str">
        <f>""</f>
        <v/>
      </c>
    </row>
    <row r="48" spans="1:37">
      <c r="A48" s="1">
        <v>500000</v>
      </c>
      <c r="B48" s="1">
        <v>961100130</v>
      </c>
      <c r="C48" s="1" t="str">
        <f>"تخليه -اصفهان -گردنه زينل -كارخانه آسفالت سازمان عمران شهرداري اصفهان"</f>
        <v>تخليه -اصفهان -گردنه زينل -كارخانه آسفالت سازمان عمران شهرداري اصفهان</v>
      </c>
      <c r="D48" s="1">
        <v>13350</v>
      </c>
      <c r="E48" s="1">
        <v>499140</v>
      </c>
      <c r="F48" s="1">
        <v>96</v>
      </c>
      <c r="G48" s="1">
        <v>860</v>
      </c>
      <c r="H48" s="1" t="str">
        <f>"96/12/19"</f>
        <v>96/12/19</v>
      </c>
      <c r="I48" s="1" t="str">
        <f>"كيلوگرم"</f>
        <v>كيلوگرم</v>
      </c>
      <c r="J48" s="1" t="str">
        <f>"0000000076"</f>
        <v>0000000076</v>
      </c>
      <c r="K48" s="1" t="str">
        <f>"قير 60/70 - فله"</f>
        <v>قير 60/70 - فله</v>
      </c>
      <c r="L48" s="1">
        <v>100</v>
      </c>
      <c r="M48" s="1" t="str">
        <f>"مخازن قير اصفهان"</f>
        <v>مخازن قير اصفهان</v>
      </c>
      <c r="N48" s="1">
        <v>7029</v>
      </c>
      <c r="O48" s="1">
        <v>50038843</v>
      </c>
      <c r="P48" s="1" t="str">
        <f>"  سازمان عمران شهرداري اصفهان(00104)"</f>
        <v xml:space="preserve">  سازمان عمران شهرداري اصفهان(00104)</v>
      </c>
      <c r="Q48" s="1">
        <v>11</v>
      </c>
      <c r="R48" s="1" t="str">
        <f>"فروش داخلي تهران - بورس"</f>
        <v>فروش داخلي تهران - بورس</v>
      </c>
      <c r="S48" s="1" t="str">
        <f>"قرارداد فروش"</f>
        <v>قرارداد فروش</v>
      </c>
      <c r="T48" s="1" t="str">
        <f>"ندارد"</f>
        <v>ندارد</v>
      </c>
      <c r="U48" s="1" t="str">
        <f>"ريسماني حسن(1007ج89)"</f>
        <v>ريسماني حسن(1007ج89)</v>
      </c>
      <c r="V48" s="1">
        <v>961100130</v>
      </c>
      <c r="W48" s="1">
        <v>961100130</v>
      </c>
      <c r="X48" s="1" t="str">
        <f>"1396553445"</f>
        <v>1396553445</v>
      </c>
      <c r="Y48" s="1" t="str">
        <f>"96/12/16"</f>
        <v>96/12/16</v>
      </c>
      <c r="Z48" s="1" t="str">
        <f>"ت/96/127"</f>
        <v>ت/96/127</v>
      </c>
      <c r="AA48" s="1" t="str">
        <f>"شهرداريها"</f>
        <v>شهرداريها</v>
      </c>
      <c r="AB48" s="1" t="str">
        <f>"96/12/15"</f>
        <v>96/12/15</v>
      </c>
      <c r="AC48" s="1" t="str">
        <f>"استان اصفهان"</f>
        <v>استان اصفهان</v>
      </c>
      <c r="AD48" s="1" t="str">
        <f>"96/12/16"</f>
        <v>96/12/16</v>
      </c>
      <c r="AE48" s="1" t="str">
        <f>"اختتام"</f>
        <v>اختتام</v>
      </c>
      <c r="AF48" s="1" t="str">
        <f>""</f>
        <v/>
      </c>
      <c r="AG48" s="1" t="str">
        <f>""</f>
        <v/>
      </c>
      <c r="AH48" s="1" t="str">
        <f>""</f>
        <v/>
      </c>
      <c r="AI48" s="1" t="str">
        <f>""</f>
        <v/>
      </c>
      <c r="AJ48" s="1" t="str">
        <f>""</f>
        <v/>
      </c>
      <c r="AK48" s="1" t="str">
        <f>""</f>
        <v/>
      </c>
    </row>
    <row r="49" spans="1:37">
      <c r="A49" s="1">
        <v>55000</v>
      </c>
      <c r="B49" s="1">
        <v>966200412</v>
      </c>
      <c r="C49" s="1" t="str">
        <f>"تخليه-جاده اصفهان-تهران-نرسيده به شهر وزوان-سمت راست-کارخانه آسفالت محمدرضا مزروعي"</f>
        <v>تخليه-جاده اصفهان-تهران-نرسيده به شهر وزوان-سمت راست-کارخانه آسفالت محمدرضا مزروعي</v>
      </c>
      <c r="D49" s="1">
        <v>12820</v>
      </c>
      <c r="E49" s="1">
        <v>54740</v>
      </c>
      <c r="F49" s="1">
        <v>96</v>
      </c>
      <c r="G49" s="1">
        <v>260</v>
      </c>
      <c r="H49" s="1" t="str">
        <f>"96/09/12"</f>
        <v>96/09/12</v>
      </c>
      <c r="I49" s="1" t="str">
        <f>"كيلوگرم"</f>
        <v>كيلوگرم</v>
      </c>
      <c r="J49" s="1" t="str">
        <f>"0000000076"</f>
        <v>0000000076</v>
      </c>
      <c r="K49" s="1" t="str">
        <f>"قير 60/70 - فله"</f>
        <v>قير 60/70 - فله</v>
      </c>
      <c r="L49" s="1">
        <v>100</v>
      </c>
      <c r="M49" s="1" t="str">
        <f>"مخازن قير اصفهان"</f>
        <v>مخازن قير اصفهان</v>
      </c>
      <c r="N49" s="1">
        <v>7002</v>
      </c>
      <c r="O49" s="1">
        <v>50037422</v>
      </c>
      <c r="P49" s="1" t="str">
        <f>"  راه و ساختمان خاكپي"</f>
        <v xml:space="preserve">  راه و ساختمان خاكپي</v>
      </c>
      <c r="Q49" s="1">
        <v>62</v>
      </c>
      <c r="R49" s="1" t="str">
        <f>"فروش داخلي - سازمان بنيادمسكن انقلاب اسلامي"</f>
        <v>فروش داخلي - سازمان بنيادمسكن انقلاب اسلامي</v>
      </c>
      <c r="S49" s="1" t="str">
        <f>"قرارداد فروش"</f>
        <v>قرارداد فروش</v>
      </c>
      <c r="T49" s="1" t="str">
        <f>"ندارد"</f>
        <v>ندارد</v>
      </c>
      <c r="U49" s="1" t="str">
        <f>"ريسماني حسن(1007ج89)"</f>
        <v>ريسماني حسن(1007ج89)</v>
      </c>
      <c r="V49" s="1">
        <v>966200412</v>
      </c>
      <c r="W49" s="1">
        <v>966200412</v>
      </c>
      <c r="X49" s="1" t="str">
        <f>"1396529573"</f>
        <v>1396529573</v>
      </c>
      <c r="Y49" s="1" t="str">
        <f>"96/09/12"</f>
        <v>96/09/12</v>
      </c>
      <c r="Z49" s="1" t="str">
        <f>"40057/د"</f>
        <v>40057/د</v>
      </c>
      <c r="AA49" s="1" t="str">
        <f>"بنيادمسكن انقلاب اسلامي"</f>
        <v>بنيادمسكن انقلاب اسلامي</v>
      </c>
      <c r="AB49" s="1" t="str">
        <f>"96/09/11"</f>
        <v>96/09/11</v>
      </c>
      <c r="AC49" s="1" t="str">
        <f>"استان اصفهان"</f>
        <v>استان اصفهان</v>
      </c>
      <c r="AD49" s="1" t="str">
        <f>"96/09/12"</f>
        <v>96/09/12</v>
      </c>
      <c r="AE49" s="1" t="str">
        <f>"اختتام"</f>
        <v>اختتام</v>
      </c>
      <c r="AF49" s="1" t="str">
        <f>""</f>
        <v/>
      </c>
      <c r="AG49" s="1" t="str">
        <f>""</f>
        <v/>
      </c>
      <c r="AH49" s="1" t="str">
        <f>""</f>
        <v/>
      </c>
      <c r="AI49" s="1" t="str">
        <f>""</f>
        <v/>
      </c>
      <c r="AJ49" s="1" t="str">
        <f>""</f>
        <v/>
      </c>
      <c r="AK49" s="1" t="str">
        <f>""</f>
        <v/>
      </c>
    </row>
    <row r="50" spans="1:37">
      <c r="A50" s="1">
        <v>134377</v>
      </c>
      <c r="B50" s="1">
        <v>962000127</v>
      </c>
      <c r="C50" s="1" t="str">
        <f>"تخليه خراسان جنوبي شهرستان درميان شهراسديه كارخانه آسفالت شهرداري"</f>
        <v>تخليه خراسان جنوبي شهرستان درميان شهراسديه كارخانه آسفالت شهرداري</v>
      </c>
      <c r="D50" s="1">
        <v>9113</v>
      </c>
      <c r="E50" s="1">
        <v>134377</v>
      </c>
      <c r="F50" s="1">
        <v>96</v>
      </c>
      <c r="G50" s="1">
        <v>0</v>
      </c>
      <c r="H50" s="1" t="str">
        <f>"96/07/03"</f>
        <v>96/07/03</v>
      </c>
      <c r="I50" s="1" t="str">
        <f>"كيلوگرم"</f>
        <v>كيلوگرم</v>
      </c>
      <c r="J50" s="1" t="str">
        <f>"0000000076"</f>
        <v>0000000076</v>
      </c>
      <c r="K50" s="1" t="str">
        <f>"قير 60/70 - فله"</f>
        <v>قير 60/70 - فله</v>
      </c>
      <c r="L50" s="1">
        <v>100</v>
      </c>
      <c r="M50" s="1" t="str">
        <f>"مخازن قير اصفهان"</f>
        <v>مخازن قير اصفهان</v>
      </c>
      <c r="N50" s="1">
        <v>4024</v>
      </c>
      <c r="O50" s="1">
        <v>50036312</v>
      </c>
      <c r="P50" s="1" t="str">
        <f>"  شهرداري اسديه"</f>
        <v xml:space="preserve">  شهرداري اسديه</v>
      </c>
      <c r="Q50" s="1">
        <v>20</v>
      </c>
      <c r="R50" s="1" t="str">
        <f>"فروش داخلي - سازمان شهرداري ها و دهياري هاي كشور"</f>
        <v>فروش داخلي - سازمان شهرداري ها و دهياري هاي كشور</v>
      </c>
      <c r="S50" s="1" t="str">
        <f>"قرارداد فروش"</f>
        <v>قرارداد فروش</v>
      </c>
      <c r="T50" s="1" t="str">
        <f>"ندارد"</f>
        <v>ندارد</v>
      </c>
      <c r="U50" s="1" t="str">
        <f>"تعاوني جم گستر (1001 ج 89)"</f>
        <v>تعاوني جم گستر (1001 ج 89)</v>
      </c>
      <c r="V50" s="1">
        <v>962000127</v>
      </c>
      <c r="W50" s="1">
        <v>962000127</v>
      </c>
      <c r="X50" s="1" t="str">
        <f>"1396514467"</f>
        <v>1396514467</v>
      </c>
      <c r="Y50" s="1" t="str">
        <f>"96/07/03"</f>
        <v>96/07/03</v>
      </c>
      <c r="Z50" s="1" t="str">
        <f>"26738مرحله اول"</f>
        <v>26738مرحله اول</v>
      </c>
      <c r="AA50" s="1" t="str">
        <f>"شهرداريها"</f>
        <v>شهرداريها</v>
      </c>
      <c r="AB50" s="1" t="str">
        <f>"96/06/29"</f>
        <v>96/06/29</v>
      </c>
      <c r="AC50" s="1" t="str">
        <f>"خراسان جنوبي"</f>
        <v>خراسان جنوبي</v>
      </c>
      <c r="AD50" s="1" t="str">
        <f>"96/07/03"</f>
        <v>96/07/03</v>
      </c>
      <c r="AE50" s="1" t="str">
        <f>"اختتام"</f>
        <v>اختتام</v>
      </c>
      <c r="AF50" s="1" t="str">
        <f>""</f>
        <v/>
      </c>
      <c r="AG50" s="1" t="str">
        <f>""</f>
        <v/>
      </c>
      <c r="AH50" s="1" t="str">
        <f>""</f>
        <v/>
      </c>
      <c r="AI50" s="1" t="str">
        <f>""</f>
        <v/>
      </c>
      <c r="AJ50" s="1" t="str">
        <f>""</f>
        <v/>
      </c>
      <c r="AK50" s="1" t="str">
        <f>""</f>
        <v/>
      </c>
    </row>
    <row r="51" spans="1:37">
      <c r="A51" s="1">
        <v>126000</v>
      </c>
      <c r="B51" s="1">
        <v>966300008</v>
      </c>
      <c r="C51" s="1" t="str">
        <f>"تخليه -اصفهان خميني شهر- منطقه صنعتي دوشاخ-شرکت برقسا"</f>
        <v>تخليه -اصفهان خميني شهر- منطقه صنعتي دوشاخ-شرکت برقسا</v>
      </c>
      <c r="D51" s="1">
        <v>9416</v>
      </c>
      <c r="E51" s="1">
        <v>126000</v>
      </c>
      <c r="F51" s="1">
        <v>96</v>
      </c>
      <c r="G51" s="1">
        <v>0</v>
      </c>
      <c r="H51" s="1" t="str">
        <f>"96/08/10"</f>
        <v>96/08/10</v>
      </c>
      <c r="I51" s="1" t="str">
        <f>"كيلوگرم"</f>
        <v>كيلوگرم</v>
      </c>
      <c r="J51" s="1" t="str">
        <f>"0000000076"</f>
        <v>0000000076</v>
      </c>
      <c r="K51" s="1" t="str">
        <f>"قير 60/70 - فله"</f>
        <v>قير 60/70 - فله</v>
      </c>
      <c r="L51" s="1">
        <v>100</v>
      </c>
      <c r="M51" s="1" t="str">
        <f>"مخازن قير اصفهان"</f>
        <v>مخازن قير اصفهان</v>
      </c>
      <c r="N51" s="1">
        <v>7027</v>
      </c>
      <c r="O51" s="1">
        <v>50036993</v>
      </c>
      <c r="P51" s="1" t="str">
        <f>"  برقسا"</f>
        <v xml:space="preserve">  برقسا</v>
      </c>
      <c r="Q51" s="1">
        <v>63</v>
      </c>
      <c r="R51" s="1" t="str">
        <f>"سازمان نوسازي،توسعه و تجهيز مدارس كشور"</f>
        <v>سازمان نوسازي،توسعه و تجهيز مدارس كشور</v>
      </c>
      <c r="S51" s="1" t="str">
        <f>"قرارداد فروش"</f>
        <v>قرارداد فروش</v>
      </c>
      <c r="T51" s="1" t="str">
        <f>"ندارد"</f>
        <v>ندارد</v>
      </c>
      <c r="U51" s="1" t="str">
        <f>"عزيزي صفر(1006ج 89)"</f>
        <v>عزيزي صفر(1006ج 89)</v>
      </c>
      <c r="V51" s="1">
        <v>966300008</v>
      </c>
      <c r="W51" s="1">
        <v>966300008</v>
      </c>
      <c r="X51" s="1" t="str">
        <f>"1396523297"</f>
        <v>1396523297</v>
      </c>
      <c r="Y51" s="1" t="str">
        <f>"96/08/10"</f>
        <v>96/08/10</v>
      </c>
      <c r="Z51" s="1" t="str">
        <f>"3-96/422-20865"</f>
        <v>3-96/422-20865</v>
      </c>
      <c r="AA51" s="1" t="str">
        <f>"سازمان نوسازي توسعه وتجهيزمدارس كشور"</f>
        <v>سازمان نوسازي توسعه وتجهيزمدارس كشور</v>
      </c>
      <c r="AB51" s="1" t="str">
        <f>"96/08/08"</f>
        <v>96/08/08</v>
      </c>
      <c r="AC51" s="1" t="str">
        <f>"استان اصفهان"</f>
        <v>استان اصفهان</v>
      </c>
      <c r="AD51" s="1" t="str">
        <f>"96/08/10"</f>
        <v>96/08/10</v>
      </c>
      <c r="AE51" s="1" t="str">
        <f>"اختتام"</f>
        <v>اختتام</v>
      </c>
      <c r="AF51" s="1" t="str">
        <f>""</f>
        <v/>
      </c>
      <c r="AG51" s="1" t="str">
        <f>""</f>
        <v/>
      </c>
      <c r="AH51" s="1" t="str">
        <f>""</f>
        <v/>
      </c>
      <c r="AI51" s="1" t="str">
        <f>""</f>
        <v/>
      </c>
      <c r="AJ51" s="1" t="str">
        <f>""</f>
        <v/>
      </c>
      <c r="AK51" s="1" t="str">
        <f>""</f>
        <v/>
      </c>
    </row>
    <row r="52" spans="1:37">
      <c r="A52" s="1">
        <v>77000</v>
      </c>
      <c r="B52" s="1">
        <v>966300014</v>
      </c>
      <c r="C52" s="1" t="str">
        <f>"تخليه -اصفهان شهرك صنعتي مورچه خورت فاز 3 انتهاي خيابان پنجم"</f>
        <v>تخليه -اصفهان شهرك صنعتي مورچه خورت فاز 3 انتهاي خيابان پنجم</v>
      </c>
      <c r="D52" s="1">
        <v>9416</v>
      </c>
      <c r="E52" s="1">
        <v>77000</v>
      </c>
      <c r="F52" s="1">
        <v>96</v>
      </c>
      <c r="G52" s="1">
        <v>0</v>
      </c>
      <c r="H52" s="1" t="str">
        <f>"96/08/14"</f>
        <v>96/08/14</v>
      </c>
      <c r="I52" s="1" t="str">
        <f>"كيلوگرم"</f>
        <v>كيلوگرم</v>
      </c>
      <c r="J52" s="1" t="str">
        <f>"0000000076"</f>
        <v>0000000076</v>
      </c>
      <c r="K52" s="1" t="str">
        <f>"قير 60/70 - فله"</f>
        <v>قير 60/70 - فله</v>
      </c>
      <c r="L52" s="1">
        <v>100</v>
      </c>
      <c r="M52" s="1" t="str">
        <f>"مخازن قير اصفهان"</f>
        <v>مخازن قير اصفهان</v>
      </c>
      <c r="N52" s="1">
        <v>7056</v>
      </c>
      <c r="O52" s="1">
        <v>50037062</v>
      </c>
      <c r="P52" s="1" t="str">
        <f>"  عايق بام سايبان"</f>
        <v xml:space="preserve">  عايق بام سايبان</v>
      </c>
      <c r="Q52" s="1">
        <v>63</v>
      </c>
      <c r="R52" s="1" t="str">
        <f>"سازمان نوسازي،توسعه و تجهيز مدارس كشور"</f>
        <v>سازمان نوسازي،توسعه و تجهيز مدارس كشور</v>
      </c>
      <c r="S52" s="1" t="str">
        <f>"قرارداد فروش"</f>
        <v>قرارداد فروش</v>
      </c>
      <c r="T52" s="1" t="str">
        <f>"ندارد"</f>
        <v>ندارد</v>
      </c>
      <c r="U52" s="1" t="str">
        <f>"اسماعيلي پور امين (1013ج89)"</f>
        <v>اسماعيلي پور امين (1013ج89)</v>
      </c>
      <c r="V52" s="1">
        <v>966300014</v>
      </c>
      <c r="W52" s="1">
        <v>966300014</v>
      </c>
      <c r="X52" s="1" t="str">
        <f>"1396523695"</f>
        <v>1396523695</v>
      </c>
      <c r="Y52" s="1" t="str">
        <f>"96/08/14"</f>
        <v>96/08/14</v>
      </c>
      <c r="Z52" s="1" t="str">
        <f>"3-96/422-21103"</f>
        <v>3-96/422-21103</v>
      </c>
      <c r="AA52" s="1" t="str">
        <f>"سازمان نوسازي توسعه وتجهيزمدارس كشور"</f>
        <v>سازمان نوسازي توسعه وتجهيزمدارس كشور</v>
      </c>
      <c r="AB52" s="1" t="str">
        <f>"96/08/09"</f>
        <v>96/08/09</v>
      </c>
      <c r="AC52" s="1" t="str">
        <f>"استان اصفهان"</f>
        <v>استان اصفهان</v>
      </c>
      <c r="AD52" s="1" t="str">
        <f>"96/08/14"</f>
        <v>96/08/14</v>
      </c>
      <c r="AE52" s="1" t="str">
        <f>"اختتام"</f>
        <v>اختتام</v>
      </c>
      <c r="AF52" s="1" t="str">
        <f>""</f>
        <v/>
      </c>
      <c r="AG52" s="1" t="str">
        <f>""</f>
        <v/>
      </c>
      <c r="AH52" s="1" t="str">
        <f>""</f>
        <v/>
      </c>
      <c r="AI52" s="1" t="str">
        <f>""</f>
        <v/>
      </c>
      <c r="AJ52" s="1" t="str">
        <f>""</f>
        <v/>
      </c>
      <c r="AK52" s="1" t="str">
        <f>""</f>
        <v/>
      </c>
    </row>
    <row r="53" spans="1:37">
      <c r="A53" s="1">
        <v>480000</v>
      </c>
      <c r="B53" s="1">
        <v>961100062</v>
      </c>
      <c r="C53" s="1" t="str">
        <f>"تخليه -شهرضا-كارخانه آسفالت شهرداري شهرضا"</f>
        <v>تخليه -شهرضا-كارخانه آسفالت شهرداري شهرضا</v>
      </c>
      <c r="D53" s="1">
        <v>8954</v>
      </c>
      <c r="E53" s="1">
        <v>478640</v>
      </c>
      <c r="F53" s="1">
        <v>96</v>
      </c>
      <c r="G53" s="1">
        <v>1360</v>
      </c>
      <c r="H53" s="1" t="str">
        <f>"96/06/13"</f>
        <v>96/06/13</v>
      </c>
      <c r="I53" s="1" t="str">
        <f>"كيلوگرم"</f>
        <v>كيلوگرم</v>
      </c>
      <c r="J53" s="1" t="str">
        <f>"0000000076"</f>
        <v>0000000076</v>
      </c>
      <c r="K53" s="1" t="str">
        <f>"قير 60/70 - فله"</f>
        <v>قير 60/70 - فله</v>
      </c>
      <c r="L53" s="1">
        <v>100</v>
      </c>
      <c r="M53" s="1" t="str">
        <f>"مخازن قير اصفهان"</f>
        <v>مخازن قير اصفهان</v>
      </c>
      <c r="N53" s="1">
        <v>1701</v>
      </c>
      <c r="O53" s="1">
        <v>50035900</v>
      </c>
      <c r="P53" s="1" t="str">
        <f>"  شهرداري شهرضا"</f>
        <v xml:space="preserve">  شهرداري شهرضا</v>
      </c>
      <c r="Q53" s="1">
        <v>11</v>
      </c>
      <c r="R53" s="1" t="str">
        <f>"فروش داخلي تهران - بورس"</f>
        <v>فروش داخلي تهران - بورس</v>
      </c>
      <c r="S53" s="1" t="str">
        <f>"قرارداد فروش"</f>
        <v>قرارداد فروش</v>
      </c>
      <c r="T53" s="1" t="str">
        <f>"ندارد"</f>
        <v>ندارد</v>
      </c>
      <c r="U53" s="1" t="str">
        <f>"كبيري رحمت اله(1024ج89)"</f>
        <v>كبيري رحمت اله(1024ج89)</v>
      </c>
      <c r="V53" s="1">
        <v>961100062</v>
      </c>
      <c r="W53" s="1">
        <v>961100062</v>
      </c>
      <c r="X53" s="1" t="str">
        <f>"1396509850"</f>
        <v>1396509850</v>
      </c>
      <c r="Y53" s="1" t="str">
        <f>"96/06/12"</f>
        <v>96/06/12</v>
      </c>
      <c r="Z53" s="1" t="str">
        <f>"13068"</f>
        <v>13068</v>
      </c>
      <c r="AA53" s="1" t="str">
        <f>"شهرداريها"</f>
        <v>شهرداريها</v>
      </c>
      <c r="AB53" s="1" t="str">
        <f>"96/06/08"</f>
        <v>96/06/08</v>
      </c>
      <c r="AC53" s="1" t="str">
        <f>"استان اصفهان"</f>
        <v>استان اصفهان</v>
      </c>
      <c r="AD53" s="1" t="str">
        <f>"96/06/12"</f>
        <v>96/06/12</v>
      </c>
      <c r="AE53" s="1" t="str">
        <f>"اختتام"</f>
        <v>اختتام</v>
      </c>
      <c r="AF53" s="1" t="str">
        <f>""</f>
        <v/>
      </c>
      <c r="AG53" s="1" t="str">
        <f>""</f>
        <v/>
      </c>
      <c r="AH53" s="1" t="str">
        <f>""</f>
        <v/>
      </c>
      <c r="AI53" s="1" t="str">
        <f>""</f>
        <v/>
      </c>
      <c r="AJ53" s="1" t="str">
        <f>""</f>
        <v/>
      </c>
      <c r="AK53" s="1" t="str">
        <f>""</f>
        <v/>
      </c>
    </row>
    <row r="54" spans="1:37">
      <c r="A54" s="1">
        <v>366000</v>
      </c>
      <c r="B54" s="1">
        <v>966200125</v>
      </c>
      <c r="C54" s="1" t="str">
        <f>"تخليه -گلستان -گرگان -کيلومتر9جاده آق قلا-روبروي قربان آباد"</f>
        <v>تخليه -گلستان -گرگان -کيلومتر9جاده آق قلا-روبروي قربان آباد</v>
      </c>
      <c r="D54" s="1">
        <v>8704</v>
      </c>
      <c r="E54" s="1">
        <v>366000</v>
      </c>
      <c r="F54" s="1">
        <v>96</v>
      </c>
      <c r="G54" s="1">
        <v>0</v>
      </c>
      <c r="H54" s="1" t="str">
        <f>"96/04/13"</f>
        <v>96/04/13</v>
      </c>
      <c r="I54" s="1" t="str">
        <f>"كيلوگرم"</f>
        <v>كيلوگرم</v>
      </c>
      <c r="J54" s="1" t="str">
        <f>"0000000076"</f>
        <v>0000000076</v>
      </c>
      <c r="K54" s="1" t="str">
        <f>"قير 60/70 - فله"</f>
        <v>قير 60/70 - فله</v>
      </c>
      <c r="L54" s="1">
        <v>100</v>
      </c>
      <c r="M54" s="1" t="str">
        <f>"مخازن قير اصفهان"</f>
        <v>مخازن قير اصفهان</v>
      </c>
      <c r="N54" s="1">
        <v>4106</v>
      </c>
      <c r="O54" s="1">
        <v>50035093</v>
      </c>
      <c r="P54" s="1" t="str">
        <f>"  سپيد راه كيان"</f>
        <v xml:space="preserve">  سپيد راه كيان</v>
      </c>
      <c r="Q54" s="1">
        <v>62</v>
      </c>
      <c r="R54" s="1" t="str">
        <f>"فروش داخلي - سازمان بنيادمسكن انقلاب اسلامي"</f>
        <v>فروش داخلي - سازمان بنيادمسكن انقلاب اسلامي</v>
      </c>
      <c r="S54" s="1" t="str">
        <f>"قرارداد فروش"</f>
        <v>قرارداد فروش</v>
      </c>
      <c r="T54" s="1" t="str">
        <f>"ندارد"</f>
        <v>ندارد</v>
      </c>
      <c r="U54" s="1" t="str">
        <f>"شيشه بر كريم(1841016)"</f>
        <v>شيشه بر كريم(1841016)</v>
      </c>
      <c r="V54" s="1">
        <v>966200125</v>
      </c>
      <c r="W54" s="1">
        <v>966200125</v>
      </c>
      <c r="X54" s="1" t="str">
        <f>"1396493156"</f>
        <v>1396493156</v>
      </c>
      <c r="Y54" s="1" t="str">
        <f>"96/04/13"</f>
        <v>96/04/13</v>
      </c>
      <c r="Z54" s="1" t="str">
        <f>"14327/د"</f>
        <v>14327/د</v>
      </c>
      <c r="AA54" s="1" t="str">
        <f>"بنيادمسكن انقلاب اسلامي"</f>
        <v>بنيادمسكن انقلاب اسلامي</v>
      </c>
      <c r="AB54" s="1" t="str">
        <f>"96/04/12"</f>
        <v>96/04/12</v>
      </c>
      <c r="AC54" s="1" t="str">
        <f>"استان گلستان"</f>
        <v>استان گلستان</v>
      </c>
      <c r="AD54" s="1" t="str">
        <f>"96/04/13"</f>
        <v>96/04/13</v>
      </c>
      <c r="AE54" s="1" t="str">
        <f>"اختتام"</f>
        <v>اختتام</v>
      </c>
      <c r="AF54" s="1" t="str">
        <f>""</f>
        <v/>
      </c>
      <c r="AG54" s="1" t="str">
        <f>""</f>
        <v/>
      </c>
      <c r="AH54" s="1" t="str">
        <f>""</f>
        <v/>
      </c>
      <c r="AI54" s="1" t="str">
        <f>""</f>
        <v/>
      </c>
      <c r="AJ54" s="1" t="str">
        <f>""</f>
        <v/>
      </c>
      <c r="AK54" s="1" t="str">
        <f>""</f>
        <v/>
      </c>
    </row>
    <row r="55" spans="1:37">
      <c r="A55" s="1">
        <v>24000</v>
      </c>
      <c r="B55" s="1">
        <v>961100098</v>
      </c>
      <c r="C55" s="1" t="str">
        <f>"تخليه -خراسان رضوي شهرداري تربت حيدريه"</f>
        <v>تخليه -خراسان رضوي شهرداري تربت حيدريه</v>
      </c>
      <c r="D55" s="1">
        <v>12820</v>
      </c>
      <c r="E55" s="1">
        <v>22780</v>
      </c>
      <c r="F55" s="1">
        <v>96</v>
      </c>
      <c r="G55" s="1">
        <v>1220</v>
      </c>
      <c r="H55" s="1" t="str">
        <f>"96/09/12"</f>
        <v>96/09/12</v>
      </c>
      <c r="I55" s="1" t="str">
        <f>"كيلوگرم"</f>
        <v>كيلوگرم</v>
      </c>
      <c r="J55" s="1" t="str">
        <f>"0000000076"</f>
        <v>0000000076</v>
      </c>
      <c r="K55" s="1" t="str">
        <f>"قير 60/70 - فله"</f>
        <v>قير 60/70 - فله</v>
      </c>
      <c r="L55" s="1">
        <v>100</v>
      </c>
      <c r="M55" s="1" t="str">
        <f>"مخازن قير اصفهان"</f>
        <v>مخازن قير اصفهان</v>
      </c>
      <c r="N55" s="1">
        <v>4158</v>
      </c>
      <c r="O55" s="1">
        <v>50037424</v>
      </c>
      <c r="P55" s="1" t="str">
        <f>"  سازمان همياري  شهرداريهاي خراسان رضوي"</f>
        <v xml:space="preserve">  سازمان همياري  شهرداريهاي خراسان رضوي</v>
      </c>
      <c r="Q55" s="1">
        <v>11</v>
      </c>
      <c r="R55" s="1" t="str">
        <f>"فروش داخلي تهران - بورس"</f>
        <v>فروش داخلي تهران - بورس</v>
      </c>
      <c r="S55" s="1" t="str">
        <f>"قرارداد فروش"</f>
        <v>قرارداد فروش</v>
      </c>
      <c r="T55" s="1" t="str">
        <f>"ندارد"</f>
        <v>ندارد</v>
      </c>
      <c r="U55" s="1" t="str">
        <f>"ترك شاهسوندي مهدي(1022ج89)"</f>
        <v>ترك شاهسوندي مهدي(1022ج89)</v>
      </c>
      <c r="V55" s="1">
        <v>961100098</v>
      </c>
      <c r="W55" s="1">
        <v>961100098</v>
      </c>
      <c r="X55" s="1" t="str">
        <f>"1396529160"</f>
        <v>1396529160</v>
      </c>
      <c r="Y55" s="1" t="str">
        <f>"96/09/11"</f>
        <v>96/09/11</v>
      </c>
      <c r="Z55" s="1" t="str">
        <f>"96-36733"</f>
        <v>96-36733</v>
      </c>
      <c r="AA55" s="1" t="str">
        <f>"شهرداريها"</f>
        <v>شهرداريها</v>
      </c>
      <c r="AB55" s="1" t="str">
        <f>"96/09/11"</f>
        <v>96/09/11</v>
      </c>
      <c r="AC55" s="1" t="str">
        <f>"خراسان رضوي"</f>
        <v>خراسان رضوي</v>
      </c>
      <c r="AD55" s="1" t="str">
        <f>"96/09/08"</f>
        <v>96/09/08</v>
      </c>
      <c r="AE55" s="1" t="str">
        <f>"اختتام"</f>
        <v>اختتام</v>
      </c>
      <c r="AF55" s="1" t="str">
        <f>""</f>
        <v/>
      </c>
      <c r="AG55" s="1" t="str">
        <f>""</f>
        <v/>
      </c>
      <c r="AH55" s="1" t="str">
        <f>""</f>
        <v/>
      </c>
      <c r="AI55" s="1" t="str">
        <f>""</f>
        <v/>
      </c>
      <c r="AJ55" s="1" t="str">
        <f>""</f>
        <v/>
      </c>
      <c r="AK55" s="1" t="str">
        <f>""</f>
        <v/>
      </c>
    </row>
    <row r="56" spans="1:37">
      <c r="A56" s="1">
        <v>84000</v>
      </c>
      <c r="B56" s="1">
        <v>966300044</v>
      </c>
      <c r="C56" s="1" t="str">
        <f>"اصفهان شهرک صنعتي مورچه خورت خ بوعلي انتهاي بوعلي پلاک 503"</f>
        <v>اصفهان شهرک صنعتي مورچه خورت خ بوعلي انتهاي بوعلي پلاک 503</v>
      </c>
      <c r="D56" s="1">
        <v>12820</v>
      </c>
      <c r="E56" s="1">
        <v>83500</v>
      </c>
      <c r="F56" s="1">
        <v>96</v>
      </c>
      <c r="G56" s="1">
        <v>500</v>
      </c>
      <c r="H56" s="1" t="str">
        <f>"96/09/27"</f>
        <v>96/09/27</v>
      </c>
      <c r="I56" s="1" t="str">
        <f>"كيلوگرم"</f>
        <v>كيلوگرم</v>
      </c>
      <c r="J56" s="1" t="str">
        <f>"0000000076"</f>
        <v>0000000076</v>
      </c>
      <c r="K56" s="1" t="str">
        <f>"قير 60/70 - فله"</f>
        <v>قير 60/70 - فله</v>
      </c>
      <c r="L56" s="1">
        <v>100</v>
      </c>
      <c r="M56" s="1" t="str">
        <f>"مخازن قير اصفهان"</f>
        <v>مخازن قير اصفهان</v>
      </c>
      <c r="N56" s="1">
        <v>7056</v>
      </c>
      <c r="O56" s="1">
        <v>50037907</v>
      </c>
      <c r="P56" s="1" t="str">
        <f>"  عايق بام سايبان"</f>
        <v xml:space="preserve">  عايق بام سايبان</v>
      </c>
      <c r="Q56" s="1">
        <v>63</v>
      </c>
      <c r="R56" s="1" t="str">
        <f>"سازمان نوسازي،توسعه و تجهيز مدارس كشور"</f>
        <v>سازمان نوسازي،توسعه و تجهيز مدارس كشور</v>
      </c>
      <c r="S56" s="1" t="str">
        <f>"قرارداد فروش"</f>
        <v>قرارداد فروش</v>
      </c>
      <c r="T56" s="1" t="str">
        <f>"ندارد"</f>
        <v>ندارد</v>
      </c>
      <c r="U56" s="1" t="str">
        <f>"اسماعيلي پور امين (1013ج89)"</f>
        <v>اسماعيلي پور امين (1013ج89)</v>
      </c>
      <c r="V56" s="1">
        <v>966300044</v>
      </c>
      <c r="W56" s="1">
        <v>966300044</v>
      </c>
      <c r="X56" s="1" t="str">
        <f>"1396532936"</f>
        <v>1396532936</v>
      </c>
      <c r="Y56" s="1" t="str">
        <f>"96/09/27"</f>
        <v>96/09/27</v>
      </c>
      <c r="Z56" s="1" t="str">
        <f>"3-96/424-24758"</f>
        <v>3-96/424-24758</v>
      </c>
      <c r="AA56" s="1" t="str">
        <f>"سازمان نوسازي توسعه وتجهيزمدارس كشور"</f>
        <v>سازمان نوسازي توسعه وتجهيزمدارس كشور</v>
      </c>
      <c r="AB56" s="1" t="str">
        <f>"96/09/21"</f>
        <v>96/09/21</v>
      </c>
      <c r="AC56" s="1" t="str">
        <f>"استان اصفهان"</f>
        <v>استان اصفهان</v>
      </c>
      <c r="AD56" s="1" t="str">
        <f>"96/09/26"</f>
        <v>96/09/26</v>
      </c>
      <c r="AE56" s="1" t="str">
        <f>"اختتام"</f>
        <v>اختتام</v>
      </c>
      <c r="AF56" s="1" t="str">
        <f>""</f>
        <v/>
      </c>
      <c r="AG56" s="1" t="str">
        <f>""</f>
        <v/>
      </c>
      <c r="AH56" s="1" t="str">
        <f>""</f>
        <v/>
      </c>
      <c r="AI56" s="1" t="str">
        <f>""</f>
        <v/>
      </c>
      <c r="AJ56" s="1" t="str">
        <f>""</f>
        <v/>
      </c>
      <c r="AK56" s="1" t="str">
        <f>""</f>
        <v/>
      </c>
    </row>
    <row r="57" spans="1:37">
      <c r="A57" s="1">
        <v>46000</v>
      </c>
      <c r="B57" s="1">
        <v>966300063</v>
      </c>
      <c r="C57" s="1" t="str">
        <f>"اصفهان شهرک صنعتي مورچه خورت خ بوعلي انتهاي بوعلي پلاک 503"</f>
        <v>اصفهان شهرک صنعتي مورچه خورت خ بوعلي انتهاي بوعلي پلاک 503</v>
      </c>
      <c r="D57" s="1">
        <v>13200</v>
      </c>
      <c r="E57" s="1">
        <v>46000</v>
      </c>
      <c r="F57" s="1">
        <v>96</v>
      </c>
      <c r="G57" s="1">
        <v>0</v>
      </c>
      <c r="H57" s="1" t="str">
        <f>"96/11/23"</f>
        <v>96/11/23</v>
      </c>
      <c r="I57" s="1" t="str">
        <f>"كيلوگرم"</f>
        <v>كيلوگرم</v>
      </c>
      <c r="J57" s="1" t="str">
        <f>"0000000076"</f>
        <v>0000000076</v>
      </c>
      <c r="K57" s="1" t="str">
        <f>"قير 60/70 - فله"</f>
        <v>قير 60/70 - فله</v>
      </c>
      <c r="L57" s="1">
        <v>100</v>
      </c>
      <c r="M57" s="1" t="str">
        <f>"مخازن قير اصفهان"</f>
        <v>مخازن قير اصفهان</v>
      </c>
      <c r="N57" s="1">
        <v>7056</v>
      </c>
      <c r="O57" s="1">
        <v>50038490</v>
      </c>
      <c r="P57" s="1" t="str">
        <f>"  عايق بام سايبان"</f>
        <v xml:space="preserve">  عايق بام سايبان</v>
      </c>
      <c r="Q57" s="1">
        <v>63</v>
      </c>
      <c r="R57" s="1" t="str">
        <f>"سازمان نوسازي،توسعه و تجهيز مدارس كشور"</f>
        <v>سازمان نوسازي،توسعه و تجهيز مدارس كشور</v>
      </c>
      <c r="S57" s="1" t="str">
        <f>"قرارداد فروش"</f>
        <v>قرارداد فروش</v>
      </c>
      <c r="T57" s="1" t="str">
        <f>"ندارد"</f>
        <v>ندارد</v>
      </c>
      <c r="U57" s="1" t="str">
        <f>"اسماعيلي پور امين (1013ج89)"</f>
        <v>اسماعيلي پور امين (1013ج89)</v>
      </c>
      <c r="V57" s="1">
        <v>966300063</v>
      </c>
      <c r="W57" s="1">
        <v>966300063</v>
      </c>
      <c r="X57" s="1" t="str">
        <f>"1396547334"</f>
        <v>1396547334</v>
      </c>
      <c r="Y57" s="1" t="str">
        <f>"96/11/23"</f>
        <v>96/11/23</v>
      </c>
      <c r="Z57" s="1" t="str">
        <f>"3-96/424-30737"</f>
        <v>3-96/424-30737</v>
      </c>
      <c r="AA57" s="1" t="str">
        <f>"سازمان نوسازي توسعه وتجهيزمدارس كشور"</f>
        <v>سازمان نوسازي توسعه وتجهيزمدارس كشور</v>
      </c>
      <c r="AB57" s="1" t="str">
        <f>"96/11/17"</f>
        <v>96/11/17</v>
      </c>
      <c r="AC57" s="1" t="str">
        <f>"استان اصفهان"</f>
        <v>استان اصفهان</v>
      </c>
      <c r="AD57" s="1" t="str">
        <f>"96/11/23"</f>
        <v>96/11/23</v>
      </c>
      <c r="AE57" s="1" t="str">
        <f>"اختتام"</f>
        <v>اختتام</v>
      </c>
      <c r="AF57" s="1" t="str">
        <f>""</f>
        <v/>
      </c>
      <c r="AG57" s="1" t="str">
        <f>""</f>
        <v/>
      </c>
      <c r="AH57" s="1" t="str">
        <f>""</f>
        <v/>
      </c>
      <c r="AI57" s="1" t="str">
        <f>""</f>
        <v/>
      </c>
      <c r="AJ57" s="1" t="str">
        <f>""</f>
        <v/>
      </c>
      <c r="AK57" s="1" t="str">
        <f>""</f>
        <v/>
      </c>
    </row>
    <row r="58" spans="1:37">
      <c r="A58" s="1">
        <v>110000</v>
      </c>
      <c r="B58" s="1">
        <v>961100085</v>
      </c>
      <c r="C58" s="1" t="str">
        <f>"تخليه -كيلومتر20اول جاده بويين زهرا-رنگرز-شركت ساوه شن"</f>
        <v>تخليه -كيلومتر20اول جاده بويين زهرا-رنگرز-شركت ساوه شن</v>
      </c>
      <c r="D58" s="1">
        <v>9416</v>
      </c>
      <c r="E58" s="1">
        <v>110000</v>
      </c>
      <c r="F58" s="1">
        <v>96</v>
      </c>
      <c r="G58" s="1">
        <v>0</v>
      </c>
      <c r="H58" s="1" t="str">
        <f>"96/08/08"</f>
        <v>96/08/08</v>
      </c>
      <c r="I58" s="1" t="str">
        <f>"كيلوگرم"</f>
        <v>كيلوگرم</v>
      </c>
      <c r="J58" s="1" t="str">
        <f>"0000000076"</f>
        <v>0000000076</v>
      </c>
      <c r="K58" s="1" t="str">
        <f>"قير 60/70 - فله"</f>
        <v>قير 60/70 - فله</v>
      </c>
      <c r="L58" s="1">
        <v>100</v>
      </c>
      <c r="M58" s="1" t="str">
        <f>"مخازن قير اصفهان"</f>
        <v>مخازن قير اصفهان</v>
      </c>
      <c r="N58" s="1">
        <v>7117</v>
      </c>
      <c r="O58" s="1">
        <v>50036950</v>
      </c>
      <c r="P58" s="1" t="str">
        <f>"  ساوه شن"</f>
        <v xml:space="preserve">  ساوه شن</v>
      </c>
      <c r="Q58" s="1">
        <v>11</v>
      </c>
      <c r="R58" s="1" t="str">
        <f>"فروش داخلي تهران - بورس"</f>
        <v>فروش داخلي تهران - بورس</v>
      </c>
      <c r="S58" s="1" t="str">
        <f>"قرارداد فروش"</f>
        <v>قرارداد فروش</v>
      </c>
      <c r="T58" s="1" t="str">
        <f>"ندارد"</f>
        <v>ندارد</v>
      </c>
      <c r="U58" s="1" t="str">
        <f>"اميري علي(2842011)"</f>
        <v>اميري علي(2842011)</v>
      </c>
      <c r="V58" s="1">
        <v>961100085</v>
      </c>
      <c r="W58" s="1">
        <v>961100085</v>
      </c>
      <c r="X58" s="1" t="str">
        <f>"1396521488"</f>
        <v>1396521488</v>
      </c>
      <c r="Y58" s="1" t="str">
        <f>"96/08/07"</f>
        <v>96/08/07</v>
      </c>
      <c r="Z58" s="1" t="str">
        <f>"96-36460"</f>
        <v>96-36460</v>
      </c>
      <c r="AA58" s="1" t="str">
        <f>"راه سازي"</f>
        <v>راه سازي</v>
      </c>
      <c r="AB58" s="1" t="str">
        <f>"96/08/07"</f>
        <v>96/08/07</v>
      </c>
      <c r="AC58" s="1" t="str">
        <f>"استان مركزي"</f>
        <v>استان مركزي</v>
      </c>
      <c r="AD58" s="1" t="str">
        <f>"96/08/03"</f>
        <v>96/08/03</v>
      </c>
      <c r="AE58" s="1" t="str">
        <f>"اختتام"</f>
        <v>اختتام</v>
      </c>
      <c r="AF58" s="1" t="str">
        <f>""</f>
        <v/>
      </c>
      <c r="AG58" s="1" t="str">
        <f>""</f>
        <v/>
      </c>
      <c r="AH58" s="1" t="str">
        <f>""</f>
        <v/>
      </c>
      <c r="AI58" s="1" t="str">
        <f>""</f>
        <v/>
      </c>
      <c r="AJ58" s="1" t="str">
        <f>""</f>
        <v/>
      </c>
      <c r="AK58" s="1" t="str">
        <f>""</f>
        <v/>
      </c>
    </row>
    <row r="59" spans="1:37">
      <c r="A59" s="1">
        <v>22000</v>
      </c>
      <c r="B59" s="1">
        <v>966300045</v>
      </c>
      <c r="C59" s="1" t="str">
        <f>"تخليه تبريزناحيه صنعتي آخولاكارخانه شركت آذربام عايق كار"</f>
        <v>تخليه تبريزناحيه صنعتي آخولاكارخانه شركت آذربام عايق كار</v>
      </c>
      <c r="D59" s="1">
        <v>12820</v>
      </c>
      <c r="E59" s="1">
        <v>22000</v>
      </c>
      <c r="F59" s="1">
        <v>96</v>
      </c>
      <c r="G59" s="1">
        <v>0</v>
      </c>
      <c r="H59" s="1" t="str">
        <f>"96/09/28"</f>
        <v>96/09/28</v>
      </c>
      <c r="I59" s="1" t="str">
        <f>"كيلوگرم"</f>
        <v>كيلوگرم</v>
      </c>
      <c r="J59" s="1" t="str">
        <f>"0000000076"</f>
        <v>0000000076</v>
      </c>
      <c r="K59" s="1" t="str">
        <f>"قير 60/70 - فله"</f>
        <v>قير 60/70 - فله</v>
      </c>
      <c r="L59" s="1">
        <v>100</v>
      </c>
      <c r="M59" s="1" t="str">
        <f>"مخازن قير اصفهان"</f>
        <v>مخازن قير اصفهان</v>
      </c>
      <c r="N59" s="1">
        <v>7127</v>
      </c>
      <c r="O59" s="1">
        <v>50037949</v>
      </c>
      <c r="P59" s="1" t="str">
        <f>"  آذر بام عايق کار"</f>
        <v xml:space="preserve">  آذر بام عايق کار</v>
      </c>
      <c r="Q59" s="1">
        <v>63</v>
      </c>
      <c r="R59" s="1" t="str">
        <f>"سازمان نوسازي،توسعه و تجهيز مدارس كشور"</f>
        <v>سازمان نوسازي،توسعه و تجهيز مدارس كشور</v>
      </c>
      <c r="S59" s="1" t="str">
        <f>"قرارداد فروش"</f>
        <v>قرارداد فروش</v>
      </c>
      <c r="T59" s="1" t="str">
        <f>"ندارد"</f>
        <v>ندارد</v>
      </c>
      <c r="U59" s="1" t="str">
        <f>"فتاح زاده سيداحمد(3843011)"</f>
        <v>فتاح زاده سيداحمد(3843011)</v>
      </c>
      <c r="V59" s="1">
        <v>966300045</v>
      </c>
      <c r="W59" s="1">
        <v>966300045</v>
      </c>
      <c r="X59" s="1" t="str">
        <f>"1396533424"</f>
        <v>1396533424</v>
      </c>
      <c r="Y59" s="1" t="str">
        <f>"96/09/28"</f>
        <v>96/09/28</v>
      </c>
      <c r="Z59" s="1" t="str">
        <f>"18/96/1/8375"</f>
        <v>18/96/1/8375</v>
      </c>
      <c r="AA59" s="1" t="str">
        <f>"سازمان نوسازي توسعه وتجهيزمدارس كشور"</f>
        <v>سازمان نوسازي توسعه وتجهيزمدارس كشور</v>
      </c>
      <c r="AB59" s="1" t="str">
        <f>"96/09/11"</f>
        <v>96/09/11</v>
      </c>
      <c r="AC59" s="1" t="str">
        <f>"استان چهارمحال بختياري"</f>
        <v>استان چهارمحال بختياري</v>
      </c>
      <c r="AD59" s="1" t="str">
        <f>"96/09/28"</f>
        <v>96/09/28</v>
      </c>
      <c r="AE59" s="1" t="str">
        <f>"اختتام"</f>
        <v>اختتام</v>
      </c>
      <c r="AF59" s="1" t="str">
        <f>""</f>
        <v/>
      </c>
      <c r="AG59" s="1" t="str">
        <f>""</f>
        <v/>
      </c>
      <c r="AH59" s="1" t="str">
        <f>""</f>
        <v/>
      </c>
      <c r="AI59" s="1" t="str">
        <f>""</f>
        <v/>
      </c>
      <c r="AJ59" s="1" t="str">
        <f>""</f>
        <v/>
      </c>
      <c r="AK59" s="1" t="str">
        <f>""</f>
        <v/>
      </c>
    </row>
    <row r="60" spans="1:37">
      <c r="A60" s="1">
        <v>114692</v>
      </c>
      <c r="B60" s="1">
        <v>962000090</v>
      </c>
      <c r="C60" s="1" t="str">
        <f>"تخليه : اصفهان - نطنز- کيلومتر 5 جاه گل آباد مقابل ايستگاه راه آهن واحد توليد آسفالت گرم شرکت ايران مترو"</f>
        <v>تخليه : اصفهان - نطنز- کيلومتر 5 جاه گل آباد مقابل ايستگاه راه آهن واحد توليد آسفالت گرم شرکت ايران مترو</v>
      </c>
      <c r="D60" s="1">
        <v>9113</v>
      </c>
      <c r="E60" s="1">
        <v>114692</v>
      </c>
      <c r="F60" s="1">
        <v>96</v>
      </c>
      <c r="G60" s="1">
        <v>0</v>
      </c>
      <c r="H60" s="1" t="str">
        <f>"96/07/03"</f>
        <v>96/07/03</v>
      </c>
      <c r="I60" s="1" t="str">
        <f>"كيلوگرم"</f>
        <v>كيلوگرم</v>
      </c>
      <c r="J60" s="1" t="str">
        <f>"0000000076"</f>
        <v>0000000076</v>
      </c>
      <c r="K60" s="1" t="str">
        <f>"قير 60/70 - فله"</f>
        <v>قير 60/70 - فله</v>
      </c>
      <c r="L60" s="1">
        <v>100</v>
      </c>
      <c r="M60" s="1" t="str">
        <f>"مخازن قير اصفهان"</f>
        <v>مخازن قير اصفهان</v>
      </c>
      <c r="N60" s="1">
        <v>7129</v>
      </c>
      <c r="O60" s="1">
        <v>50036244</v>
      </c>
      <c r="P60" s="1" t="str">
        <f>"  شهرداري نطنز"</f>
        <v xml:space="preserve">  شهرداري نطنز</v>
      </c>
      <c r="Q60" s="1">
        <v>20</v>
      </c>
      <c r="R60" s="1" t="str">
        <f>"فروش داخلي - سازمان شهرداري ها و دهياري هاي كشور"</f>
        <v>فروش داخلي - سازمان شهرداري ها و دهياري هاي كشور</v>
      </c>
      <c r="S60" s="1" t="str">
        <f>"قرارداد فروش"</f>
        <v>قرارداد فروش</v>
      </c>
      <c r="T60" s="1" t="str">
        <f>"ندارد"</f>
        <v>ندارد</v>
      </c>
      <c r="U60" s="1" t="str">
        <f>"تعاوني جم گستر (1001 ج 89)"</f>
        <v>تعاوني جم گستر (1001 ج 89)</v>
      </c>
      <c r="V60" s="1">
        <v>962000090</v>
      </c>
      <c r="W60" s="1">
        <v>962000090</v>
      </c>
      <c r="X60" s="1" t="str">
        <f>"1396514467"</f>
        <v>1396514467</v>
      </c>
      <c r="Y60" s="1" t="str">
        <f>"96/07/03"</f>
        <v>96/07/03</v>
      </c>
      <c r="Z60" s="1" t="str">
        <f>"26629مرحله اول"</f>
        <v>26629مرحله اول</v>
      </c>
      <c r="AA60" s="1" t="str">
        <f>"شهرداريها"</f>
        <v>شهرداريها</v>
      </c>
      <c r="AB60" s="1" t="str">
        <f>"96/06/29"</f>
        <v>96/06/29</v>
      </c>
      <c r="AC60" s="1" t="str">
        <f>"استان اصفهان"</f>
        <v>استان اصفهان</v>
      </c>
      <c r="AD60" s="1" t="str">
        <f>"96/07/03"</f>
        <v>96/07/03</v>
      </c>
      <c r="AE60" s="1" t="str">
        <f>"اختتام"</f>
        <v>اختتام</v>
      </c>
      <c r="AF60" s="1" t="str">
        <f>""</f>
        <v/>
      </c>
      <c r="AG60" s="1" t="str">
        <f>""</f>
        <v/>
      </c>
      <c r="AH60" s="1" t="str">
        <f>""</f>
        <v/>
      </c>
      <c r="AI60" s="1" t="str">
        <f>""</f>
        <v/>
      </c>
      <c r="AJ60" s="1" t="str">
        <f>""</f>
        <v/>
      </c>
      <c r="AK60" s="1" t="str">
        <f>""</f>
        <v/>
      </c>
    </row>
    <row r="61" spans="1:37">
      <c r="A61" s="1">
        <v>21000</v>
      </c>
      <c r="B61" s="1">
        <v>966300046</v>
      </c>
      <c r="C61" s="1" t="str">
        <f>"تخليه تبريزناحيه صنعتي آخولاكارخانه شركت آذربام عايق كار"</f>
        <v>تخليه تبريزناحيه صنعتي آخولاكارخانه شركت آذربام عايق كار</v>
      </c>
      <c r="D61" s="1">
        <v>12820</v>
      </c>
      <c r="E61" s="1">
        <v>19260</v>
      </c>
      <c r="F61" s="1">
        <v>96</v>
      </c>
      <c r="G61" s="1">
        <v>1740</v>
      </c>
      <c r="H61" s="1" t="str">
        <f>"96/09/28"</f>
        <v>96/09/28</v>
      </c>
      <c r="I61" s="1" t="str">
        <f>"كيلوگرم"</f>
        <v>كيلوگرم</v>
      </c>
      <c r="J61" s="1" t="str">
        <f>"0000000076"</f>
        <v>0000000076</v>
      </c>
      <c r="K61" s="1" t="str">
        <f>"قير 60/70 - فله"</f>
        <v>قير 60/70 - فله</v>
      </c>
      <c r="L61" s="1">
        <v>100</v>
      </c>
      <c r="M61" s="1" t="str">
        <f>"مخازن قير اصفهان"</f>
        <v>مخازن قير اصفهان</v>
      </c>
      <c r="N61" s="1">
        <v>7127</v>
      </c>
      <c r="O61" s="1">
        <v>50037950</v>
      </c>
      <c r="P61" s="1" t="str">
        <f>"  آذر بام عايق کار"</f>
        <v xml:space="preserve">  آذر بام عايق کار</v>
      </c>
      <c r="Q61" s="1">
        <v>63</v>
      </c>
      <c r="R61" s="1" t="str">
        <f>"سازمان نوسازي،توسعه و تجهيز مدارس كشور"</f>
        <v>سازمان نوسازي،توسعه و تجهيز مدارس كشور</v>
      </c>
      <c r="S61" s="1" t="str">
        <f>"قرارداد فروش"</f>
        <v>قرارداد فروش</v>
      </c>
      <c r="T61" s="1" t="str">
        <f>"ندارد"</f>
        <v>ندارد</v>
      </c>
      <c r="U61" s="1" t="str">
        <f>"فتاح زاده سيداحمد(3843011)"</f>
        <v>فتاح زاده سيداحمد(3843011)</v>
      </c>
      <c r="V61" s="1">
        <v>966300046</v>
      </c>
      <c r="W61" s="1">
        <v>966300046</v>
      </c>
      <c r="X61" s="1" t="str">
        <f>"1396533424"</f>
        <v>1396533424</v>
      </c>
      <c r="Y61" s="1" t="str">
        <f>"96/09/28"</f>
        <v>96/09/28</v>
      </c>
      <c r="Z61" s="1" t="str">
        <f>"18/96/1/8376"</f>
        <v>18/96/1/8376</v>
      </c>
      <c r="AA61" s="1" t="str">
        <f>"سازمان نوسازي توسعه وتجهيزمدارس كشور"</f>
        <v>سازمان نوسازي توسعه وتجهيزمدارس كشور</v>
      </c>
      <c r="AB61" s="1" t="str">
        <f>"96/09/28"</f>
        <v>96/09/28</v>
      </c>
      <c r="AC61" s="1" t="str">
        <f>"استان چهارمحال بختياري"</f>
        <v>استان چهارمحال بختياري</v>
      </c>
      <c r="AD61" s="1" t="str">
        <f>"96/09/28"</f>
        <v>96/09/28</v>
      </c>
      <c r="AE61" s="1" t="str">
        <f>"اختتام"</f>
        <v>اختتام</v>
      </c>
      <c r="AF61" s="1" t="str">
        <f>""</f>
        <v/>
      </c>
      <c r="AG61" s="1" t="str">
        <f>""</f>
        <v/>
      </c>
      <c r="AH61" s="1" t="str">
        <f>""</f>
        <v/>
      </c>
      <c r="AI61" s="1" t="str">
        <f>""</f>
        <v/>
      </c>
      <c r="AJ61" s="1" t="str">
        <f>""</f>
        <v/>
      </c>
      <c r="AK61" s="1" t="str">
        <f>""</f>
        <v/>
      </c>
    </row>
    <row r="62" spans="1:37">
      <c r="A62" s="1">
        <v>38122</v>
      </c>
      <c r="B62" s="1">
        <v>962000429</v>
      </c>
      <c r="C62" s="1" t="str">
        <f>"تخليه اصفهان سه راهي پليس راه جندق پنج كيلومتربه سمت خوركارگاه زرين سپاهان"</f>
        <v>تخليه اصفهان سه راهي پليس راه جندق پنج كيلومتربه سمت خوركارگاه زرين سپاهان</v>
      </c>
      <c r="D62" s="1">
        <v>12820</v>
      </c>
      <c r="E62" s="1">
        <v>38122</v>
      </c>
      <c r="F62" s="1">
        <v>96</v>
      </c>
      <c r="G62" s="1">
        <v>0</v>
      </c>
      <c r="H62" s="1" t="str">
        <f>"96/09/20"</f>
        <v>96/09/20</v>
      </c>
      <c r="I62" s="1" t="str">
        <f>"كيلوگرم"</f>
        <v>كيلوگرم</v>
      </c>
      <c r="J62" s="1" t="str">
        <f>"0000000076"</f>
        <v>0000000076</v>
      </c>
      <c r="K62" s="1" t="str">
        <f>"قير 60/70 - فله"</f>
        <v>قير 60/70 - فله</v>
      </c>
      <c r="L62" s="1">
        <v>100</v>
      </c>
      <c r="M62" s="1" t="str">
        <f>"مخازن قير اصفهان"</f>
        <v>مخازن قير اصفهان</v>
      </c>
      <c r="N62" s="1">
        <v>7137</v>
      </c>
      <c r="O62" s="1">
        <v>50037750</v>
      </c>
      <c r="P62" s="1" t="str">
        <f>"  شهرداري جندق"</f>
        <v xml:space="preserve">  شهرداري جندق</v>
      </c>
      <c r="Q62" s="1">
        <v>20</v>
      </c>
      <c r="R62" s="1" t="str">
        <f>"فروش داخلي - سازمان شهرداري ها و دهياري هاي كشور"</f>
        <v>فروش داخلي - سازمان شهرداري ها و دهياري هاي كشور</v>
      </c>
      <c r="S62" s="1" t="str">
        <f>"قرارداد فروش"</f>
        <v>قرارداد فروش</v>
      </c>
      <c r="T62" s="1" t="str">
        <f>"ندارد"</f>
        <v>ندارد</v>
      </c>
      <c r="U62" s="1" t="str">
        <f>"تعاوني جم گستر (1001 ج 89)"</f>
        <v>تعاوني جم گستر (1001 ج 89)</v>
      </c>
      <c r="V62" s="1">
        <v>962000429</v>
      </c>
      <c r="W62" s="1">
        <v>962000429</v>
      </c>
      <c r="X62" s="1" t="str">
        <f>"1396529711"</f>
        <v>1396529711</v>
      </c>
      <c r="Y62" s="1" t="str">
        <f>"96/09/20"</f>
        <v>96/09/20</v>
      </c>
      <c r="Z62" s="1" t="str">
        <f>"37119مرحله دوم"</f>
        <v>37119مرحله دوم</v>
      </c>
      <c r="AA62" s="1" t="str">
        <f>"شهرداريها"</f>
        <v>شهرداريها</v>
      </c>
      <c r="AB62" s="1" t="str">
        <f>"96/09/04"</f>
        <v>96/09/04</v>
      </c>
      <c r="AC62" s="1" t="str">
        <f>"استان اصفهان"</f>
        <v>استان اصفهان</v>
      </c>
      <c r="AD62" s="1" t="str">
        <f>"96/09/13"</f>
        <v>96/09/13</v>
      </c>
      <c r="AE62" s="1" t="str">
        <f>"تاييدشده"</f>
        <v>تاييدشده</v>
      </c>
      <c r="AF62" s="1" t="str">
        <f>""</f>
        <v/>
      </c>
      <c r="AG62" s="1" t="str">
        <f>""</f>
        <v/>
      </c>
      <c r="AH62" s="1" t="str">
        <f>""</f>
        <v/>
      </c>
      <c r="AI62" s="1" t="str">
        <f>""</f>
        <v/>
      </c>
      <c r="AJ62" s="1" t="str">
        <f>""</f>
        <v/>
      </c>
      <c r="AK62" s="1" t="str">
        <f>""</f>
        <v/>
      </c>
    </row>
    <row r="63" spans="1:37">
      <c r="A63" s="1">
        <v>40764</v>
      </c>
      <c r="B63" s="1">
        <v>962000488</v>
      </c>
      <c r="C63" s="1" t="str">
        <f>"تخليه : اصفهان - نطنز- کيلومتر 5 جاه گل آباد مقابل ايستگاه راه آهن واحد توليد آسفالت گرم شرکت ايران مترو"</f>
        <v>تخليه : اصفهان - نطنز- کيلومتر 5 جاه گل آباد مقابل ايستگاه راه آهن واحد توليد آسفالت گرم شرکت ايران مترو</v>
      </c>
      <c r="D63" s="1">
        <v>12820</v>
      </c>
      <c r="E63" s="1">
        <v>40764</v>
      </c>
      <c r="F63" s="1">
        <v>96</v>
      </c>
      <c r="G63" s="1">
        <v>0</v>
      </c>
      <c r="H63" s="1" t="str">
        <f>"96/09/20"</f>
        <v>96/09/20</v>
      </c>
      <c r="I63" s="1" t="str">
        <f>"كيلوگرم"</f>
        <v>كيلوگرم</v>
      </c>
      <c r="J63" s="1" t="str">
        <f>"0000000076"</f>
        <v>0000000076</v>
      </c>
      <c r="K63" s="1" t="str">
        <f>"قير 60/70 - فله"</f>
        <v>قير 60/70 - فله</v>
      </c>
      <c r="L63" s="1">
        <v>100</v>
      </c>
      <c r="M63" s="1" t="str">
        <f>"مخازن قير اصفهان"</f>
        <v>مخازن قير اصفهان</v>
      </c>
      <c r="N63" s="1">
        <v>7129</v>
      </c>
      <c r="O63" s="1">
        <v>50037810</v>
      </c>
      <c r="P63" s="1" t="str">
        <f>"  شهرداري نطنز"</f>
        <v xml:space="preserve">  شهرداري نطنز</v>
      </c>
      <c r="Q63" s="1">
        <v>20</v>
      </c>
      <c r="R63" s="1" t="str">
        <f>"فروش داخلي - سازمان شهرداري ها و دهياري هاي كشور"</f>
        <v>فروش داخلي - سازمان شهرداري ها و دهياري هاي كشور</v>
      </c>
      <c r="S63" s="1" t="str">
        <f>"قرارداد فروش"</f>
        <v>قرارداد فروش</v>
      </c>
      <c r="T63" s="1" t="str">
        <f>"ندارد"</f>
        <v>ندارد</v>
      </c>
      <c r="U63" s="1" t="str">
        <f>"تعاوني جم گستر (1001 ج 89)"</f>
        <v>تعاوني جم گستر (1001 ج 89)</v>
      </c>
      <c r="V63" s="1">
        <v>962000488</v>
      </c>
      <c r="W63" s="1">
        <v>962000488</v>
      </c>
      <c r="X63" s="1" t="str">
        <f>"1396529711"</f>
        <v>1396529711</v>
      </c>
      <c r="Y63" s="1" t="str">
        <f>"96/09/20"</f>
        <v>96/09/20</v>
      </c>
      <c r="Z63" s="1" t="str">
        <f>"37273مرحله دوم"</f>
        <v>37273مرحله دوم</v>
      </c>
      <c r="AA63" s="1" t="str">
        <f>"شهرداريها"</f>
        <v>شهرداريها</v>
      </c>
      <c r="AB63" s="1" t="str">
        <f>"96/09/05"</f>
        <v>96/09/05</v>
      </c>
      <c r="AC63" s="1" t="str">
        <f>"استان اصفهان"</f>
        <v>استان اصفهان</v>
      </c>
      <c r="AD63" s="1" t="str">
        <f>"96/09/13"</f>
        <v>96/09/13</v>
      </c>
      <c r="AE63" s="1" t="str">
        <f>"اختتام"</f>
        <v>اختتام</v>
      </c>
      <c r="AF63" s="1" t="str">
        <f>""</f>
        <v/>
      </c>
      <c r="AG63" s="1" t="str">
        <f>""</f>
        <v/>
      </c>
      <c r="AH63" s="1" t="str">
        <f>""</f>
        <v/>
      </c>
      <c r="AI63" s="1" t="str">
        <f>""</f>
        <v/>
      </c>
      <c r="AJ63" s="1" t="str">
        <f>""</f>
        <v/>
      </c>
      <c r="AK63" s="1" t="str">
        <f>""</f>
        <v/>
      </c>
    </row>
    <row r="64" spans="1:37">
      <c r="A64" s="1">
        <v>16000</v>
      </c>
      <c r="B64" s="1">
        <v>961100063</v>
      </c>
      <c r="C64" s="1" t="str">
        <f>"تخليه -اصفهان جاده دولت آباد خيابان اكباتان"</f>
        <v>تخليه -اصفهان جاده دولت آباد خيابان اكباتان</v>
      </c>
      <c r="D64" s="1">
        <v>8954</v>
      </c>
      <c r="E64" s="1">
        <v>14540</v>
      </c>
      <c r="F64" s="1">
        <v>96</v>
      </c>
      <c r="G64" s="1">
        <v>1460</v>
      </c>
      <c r="H64" s="1" t="str">
        <f>"96/06/13"</f>
        <v>96/06/13</v>
      </c>
      <c r="I64" s="1" t="str">
        <f>"كيلوگرم"</f>
        <v>كيلوگرم</v>
      </c>
      <c r="J64" s="1" t="str">
        <f>"0000000076"</f>
        <v>0000000076</v>
      </c>
      <c r="K64" s="1" t="str">
        <f>"قير 60/70 - فله"</f>
        <v>قير 60/70 - فله</v>
      </c>
      <c r="L64" s="1">
        <v>100</v>
      </c>
      <c r="M64" s="1" t="str">
        <f>"مخازن قير اصفهان"</f>
        <v>مخازن قير اصفهان</v>
      </c>
      <c r="N64" s="1">
        <v>7078</v>
      </c>
      <c r="O64" s="1">
        <v>50035910</v>
      </c>
      <c r="P64" s="1" t="str">
        <f>"  آينده شيمي اصفهان"</f>
        <v xml:space="preserve">  آينده شيمي اصفهان</v>
      </c>
      <c r="Q64" s="1">
        <v>11</v>
      </c>
      <c r="R64" s="1" t="str">
        <f>"فروش داخلي تهران - بورس"</f>
        <v>فروش داخلي تهران - بورس</v>
      </c>
      <c r="S64" s="1" t="str">
        <f>"قرارداد فروش"</f>
        <v>قرارداد فروش</v>
      </c>
      <c r="T64" s="1" t="str">
        <f>"ندارد"</f>
        <v>ندارد</v>
      </c>
      <c r="U64" s="1" t="str">
        <f>"تعاوني جم گستر (1001 ج 89)"</f>
        <v>تعاوني جم گستر (1001 ج 89)</v>
      </c>
      <c r="V64" s="1">
        <v>961100063</v>
      </c>
      <c r="W64" s="1">
        <v>961100063</v>
      </c>
      <c r="X64" s="1" t="str">
        <f>"1396509851"</f>
        <v>1396509851</v>
      </c>
      <c r="Y64" s="1" t="str">
        <f>"96/06/13"</f>
        <v>96/06/13</v>
      </c>
      <c r="Z64" s="1" t="str">
        <f>"96/154"</f>
        <v>96/154</v>
      </c>
      <c r="AA64" s="1" t="str">
        <f>"عايق كاران"</f>
        <v>عايق كاران</v>
      </c>
      <c r="AB64" s="1" t="str">
        <f>"96/06/07"</f>
        <v>96/06/07</v>
      </c>
      <c r="AC64" s="1" t="str">
        <f>"استان اصفهان"</f>
        <v>استان اصفهان</v>
      </c>
      <c r="AD64" s="1" t="str">
        <f>"96/06/12"</f>
        <v>96/06/12</v>
      </c>
      <c r="AE64" s="1" t="str">
        <f>"اختتام"</f>
        <v>اختتام</v>
      </c>
      <c r="AF64" s="1" t="str">
        <f>""</f>
        <v/>
      </c>
      <c r="AG64" s="1" t="str">
        <f>""</f>
        <v/>
      </c>
      <c r="AH64" s="1" t="str">
        <f>""</f>
        <v/>
      </c>
      <c r="AI64" s="1" t="str">
        <f>""</f>
        <v/>
      </c>
      <c r="AJ64" s="1" t="str">
        <f>""</f>
        <v/>
      </c>
      <c r="AK64" s="1" t="str">
        <f>""</f>
        <v/>
      </c>
    </row>
    <row r="65" spans="1:37">
      <c r="A65" s="1">
        <v>56000</v>
      </c>
      <c r="B65" s="1">
        <v>961100067</v>
      </c>
      <c r="C65" s="1" t="str">
        <f>"تخليه -اصفهان -كيلومتر29محوراصفهان -زرين شهر-سمت چپ -كارگاه زرين سپاهان"</f>
        <v>تخليه -اصفهان -كيلومتر29محوراصفهان -زرين شهر-سمت چپ -كارگاه زرين سپاهان</v>
      </c>
      <c r="D65" s="1">
        <v>8954</v>
      </c>
      <c r="E65" s="1">
        <v>55600</v>
      </c>
      <c r="F65" s="1">
        <v>96</v>
      </c>
      <c r="G65" s="1">
        <v>400</v>
      </c>
      <c r="H65" s="1" t="str">
        <f>"96/06/26"</f>
        <v>96/06/26</v>
      </c>
      <c r="I65" s="1" t="str">
        <f>"كيلوگرم"</f>
        <v>كيلوگرم</v>
      </c>
      <c r="J65" s="1" t="str">
        <f>"0000000076"</f>
        <v>0000000076</v>
      </c>
      <c r="K65" s="1" t="str">
        <f>"قير 60/70 - فله"</f>
        <v>قير 60/70 - فله</v>
      </c>
      <c r="L65" s="1">
        <v>100</v>
      </c>
      <c r="M65" s="1" t="str">
        <f>"مخازن قير اصفهان"</f>
        <v>مخازن قير اصفهان</v>
      </c>
      <c r="N65" s="1">
        <v>7140</v>
      </c>
      <c r="O65" s="1">
        <v>50036062</v>
      </c>
      <c r="P65" s="1" t="str">
        <f>"  زرين سپاهان"</f>
        <v xml:space="preserve">  زرين سپاهان</v>
      </c>
      <c r="Q65" s="1">
        <v>11</v>
      </c>
      <c r="R65" s="1" t="str">
        <f>"فروش داخلي تهران - بورس"</f>
        <v>فروش داخلي تهران - بورس</v>
      </c>
      <c r="S65" s="1" t="str">
        <f>"قرارداد فروش"</f>
        <v>قرارداد فروش</v>
      </c>
      <c r="T65" s="1" t="str">
        <f>"ندارد"</f>
        <v>ندارد</v>
      </c>
      <c r="U65" s="1" t="str">
        <f>"دهقانيان بيژن (4954038)"</f>
        <v>دهقانيان بيژن (4954038)</v>
      </c>
      <c r="V65" s="1">
        <v>961100067</v>
      </c>
      <c r="W65" s="1">
        <v>961100067</v>
      </c>
      <c r="X65" s="1" t="str">
        <f>"1396512848"</f>
        <v>1396512848</v>
      </c>
      <c r="Y65" s="1" t="str">
        <f>"96/06/26"</f>
        <v>96/06/26</v>
      </c>
      <c r="Z65" s="1" t="str">
        <f>"96/990"</f>
        <v>96/990</v>
      </c>
      <c r="AA65" s="1" t="str">
        <f>"راه سازي"</f>
        <v>راه سازي</v>
      </c>
      <c r="AB65" s="1" t="str">
        <f>"96/06/25"</f>
        <v>96/06/25</v>
      </c>
      <c r="AC65" s="1" t="str">
        <f>"استان اصفهان"</f>
        <v>استان اصفهان</v>
      </c>
      <c r="AD65" s="1" t="str">
        <f>"96/06/26"</f>
        <v>96/06/26</v>
      </c>
      <c r="AE65" s="1" t="str">
        <f>"اختتام"</f>
        <v>اختتام</v>
      </c>
      <c r="AF65" s="1" t="str">
        <f>""</f>
        <v/>
      </c>
      <c r="AG65" s="1" t="str">
        <f>""</f>
        <v/>
      </c>
      <c r="AH65" s="1" t="str">
        <f>""</f>
        <v/>
      </c>
      <c r="AI65" s="1" t="str">
        <f>""</f>
        <v/>
      </c>
      <c r="AJ65" s="1" t="str">
        <f>""</f>
        <v/>
      </c>
      <c r="AK65" s="1" t="str">
        <f>""</f>
        <v/>
      </c>
    </row>
    <row r="66" spans="1:37">
      <c r="A66" s="1">
        <v>139499</v>
      </c>
      <c r="B66" s="1">
        <v>962000133</v>
      </c>
      <c r="C66" s="1" t="str">
        <f>"تخليه -خراسان جنوبي شهرستان زيركوه -حاجي آباد-كارخانه آسفالت شهرداري"</f>
        <v>تخليه -خراسان جنوبي شهرستان زيركوه -حاجي آباد-كارخانه آسفالت شهرداري</v>
      </c>
      <c r="D66" s="1">
        <v>9113</v>
      </c>
      <c r="E66" s="1">
        <v>139499</v>
      </c>
      <c r="F66" s="1">
        <v>96</v>
      </c>
      <c r="G66" s="1">
        <v>0</v>
      </c>
      <c r="H66" s="1" t="str">
        <f>"96/07/03"</f>
        <v>96/07/03</v>
      </c>
      <c r="I66" s="1" t="str">
        <f>"كيلوگرم"</f>
        <v>كيلوگرم</v>
      </c>
      <c r="J66" s="1" t="str">
        <f>"0000000076"</f>
        <v>0000000076</v>
      </c>
      <c r="K66" s="1" t="str">
        <f>"قير 60/70 - فله"</f>
        <v>قير 60/70 - فله</v>
      </c>
      <c r="L66" s="1">
        <v>100</v>
      </c>
      <c r="M66" s="1" t="str">
        <f>"مخازن قير اصفهان"</f>
        <v>مخازن قير اصفهان</v>
      </c>
      <c r="N66" s="1">
        <v>7147</v>
      </c>
      <c r="O66" s="1">
        <v>50036320</v>
      </c>
      <c r="P66" s="1" t="str">
        <f>"  شهرداري حاجي آباد"</f>
        <v xml:space="preserve">  شهرداري حاجي آباد</v>
      </c>
      <c r="Q66" s="1">
        <v>20</v>
      </c>
      <c r="R66" s="1" t="str">
        <f>"فروش داخلي - سازمان شهرداري ها و دهياري هاي كشور"</f>
        <v>فروش داخلي - سازمان شهرداري ها و دهياري هاي كشور</v>
      </c>
      <c r="S66" s="1" t="str">
        <f>"قرارداد فروش"</f>
        <v>قرارداد فروش</v>
      </c>
      <c r="T66" s="1" t="str">
        <f>"ندارد"</f>
        <v>ندارد</v>
      </c>
      <c r="U66" s="1" t="str">
        <f>"تعاوني جم گستر (1001 ج 89)"</f>
        <v>تعاوني جم گستر (1001 ج 89)</v>
      </c>
      <c r="V66" s="1">
        <v>962000133</v>
      </c>
      <c r="W66" s="1">
        <v>962000133</v>
      </c>
      <c r="X66" s="1" t="str">
        <f>"1396514467"</f>
        <v>1396514467</v>
      </c>
      <c r="Y66" s="1" t="str">
        <f>"96/07/03"</f>
        <v>96/07/03</v>
      </c>
      <c r="Z66" s="1" t="str">
        <f>"26733مرحله اول"</f>
        <v>26733مرحله اول</v>
      </c>
      <c r="AA66" s="1" t="str">
        <f>"شهرداريها"</f>
        <v>شهرداريها</v>
      </c>
      <c r="AB66" s="1" t="str">
        <f>"96/06/29"</f>
        <v>96/06/29</v>
      </c>
      <c r="AC66" s="1" t="str">
        <f>"خراسان جنوبي"</f>
        <v>خراسان جنوبي</v>
      </c>
      <c r="AD66" s="1" t="str">
        <f>"96/07/03"</f>
        <v>96/07/03</v>
      </c>
      <c r="AE66" s="1" t="str">
        <f>"اختتام"</f>
        <v>اختتام</v>
      </c>
      <c r="AF66" s="1" t="str">
        <f>""</f>
        <v/>
      </c>
      <c r="AG66" s="1" t="str">
        <f>""</f>
        <v/>
      </c>
      <c r="AH66" s="1" t="str">
        <f>""</f>
        <v/>
      </c>
      <c r="AI66" s="1" t="str">
        <f>""</f>
        <v/>
      </c>
      <c r="AJ66" s="1" t="str">
        <f>""</f>
        <v/>
      </c>
      <c r="AK66" s="1" t="str">
        <f>""</f>
        <v/>
      </c>
    </row>
    <row r="67" spans="1:37">
      <c r="A67" s="1">
        <v>522000</v>
      </c>
      <c r="B67" s="1">
        <v>966200504</v>
      </c>
      <c r="C67" s="1" t="str">
        <f>"تخليه -کرمان -قلعه گنج -جاده کهنوج -قلعه گنج کيلومتر60سمت چپ کارخانه سدسازسيرجان"</f>
        <v>تخليه -کرمان -قلعه گنج -جاده کهنوج -قلعه گنج کيلومتر60سمت چپ کارخانه سدسازسيرجان</v>
      </c>
      <c r="D67" s="1">
        <v>12850</v>
      </c>
      <c r="E67" s="1">
        <v>522000</v>
      </c>
      <c r="F67" s="1">
        <v>96</v>
      </c>
      <c r="G67" s="1">
        <v>0</v>
      </c>
      <c r="H67" s="1" t="str">
        <f>"96/10/12"</f>
        <v>96/10/12</v>
      </c>
      <c r="I67" s="1" t="str">
        <f>"كيلوگرم"</f>
        <v>كيلوگرم</v>
      </c>
      <c r="J67" s="1" t="str">
        <f>"0000000076"</f>
        <v>0000000076</v>
      </c>
      <c r="K67" s="1" t="str">
        <f>"قير 60/70 - فله"</f>
        <v>قير 60/70 - فله</v>
      </c>
      <c r="L67" s="1">
        <v>100</v>
      </c>
      <c r="M67" s="1" t="str">
        <f>"مخازن قير اصفهان"</f>
        <v>مخازن قير اصفهان</v>
      </c>
      <c r="N67" s="1">
        <v>7160</v>
      </c>
      <c r="O67" s="1">
        <v>50038038</v>
      </c>
      <c r="P67" s="1" t="str">
        <f>"  سد ساز سيرجان"</f>
        <v xml:space="preserve">  سد ساز سيرجان</v>
      </c>
      <c r="Q67" s="1">
        <v>62</v>
      </c>
      <c r="R67" s="1" t="str">
        <f>"فروش داخلي - سازمان بنيادمسكن انقلاب اسلامي"</f>
        <v>فروش داخلي - سازمان بنيادمسكن انقلاب اسلامي</v>
      </c>
      <c r="S67" s="1" t="str">
        <f>"قرارداد فروش"</f>
        <v>قرارداد فروش</v>
      </c>
      <c r="T67" s="1" t="str">
        <f>"ندارد"</f>
        <v>ندارد</v>
      </c>
      <c r="U67" s="1" t="str">
        <f>"حاصليان ترابرجنوب مرتضي حاصلي (4844006)"</f>
        <v>حاصليان ترابرجنوب مرتضي حاصلي (4844006)</v>
      </c>
      <c r="V67" s="1">
        <v>966200504</v>
      </c>
      <c r="W67" s="1">
        <v>966200504</v>
      </c>
      <c r="X67" s="1" t="str">
        <f>"1396536916"</f>
        <v>1396536916</v>
      </c>
      <c r="Y67" s="1" t="str">
        <f>"96/10/12"</f>
        <v>96/10/12</v>
      </c>
      <c r="Z67" s="1" t="str">
        <f>"45270/د"</f>
        <v>45270/د</v>
      </c>
      <c r="AA67" s="1" t="str">
        <f>"بنيادمسكن انقلاب اسلامي"</f>
        <v>بنيادمسكن انقلاب اسلامي</v>
      </c>
      <c r="AB67" s="1" t="str">
        <f>"96/10/12"</f>
        <v>96/10/12</v>
      </c>
      <c r="AC67" s="1" t="str">
        <f>"استان كرمان"</f>
        <v>استان كرمان</v>
      </c>
      <c r="AD67" s="1" t="str">
        <f>"96/10/12"</f>
        <v>96/10/12</v>
      </c>
      <c r="AE67" s="1" t="str">
        <f>"اختتام"</f>
        <v>اختتام</v>
      </c>
      <c r="AF67" s="1" t="str">
        <f>""</f>
        <v/>
      </c>
      <c r="AG67" s="1" t="str">
        <f>""</f>
        <v/>
      </c>
      <c r="AH67" s="1" t="str">
        <f>""</f>
        <v/>
      </c>
      <c r="AI67" s="1" t="str">
        <f>""</f>
        <v/>
      </c>
      <c r="AJ67" s="1" t="str">
        <f>""</f>
        <v/>
      </c>
      <c r="AK67" s="1" t="str">
        <f>""</f>
        <v/>
      </c>
    </row>
    <row r="68" spans="1:37">
      <c r="A68" s="1">
        <v>186701</v>
      </c>
      <c r="B68" s="1">
        <v>962000145</v>
      </c>
      <c r="C68" s="1" t="str">
        <f>"تخليه -خراسان جنوبي -شهرستان فردوس-كيلومتر5جاده سرايان  -کارخانه آسفالت شهرداري فردوس"</f>
        <v>تخليه -خراسان جنوبي -شهرستان فردوس-كيلومتر5جاده سرايان  -کارخانه آسفالت شهرداري فردوس</v>
      </c>
      <c r="D68" s="1">
        <v>9113</v>
      </c>
      <c r="E68" s="1">
        <v>186701</v>
      </c>
      <c r="F68" s="1">
        <v>96</v>
      </c>
      <c r="G68" s="1">
        <v>0</v>
      </c>
      <c r="H68" s="1" t="str">
        <f>"96/07/03"</f>
        <v>96/07/03</v>
      </c>
      <c r="I68" s="1" t="str">
        <f>"كيلوگرم"</f>
        <v>كيلوگرم</v>
      </c>
      <c r="J68" s="1" t="str">
        <f>"0000000076"</f>
        <v>0000000076</v>
      </c>
      <c r="K68" s="1" t="str">
        <f>"قير 60/70 - فله"</f>
        <v>قير 60/70 - فله</v>
      </c>
      <c r="L68" s="1">
        <v>100</v>
      </c>
      <c r="M68" s="1" t="str">
        <f>"مخازن قير اصفهان"</f>
        <v>مخازن قير اصفهان</v>
      </c>
      <c r="N68" s="1">
        <v>4008</v>
      </c>
      <c r="O68" s="1">
        <v>50036338</v>
      </c>
      <c r="P68" s="1" t="str">
        <f>"  شهرداري فردوس"</f>
        <v xml:space="preserve">  شهرداري فردوس</v>
      </c>
      <c r="Q68" s="1">
        <v>20</v>
      </c>
      <c r="R68" s="1" t="str">
        <f>"فروش داخلي - سازمان شهرداري ها و دهياري هاي كشور"</f>
        <v>فروش داخلي - سازمان شهرداري ها و دهياري هاي كشور</v>
      </c>
      <c r="S68" s="1" t="str">
        <f>"قرارداد فروش"</f>
        <v>قرارداد فروش</v>
      </c>
      <c r="T68" s="1" t="str">
        <f>"ندارد"</f>
        <v>ندارد</v>
      </c>
      <c r="U68" s="1" t="str">
        <f>"تعاوني جم گستر (1001 ج 89)"</f>
        <v>تعاوني جم گستر (1001 ج 89)</v>
      </c>
      <c r="V68" s="1">
        <v>962000145</v>
      </c>
      <c r="W68" s="1">
        <v>962000145</v>
      </c>
      <c r="X68" s="1" t="str">
        <f>"1396514467"</f>
        <v>1396514467</v>
      </c>
      <c r="Y68" s="1" t="str">
        <f>"96/07/03"</f>
        <v>96/07/03</v>
      </c>
      <c r="Z68" s="1" t="str">
        <f>"26718مرحله اول"</f>
        <v>26718مرحله اول</v>
      </c>
      <c r="AA68" s="1" t="str">
        <f>"شهرداريها"</f>
        <v>شهرداريها</v>
      </c>
      <c r="AB68" s="1" t="str">
        <f>"96/06/29"</f>
        <v>96/06/29</v>
      </c>
      <c r="AC68" s="1" t="str">
        <f>"خراسان جنوبي"</f>
        <v>خراسان جنوبي</v>
      </c>
      <c r="AD68" s="1" t="str">
        <f>"96/07/03"</f>
        <v>96/07/03</v>
      </c>
      <c r="AE68" s="1" t="str">
        <f>"اختتام"</f>
        <v>اختتام</v>
      </c>
      <c r="AF68" s="1" t="str">
        <f>""</f>
        <v/>
      </c>
      <c r="AG68" s="1" t="str">
        <f>""</f>
        <v/>
      </c>
      <c r="AH68" s="1" t="str">
        <f>""</f>
        <v/>
      </c>
      <c r="AI68" s="1" t="str">
        <f>""</f>
        <v/>
      </c>
      <c r="AJ68" s="1" t="str">
        <f>""</f>
        <v/>
      </c>
      <c r="AK68" s="1" t="str">
        <f>""</f>
        <v/>
      </c>
    </row>
    <row r="69" spans="1:37">
      <c r="A69" s="1">
        <v>93350</v>
      </c>
      <c r="B69" s="1">
        <v>962000265</v>
      </c>
      <c r="C69" s="1" t="str">
        <f>"تخليه -خراسان جنوبي -شهرستان فردوس-كيلومتر5جاده سرايان  -کارخانه آسفالت شهرداري فردوس"</f>
        <v>تخليه -خراسان جنوبي -شهرستان فردوس-كيلومتر5جاده سرايان  -کارخانه آسفالت شهرداري فردوس</v>
      </c>
      <c r="D69" s="1">
        <v>9113</v>
      </c>
      <c r="E69" s="1">
        <v>93350</v>
      </c>
      <c r="F69" s="1">
        <v>96</v>
      </c>
      <c r="G69" s="1">
        <v>0</v>
      </c>
      <c r="H69" s="1" t="str">
        <f>"96/09/08"</f>
        <v>96/09/08</v>
      </c>
      <c r="I69" s="1" t="str">
        <f>"كيلوگرم"</f>
        <v>كيلوگرم</v>
      </c>
      <c r="J69" s="1" t="str">
        <f>"0000000076"</f>
        <v>0000000076</v>
      </c>
      <c r="K69" s="1" t="str">
        <f>"قير 60/70 - فله"</f>
        <v>قير 60/70 - فله</v>
      </c>
      <c r="L69" s="1">
        <v>100</v>
      </c>
      <c r="M69" s="1" t="str">
        <f>"مخازن قير اصفهان"</f>
        <v>مخازن قير اصفهان</v>
      </c>
      <c r="N69" s="1">
        <v>4008</v>
      </c>
      <c r="O69" s="1">
        <v>50037394</v>
      </c>
      <c r="P69" s="1" t="str">
        <f>"  شهرداري فردوس"</f>
        <v xml:space="preserve">  شهرداري فردوس</v>
      </c>
      <c r="Q69" s="1">
        <v>20</v>
      </c>
      <c r="R69" s="1" t="str">
        <f>"فروش داخلي - سازمان شهرداري ها و دهياري هاي كشور"</f>
        <v>فروش داخلي - سازمان شهرداري ها و دهياري هاي كشور</v>
      </c>
      <c r="S69" s="1" t="str">
        <f>"قرارداد فروش"</f>
        <v>قرارداد فروش</v>
      </c>
      <c r="T69" s="1" t="str">
        <f>"ندارد"</f>
        <v>ندارد</v>
      </c>
      <c r="U69" s="1" t="str">
        <f>"تعاوني جم گستر (1001 ج 89)"</f>
        <v>تعاوني جم گستر (1001 ج 89)</v>
      </c>
      <c r="V69" s="1">
        <v>962000265</v>
      </c>
      <c r="W69" s="1">
        <v>962000265</v>
      </c>
      <c r="X69" s="1" t="str">
        <f>"1396514467"</f>
        <v>1396514467</v>
      </c>
      <c r="Y69" s="1" t="str">
        <f>"96/09/08"</f>
        <v>96/09/08</v>
      </c>
      <c r="Z69" s="1" t="str">
        <f>"37078مرحله دوم"</f>
        <v>37078مرحله دوم</v>
      </c>
      <c r="AA69" s="1" t="str">
        <f>"شهرداريها"</f>
        <v>شهرداريها</v>
      </c>
      <c r="AB69" s="1" t="str">
        <f>"96/09/04"</f>
        <v>96/09/04</v>
      </c>
      <c r="AC69" s="1" t="str">
        <f>"خراسان جنوبي"</f>
        <v>خراسان جنوبي</v>
      </c>
      <c r="AD69" s="1" t="str">
        <f>"96/07/03"</f>
        <v>96/07/03</v>
      </c>
      <c r="AE69" s="1" t="str">
        <f>"اختتام"</f>
        <v>اختتام</v>
      </c>
      <c r="AF69" s="1" t="str">
        <f>""</f>
        <v/>
      </c>
      <c r="AG69" s="1" t="str">
        <f>""</f>
        <v/>
      </c>
      <c r="AH69" s="1" t="str">
        <f>""</f>
        <v/>
      </c>
      <c r="AI69" s="1" t="str">
        <f>""</f>
        <v/>
      </c>
      <c r="AJ69" s="1" t="str">
        <f>""</f>
        <v/>
      </c>
      <c r="AK69" s="1" t="str">
        <f>""</f>
        <v/>
      </c>
    </row>
    <row r="70" spans="1:37">
      <c r="A70" s="1">
        <v>37000</v>
      </c>
      <c r="B70" s="1">
        <v>966300048</v>
      </c>
      <c r="C70" s="1" t="str">
        <f>"تخليه -خراسان جنوبي -شهرستان فردوس-كيلومتر5جاده سرايان  -کارخانه آسفالت شهرداري فردوس"</f>
        <v>تخليه -خراسان جنوبي -شهرستان فردوس-كيلومتر5جاده سرايان  -کارخانه آسفالت شهرداري فردوس</v>
      </c>
      <c r="D70" s="1">
        <v>12850</v>
      </c>
      <c r="E70" s="1">
        <v>36200</v>
      </c>
      <c r="F70" s="1">
        <v>96</v>
      </c>
      <c r="G70" s="1">
        <v>800</v>
      </c>
      <c r="H70" s="1" t="str">
        <f>"96/10/05"</f>
        <v>96/10/05</v>
      </c>
      <c r="I70" s="1" t="str">
        <f>"كيلوگرم"</f>
        <v>كيلوگرم</v>
      </c>
      <c r="J70" s="1" t="str">
        <f>"0000000076"</f>
        <v>0000000076</v>
      </c>
      <c r="K70" s="1" t="str">
        <f>"قير 60/70 - فله"</f>
        <v>قير 60/70 - فله</v>
      </c>
      <c r="L70" s="1">
        <v>100</v>
      </c>
      <c r="M70" s="1" t="str">
        <f>"مخازن قير اصفهان"</f>
        <v>مخازن قير اصفهان</v>
      </c>
      <c r="N70" s="1">
        <v>4008</v>
      </c>
      <c r="O70" s="1">
        <v>50037982</v>
      </c>
      <c r="P70" s="1" t="str">
        <f>"  شهرداري فردوس"</f>
        <v xml:space="preserve">  شهرداري فردوس</v>
      </c>
      <c r="Q70" s="1">
        <v>63</v>
      </c>
      <c r="R70" s="1" t="str">
        <f>"سازمان نوسازي،توسعه و تجهيز مدارس كشور"</f>
        <v>سازمان نوسازي،توسعه و تجهيز مدارس كشور</v>
      </c>
      <c r="S70" s="1" t="str">
        <f>"قرارداد فروش"</f>
        <v>قرارداد فروش</v>
      </c>
      <c r="T70" s="1" t="str">
        <f>"ندارد"</f>
        <v>ندارد</v>
      </c>
      <c r="U70" s="1" t="str">
        <f>"آقا علي منوچهر(1016ج89)"</f>
        <v>آقا علي منوچهر(1016ج89)</v>
      </c>
      <c r="V70" s="1">
        <v>966300048</v>
      </c>
      <c r="W70" s="1">
        <v>966300048</v>
      </c>
      <c r="X70" s="1" t="str">
        <f>"1396535051"</f>
        <v>1396535051</v>
      </c>
      <c r="Y70" s="1" t="str">
        <f>"96/10/05"</f>
        <v>96/10/05</v>
      </c>
      <c r="Z70" s="1" t="str">
        <f>"3096/19-8401"</f>
        <v>3096/19-8401</v>
      </c>
      <c r="AA70" s="1" t="str">
        <f>"سازمان نوسازي توسعه وتجهيزمدارس كشور"</f>
        <v>سازمان نوسازي توسعه وتجهيزمدارس كشور</v>
      </c>
      <c r="AB70" s="1" t="str">
        <f>"96/09/23"</f>
        <v>96/09/23</v>
      </c>
      <c r="AC70" s="1" t="str">
        <f>"خراسان جنوبي"</f>
        <v>خراسان جنوبي</v>
      </c>
      <c r="AD70" s="1" t="str">
        <f>"96/10/05"</f>
        <v>96/10/05</v>
      </c>
      <c r="AE70" s="1" t="str">
        <f>"اختتام"</f>
        <v>اختتام</v>
      </c>
      <c r="AF70" s="1" t="str">
        <f>""</f>
        <v/>
      </c>
      <c r="AG70" s="1" t="str">
        <f>""</f>
        <v/>
      </c>
      <c r="AH70" s="1" t="str">
        <f>""</f>
        <v/>
      </c>
      <c r="AI70" s="1" t="str">
        <f>""</f>
        <v/>
      </c>
      <c r="AJ70" s="1" t="str">
        <f>""</f>
        <v/>
      </c>
      <c r="AK70" s="1" t="str">
        <f>""</f>
        <v/>
      </c>
    </row>
    <row r="71" spans="1:37">
      <c r="A71" s="1">
        <v>475000</v>
      </c>
      <c r="B71" s="1">
        <v>966200760</v>
      </c>
      <c r="C71" s="1" t="str">
        <f>"تخليه -کرمان -قلعه گنج -جاده کهنوج -قلعه گنج کيلومتر60سمت چپ کارخانه سدسازسيرجان"</f>
        <v>تخليه -کرمان -قلعه گنج -جاده کهنوج -قلعه گنج کيلومتر60سمت چپ کارخانه سدسازسيرجان</v>
      </c>
      <c r="D71" s="1">
        <v>13350</v>
      </c>
      <c r="E71" s="1">
        <v>473300</v>
      </c>
      <c r="F71" s="1">
        <v>96</v>
      </c>
      <c r="G71" s="1">
        <v>1700</v>
      </c>
      <c r="H71" s="1" t="str">
        <f>"96/12/27"</f>
        <v>96/12/27</v>
      </c>
      <c r="I71" s="1" t="str">
        <f>"كيلوگرم"</f>
        <v>كيلوگرم</v>
      </c>
      <c r="J71" s="1" t="str">
        <f>"0000000076"</f>
        <v>0000000076</v>
      </c>
      <c r="K71" s="1" t="str">
        <f>"قير 60/70 - فله"</f>
        <v>قير 60/70 - فله</v>
      </c>
      <c r="L71" s="1">
        <v>100</v>
      </c>
      <c r="M71" s="1" t="str">
        <f>"مخازن قير اصفهان"</f>
        <v>مخازن قير اصفهان</v>
      </c>
      <c r="N71" s="1">
        <v>7160</v>
      </c>
      <c r="O71" s="1">
        <v>50039129</v>
      </c>
      <c r="P71" s="1" t="str">
        <f>"  سد ساز سيرجان"</f>
        <v xml:space="preserve">  سد ساز سيرجان</v>
      </c>
      <c r="Q71" s="1">
        <v>62</v>
      </c>
      <c r="R71" s="1" t="str">
        <f>"فروش داخلي - سازمان بنيادمسكن انقلاب اسلامي"</f>
        <v>فروش داخلي - سازمان بنيادمسكن انقلاب اسلامي</v>
      </c>
      <c r="S71" s="1" t="str">
        <f>"قرارداد فروش"</f>
        <v>قرارداد فروش</v>
      </c>
      <c r="T71" s="1" t="str">
        <f>"ندارد"</f>
        <v>ندارد</v>
      </c>
      <c r="U71" s="1" t="str">
        <f>"حاصليان ترابرجنوب مرتضي حاصلي (4844006)"</f>
        <v>حاصليان ترابرجنوب مرتضي حاصلي (4844006)</v>
      </c>
      <c r="V71" s="1">
        <v>966200760</v>
      </c>
      <c r="W71" s="1">
        <v>966200760</v>
      </c>
      <c r="X71" s="1" t="str">
        <f>"1396555465"</f>
        <v>1396555465</v>
      </c>
      <c r="Y71" s="1" t="str">
        <f>"96/12/27"</f>
        <v>96/12/27</v>
      </c>
      <c r="Z71" s="1" t="str">
        <f>"59993/د"</f>
        <v>59993/د</v>
      </c>
      <c r="AA71" s="1" t="str">
        <f>"بنيادمسكن انقلاب اسلامي"</f>
        <v>بنيادمسكن انقلاب اسلامي</v>
      </c>
      <c r="AB71" s="1" t="str">
        <f>"96/12/26"</f>
        <v>96/12/26</v>
      </c>
      <c r="AC71" s="1" t="str">
        <f>"استان كرمان"</f>
        <v>استان كرمان</v>
      </c>
      <c r="AD71" s="1" t="str">
        <f>"96/12/27"</f>
        <v>96/12/27</v>
      </c>
      <c r="AE71" s="1" t="str">
        <f>"اختتام"</f>
        <v>اختتام</v>
      </c>
      <c r="AF71" s="1" t="str">
        <f>""</f>
        <v/>
      </c>
      <c r="AG71" s="1" t="str">
        <f>""</f>
        <v/>
      </c>
      <c r="AH71" s="1" t="str">
        <f>""</f>
        <v/>
      </c>
      <c r="AI71" s="1" t="str">
        <f>""</f>
        <v/>
      </c>
      <c r="AJ71" s="1" t="str">
        <f>""</f>
        <v/>
      </c>
      <c r="AK71" s="1" t="str">
        <f>""</f>
        <v/>
      </c>
    </row>
    <row r="72" spans="1:37">
      <c r="A72" s="1">
        <v>70000</v>
      </c>
      <c r="B72" s="1">
        <v>966200039</v>
      </c>
      <c r="C72" s="1" t="str">
        <f>"تخليه -چمستان -ابتداي جاده لاويج -كارگاه پونل"</f>
        <v>تخليه -چمستان -ابتداي جاده لاويج -كارگاه پونل</v>
      </c>
      <c r="D72" s="1">
        <v>8918</v>
      </c>
      <c r="E72" s="1">
        <v>67660</v>
      </c>
      <c r="F72" s="1">
        <v>96</v>
      </c>
      <c r="G72" s="1">
        <v>2340</v>
      </c>
      <c r="H72" s="1" t="str">
        <f>"96/02/04"</f>
        <v>96/02/04</v>
      </c>
      <c r="I72" s="1" t="str">
        <f>"كيلوگرم"</f>
        <v>كيلوگرم</v>
      </c>
      <c r="J72" s="1" t="str">
        <f>"0000000076"</f>
        <v>0000000076</v>
      </c>
      <c r="K72" s="1" t="str">
        <f>"قير 60/70 - فله"</f>
        <v>قير 60/70 - فله</v>
      </c>
      <c r="L72" s="1">
        <v>100</v>
      </c>
      <c r="M72" s="1" t="str">
        <f>"مخازن قير اصفهان"</f>
        <v>مخازن قير اصفهان</v>
      </c>
      <c r="N72" s="1">
        <v>4040</v>
      </c>
      <c r="O72" s="1">
        <v>50034681</v>
      </c>
      <c r="P72" s="1" t="str">
        <f>"  ساختماني پونل"</f>
        <v xml:space="preserve">  ساختماني پونل</v>
      </c>
      <c r="Q72" s="1">
        <v>62</v>
      </c>
      <c r="R72" s="1" t="str">
        <f>"فروش داخلي - سازمان بنيادمسكن انقلاب اسلامي"</f>
        <v>فروش داخلي - سازمان بنيادمسكن انقلاب اسلامي</v>
      </c>
      <c r="S72" s="1" t="str">
        <f>"قرارداد فروش"</f>
        <v>قرارداد فروش</v>
      </c>
      <c r="T72" s="1" t="str">
        <f>"ندارد"</f>
        <v>ندارد</v>
      </c>
      <c r="U72" s="1" t="str">
        <f>"بهاري مرتضي (1881070)"</f>
        <v>بهاري مرتضي (1881070)</v>
      </c>
      <c r="V72" s="1">
        <v>966200039</v>
      </c>
      <c r="W72" s="1">
        <v>966200039</v>
      </c>
      <c r="X72" s="1" t="str">
        <f>"1396476390"</f>
        <v>1396476390</v>
      </c>
      <c r="Y72" s="1" t="str">
        <f>"96/02/04"</f>
        <v>96/02/04</v>
      </c>
      <c r="Z72" s="1" t="str">
        <f>"3301/د"</f>
        <v>3301/د</v>
      </c>
      <c r="AA72" s="1" t="str">
        <f>"بنيادمسكن انقلاب اسلامي"</f>
        <v>بنيادمسكن انقلاب اسلامي</v>
      </c>
      <c r="AB72" s="1" t="str">
        <f>"96/02/03"</f>
        <v>96/02/03</v>
      </c>
      <c r="AC72" s="1" t="str">
        <f>"استان مازندران"</f>
        <v>استان مازندران</v>
      </c>
      <c r="AD72" s="1" t="str">
        <f>"96/02/04"</f>
        <v>96/02/04</v>
      </c>
      <c r="AE72" s="1" t="str">
        <f>"اختتام"</f>
        <v>اختتام</v>
      </c>
      <c r="AF72" s="1" t="str">
        <f>""</f>
        <v/>
      </c>
      <c r="AG72" s="1" t="str">
        <f>""</f>
        <v/>
      </c>
      <c r="AH72" s="1" t="str">
        <f>""</f>
        <v/>
      </c>
      <c r="AI72" s="1" t="str">
        <f>""</f>
        <v/>
      </c>
      <c r="AJ72" s="1" t="str">
        <f>""</f>
        <v/>
      </c>
      <c r="AK72" s="1" t="str">
        <f>""</f>
        <v/>
      </c>
    </row>
    <row r="73" spans="1:37">
      <c r="A73" s="1">
        <v>65154</v>
      </c>
      <c r="B73" s="1">
        <v>962000267</v>
      </c>
      <c r="C73" s="1" t="str">
        <f>"تخليه -خراسان جنوبي -قاين اسفدن -شركت توس راديه"</f>
        <v>تخليه -خراسان جنوبي -قاين اسفدن -شركت توس راديه</v>
      </c>
      <c r="D73" s="1">
        <v>9113</v>
      </c>
      <c r="E73" s="1">
        <v>63591</v>
      </c>
      <c r="F73" s="1">
        <v>96</v>
      </c>
      <c r="G73" s="1">
        <v>1563</v>
      </c>
      <c r="H73" s="1" t="str">
        <f>"96/09/08"</f>
        <v>96/09/08</v>
      </c>
      <c r="I73" s="1" t="str">
        <f>"كيلوگرم"</f>
        <v>كيلوگرم</v>
      </c>
      <c r="J73" s="1" t="str">
        <f>"0000000076"</f>
        <v>0000000076</v>
      </c>
      <c r="K73" s="1" t="str">
        <f>"قير 60/70 - فله"</f>
        <v>قير 60/70 - فله</v>
      </c>
      <c r="L73" s="1">
        <v>100</v>
      </c>
      <c r="M73" s="1" t="str">
        <f>"مخازن قير اصفهان"</f>
        <v>مخازن قير اصفهان</v>
      </c>
      <c r="N73" s="1">
        <v>7307</v>
      </c>
      <c r="O73" s="1">
        <v>50037396</v>
      </c>
      <c r="P73" s="1" t="str">
        <f>"  شهرداري اسفدن"</f>
        <v xml:space="preserve">  شهرداري اسفدن</v>
      </c>
      <c r="Q73" s="1">
        <v>20</v>
      </c>
      <c r="R73" s="1" t="str">
        <f>"فروش داخلي - سازمان شهرداري ها و دهياري هاي كشور"</f>
        <v>فروش داخلي - سازمان شهرداري ها و دهياري هاي كشور</v>
      </c>
      <c r="S73" s="1" t="str">
        <f>"قرارداد فروش"</f>
        <v>قرارداد فروش</v>
      </c>
      <c r="T73" s="1" t="str">
        <f>"ندارد"</f>
        <v>ندارد</v>
      </c>
      <c r="U73" s="1" t="str">
        <f>"تعاوني جم گستر (1001 ج 89)"</f>
        <v>تعاوني جم گستر (1001 ج 89)</v>
      </c>
      <c r="V73" s="1">
        <v>962000267</v>
      </c>
      <c r="W73" s="1">
        <v>962000267</v>
      </c>
      <c r="X73" s="1" t="str">
        <f>"1396514467"</f>
        <v>1396514467</v>
      </c>
      <c r="Y73" s="1" t="str">
        <f>"96/09/08"</f>
        <v>96/09/08</v>
      </c>
      <c r="Z73" s="1" t="str">
        <f>"37090مرحله دوم"</f>
        <v>37090مرحله دوم</v>
      </c>
      <c r="AA73" s="1" t="str">
        <f>"شهرداريها"</f>
        <v>شهرداريها</v>
      </c>
      <c r="AB73" s="1" t="str">
        <f>"96/09/04"</f>
        <v>96/09/04</v>
      </c>
      <c r="AC73" s="1" t="str">
        <f>"خراسان جنوبي"</f>
        <v>خراسان جنوبي</v>
      </c>
      <c r="AD73" s="1" t="str">
        <f>"96/07/03"</f>
        <v>96/07/03</v>
      </c>
      <c r="AE73" s="1" t="str">
        <f>"اختتام"</f>
        <v>اختتام</v>
      </c>
      <c r="AF73" s="1" t="str">
        <f>""</f>
        <v/>
      </c>
      <c r="AG73" s="1" t="str">
        <f>""</f>
        <v/>
      </c>
      <c r="AH73" s="1" t="str">
        <f>""</f>
        <v/>
      </c>
      <c r="AI73" s="1" t="str">
        <f>""</f>
        <v/>
      </c>
      <c r="AJ73" s="1" t="str">
        <f>""</f>
        <v/>
      </c>
      <c r="AK73" s="1" t="str">
        <f>""</f>
        <v/>
      </c>
    </row>
    <row r="74" spans="1:37">
      <c r="A74" s="1">
        <v>63000</v>
      </c>
      <c r="B74" s="1">
        <v>961100042</v>
      </c>
      <c r="C74" s="1" t="str">
        <f>"تخليه -خراسان جنوبي -شهرستان قاين -كارخانه آسفالت شهرداري قاين"</f>
        <v>تخليه -خراسان جنوبي -شهرستان قاين -كارخانه آسفالت شهرداري قاين</v>
      </c>
      <c r="D74" s="1">
        <v>8704</v>
      </c>
      <c r="E74" s="1">
        <v>61740</v>
      </c>
      <c r="F74" s="1">
        <v>96</v>
      </c>
      <c r="G74" s="1">
        <v>1260</v>
      </c>
      <c r="H74" s="1" t="str">
        <f>"96/05/02"</f>
        <v>96/05/02</v>
      </c>
      <c r="I74" s="1" t="str">
        <f>"كيلوگرم"</f>
        <v>كيلوگرم</v>
      </c>
      <c r="J74" s="1" t="str">
        <f>"0000000076"</f>
        <v>0000000076</v>
      </c>
      <c r="K74" s="1" t="str">
        <f>"قير 60/70 - فله"</f>
        <v>قير 60/70 - فله</v>
      </c>
      <c r="L74" s="1">
        <v>100</v>
      </c>
      <c r="M74" s="1" t="str">
        <f>"مخازن قير اصفهان"</f>
        <v>مخازن قير اصفهان</v>
      </c>
      <c r="N74" s="1">
        <v>4046</v>
      </c>
      <c r="O74" s="1">
        <v>50035317</v>
      </c>
      <c r="P74" s="1" t="str">
        <f>"  شهرداري قاين"</f>
        <v xml:space="preserve">  شهرداري قاين</v>
      </c>
      <c r="Q74" s="1">
        <v>11</v>
      </c>
      <c r="R74" s="1" t="str">
        <f>"فروش داخلي تهران - بورس"</f>
        <v>فروش داخلي تهران - بورس</v>
      </c>
      <c r="S74" s="1" t="str">
        <f>"قرارداد فروش"</f>
        <v>قرارداد فروش</v>
      </c>
      <c r="T74" s="1" t="str">
        <f>"ندارد"</f>
        <v>ندارد</v>
      </c>
      <c r="U74" s="1" t="str">
        <f>"آقا علي منوچهر(1016ج89)"</f>
        <v>آقا علي منوچهر(1016ج89)</v>
      </c>
      <c r="V74" s="1">
        <v>961100042</v>
      </c>
      <c r="W74" s="1">
        <v>961100042</v>
      </c>
      <c r="X74" s="1" t="str">
        <f>"1396497275"</f>
        <v>1396497275</v>
      </c>
      <c r="Y74" s="1" t="str">
        <f>"96/05/02"</f>
        <v>96/05/02</v>
      </c>
      <c r="Z74" s="1" t="str">
        <f>"96-35872"</f>
        <v>96-35872</v>
      </c>
      <c r="AA74" s="1" t="str">
        <f>"شهرداريها"</f>
        <v>شهرداريها</v>
      </c>
      <c r="AB74" s="1" t="str">
        <f>"96/05/01"</f>
        <v>96/05/01</v>
      </c>
      <c r="AC74" s="1" t="str">
        <f>"خراسان جنوبي"</f>
        <v>خراسان جنوبي</v>
      </c>
      <c r="AD74" s="1" t="str">
        <f>"96/04/26"</f>
        <v>96/04/26</v>
      </c>
      <c r="AE74" s="1" t="str">
        <f>"اختتام"</f>
        <v>اختتام</v>
      </c>
      <c r="AF74" s="1" t="str">
        <f>""</f>
        <v/>
      </c>
      <c r="AG74" s="1" t="str">
        <f>""</f>
        <v/>
      </c>
      <c r="AH74" s="1" t="str">
        <f>""</f>
        <v/>
      </c>
      <c r="AI74" s="1" t="str">
        <f>""</f>
        <v/>
      </c>
      <c r="AJ74" s="1" t="str">
        <f>""</f>
        <v/>
      </c>
      <c r="AK74" s="1" t="str">
        <f>""</f>
        <v/>
      </c>
    </row>
    <row r="75" spans="1:37">
      <c r="A75" s="1">
        <v>221652</v>
      </c>
      <c r="B75" s="1">
        <v>962000146</v>
      </c>
      <c r="C75" s="1" t="str">
        <f>"تخليه -خراسان جنوبي -شهرستان قاين -كارخانه آسفالت شهرداري قاين"</f>
        <v>تخليه -خراسان جنوبي -شهرستان قاين -كارخانه آسفالت شهرداري قاين</v>
      </c>
      <c r="D75" s="1">
        <v>9113</v>
      </c>
      <c r="E75" s="1">
        <v>221652</v>
      </c>
      <c r="F75" s="1">
        <v>96</v>
      </c>
      <c r="G75" s="1">
        <v>0</v>
      </c>
      <c r="H75" s="1" t="str">
        <f>"96/07/03"</f>
        <v>96/07/03</v>
      </c>
      <c r="I75" s="1" t="str">
        <f>"كيلوگرم"</f>
        <v>كيلوگرم</v>
      </c>
      <c r="J75" s="1" t="str">
        <f>"0000000076"</f>
        <v>0000000076</v>
      </c>
      <c r="K75" s="1" t="str">
        <f>"قير 60/70 - فله"</f>
        <v>قير 60/70 - فله</v>
      </c>
      <c r="L75" s="1">
        <v>100</v>
      </c>
      <c r="M75" s="1" t="str">
        <f>"مخازن قير اصفهان"</f>
        <v>مخازن قير اصفهان</v>
      </c>
      <c r="N75" s="1">
        <v>4046</v>
      </c>
      <c r="O75" s="1">
        <v>50036339</v>
      </c>
      <c r="P75" s="1" t="str">
        <f>"  شهرداري قاين"</f>
        <v xml:space="preserve">  شهرداري قاين</v>
      </c>
      <c r="Q75" s="1">
        <v>20</v>
      </c>
      <c r="R75" s="1" t="str">
        <f>"فروش داخلي - سازمان شهرداري ها و دهياري هاي كشور"</f>
        <v>فروش داخلي - سازمان شهرداري ها و دهياري هاي كشور</v>
      </c>
      <c r="S75" s="1" t="str">
        <f>"قرارداد فروش"</f>
        <v>قرارداد فروش</v>
      </c>
      <c r="T75" s="1" t="str">
        <f>"ندارد"</f>
        <v>ندارد</v>
      </c>
      <c r="U75" s="1" t="str">
        <f>"تعاوني جم گستر (1001 ج 89)"</f>
        <v>تعاوني جم گستر (1001 ج 89)</v>
      </c>
      <c r="V75" s="1">
        <v>962000146</v>
      </c>
      <c r="W75" s="1">
        <v>962000146</v>
      </c>
      <c r="X75" s="1" t="str">
        <f>"1396514467"</f>
        <v>1396514467</v>
      </c>
      <c r="Y75" s="1" t="str">
        <f>"96/07/03"</f>
        <v>96/07/03</v>
      </c>
      <c r="Z75" s="1" t="str">
        <f>"26717مرحله اول"</f>
        <v>26717مرحله اول</v>
      </c>
      <c r="AA75" s="1" t="str">
        <f>"شهرداريها"</f>
        <v>شهرداريها</v>
      </c>
      <c r="AB75" s="1" t="str">
        <f>"96/06/29"</f>
        <v>96/06/29</v>
      </c>
      <c r="AC75" s="1" t="str">
        <f>"خراسان جنوبي"</f>
        <v>خراسان جنوبي</v>
      </c>
      <c r="AD75" s="1" t="str">
        <f>"96/07/03"</f>
        <v>96/07/03</v>
      </c>
      <c r="AE75" s="1" t="str">
        <f>"اختتام"</f>
        <v>اختتام</v>
      </c>
      <c r="AF75" s="1" t="str">
        <f>""</f>
        <v/>
      </c>
      <c r="AG75" s="1" t="str">
        <f>""</f>
        <v/>
      </c>
      <c r="AH75" s="1" t="str">
        <f>""</f>
        <v/>
      </c>
      <c r="AI75" s="1" t="str">
        <f>""</f>
        <v/>
      </c>
      <c r="AJ75" s="1" t="str">
        <f>""</f>
        <v/>
      </c>
      <c r="AK75" s="1" t="str">
        <f>""</f>
        <v/>
      </c>
    </row>
    <row r="76" spans="1:37">
      <c r="A76" s="1">
        <v>117755</v>
      </c>
      <c r="B76" s="1">
        <v>962000079</v>
      </c>
      <c r="C76" s="1" t="str">
        <f>"تخليه - اصفهان- گلپايگان-کيلومتر 5 جاده خوانسار شرکت صنعت راه گلپايگان"</f>
        <v>تخليه - اصفهان- گلپايگان-کيلومتر 5 جاده خوانسار شرکت صنعت راه گلپايگان</v>
      </c>
      <c r="D76" s="1">
        <v>9113</v>
      </c>
      <c r="E76" s="1">
        <v>117755</v>
      </c>
      <c r="F76" s="1">
        <v>96</v>
      </c>
      <c r="G76" s="1">
        <v>0</v>
      </c>
      <c r="H76" s="1" t="str">
        <f>"96/07/03"</f>
        <v>96/07/03</v>
      </c>
      <c r="I76" s="1" t="str">
        <f>"كيلوگرم"</f>
        <v>كيلوگرم</v>
      </c>
      <c r="J76" s="1" t="str">
        <f>"0000000076"</f>
        <v>0000000076</v>
      </c>
      <c r="K76" s="1" t="str">
        <f>"قير 60/70 - فله"</f>
        <v>قير 60/70 - فله</v>
      </c>
      <c r="L76" s="1">
        <v>100</v>
      </c>
      <c r="M76" s="1" t="str">
        <f>"مخازن قير اصفهان"</f>
        <v>مخازن قير اصفهان</v>
      </c>
      <c r="N76" s="1">
        <v>7186</v>
      </c>
      <c r="O76" s="1">
        <v>50036233</v>
      </c>
      <c r="P76" s="1" t="str">
        <f>"  شهرداري گلشهر"</f>
        <v xml:space="preserve">  شهرداري گلشهر</v>
      </c>
      <c r="Q76" s="1">
        <v>20</v>
      </c>
      <c r="R76" s="1" t="str">
        <f>"فروش داخلي - سازمان شهرداري ها و دهياري هاي كشور"</f>
        <v>فروش داخلي - سازمان شهرداري ها و دهياري هاي كشور</v>
      </c>
      <c r="S76" s="1" t="str">
        <f>"قرارداد فروش"</f>
        <v>قرارداد فروش</v>
      </c>
      <c r="T76" s="1" t="str">
        <f>"ندارد"</f>
        <v>ندارد</v>
      </c>
      <c r="U76" s="1" t="str">
        <f>"تعاوني جم گستر (1001 ج 89)"</f>
        <v>تعاوني جم گستر (1001 ج 89)</v>
      </c>
      <c r="V76" s="1">
        <v>962000079</v>
      </c>
      <c r="W76" s="1">
        <v>962000079</v>
      </c>
      <c r="X76" s="1" t="str">
        <f>"1396514467"</f>
        <v>1396514467</v>
      </c>
      <c r="Y76" s="1" t="str">
        <f>"96/07/03"</f>
        <v>96/07/03</v>
      </c>
      <c r="Z76" s="1" t="str">
        <f>"26674مرحله اول"</f>
        <v>26674مرحله اول</v>
      </c>
      <c r="AA76" s="1" t="str">
        <f>"شهرداريها"</f>
        <v>شهرداريها</v>
      </c>
      <c r="AB76" s="1" t="str">
        <f>"96/06/29"</f>
        <v>96/06/29</v>
      </c>
      <c r="AC76" s="1" t="str">
        <f>"استان اصفهان"</f>
        <v>استان اصفهان</v>
      </c>
      <c r="AD76" s="1" t="str">
        <f>"96/07/03"</f>
        <v>96/07/03</v>
      </c>
      <c r="AE76" s="1" t="str">
        <f>"اختتام"</f>
        <v>اختتام</v>
      </c>
      <c r="AF76" s="1" t="str">
        <f>""</f>
        <v/>
      </c>
      <c r="AG76" s="1" t="str">
        <f>""</f>
        <v/>
      </c>
      <c r="AH76" s="1" t="str">
        <f>""</f>
        <v/>
      </c>
      <c r="AI76" s="1" t="str">
        <f>""</f>
        <v/>
      </c>
      <c r="AJ76" s="1" t="str">
        <f>""</f>
        <v/>
      </c>
      <c r="AK76" s="1" t="str">
        <f>""</f>
        <v/>
      </c>
    </row>
    <row r="77" spans="1:37">
      <c r="A77" s="1">
        <v>41852</v>
      </c>
      <c r="B77" s="1">
        <v>962000463</v>
      </c>
      <c r="C77" s="1" t="str">
        <f>"تخليه - اصفهان- گلپايگان-کيلومتر 5 جاده خوانسار شرکت صنعت راه گلپايگان"</f>
        <v>تخليه - اصفهان- گلپايگان-کيلومتر 5 جاده خوانسار شرکت صنعت راه گلپايگان</v>
      </c>
      <c r="D77" s="1">
        <v>12820</v>
      </c>
      <c r="E77" s="1">
        <v>41852</v>
      </c>
      <c r="F77" s="1">
        <v>96</v>
      </c>
      <c r="G77" s="1">
        <v>0</v>
      </c>
      <c r="H77" s="1" t="str">
        <f>"96/09/20"</f>
        <v>96/09/20</v>
      </c>
      <c r="I77" s="1" t="str">
        <f>"كيلوگرم"</f>
        <v>كيلوگرم</v>
      </c>
      <c r="J77" s="1" t="str">
        <f>"0000000076"</f>
        <v>0000000076</v>
      </c>
      <c r="K77" s="1" t="str">
        <f>"قير 60/70 - فله"</f>
        <v>قير 60/70 - فله</v>
      </c>
      <c r="L77" s="1">
        <v>100</v>
      </c>
      <c r="M77" s="1" t="str">
        <f>"مخازن قير اصفهان"</f>
        <v>مخازن قير اصفهان</v>
      </c>
      <c r="N77" s="1">
        <v>7186</v>
      </c>
      <c r="O77" s="1">
        <v>50037785</v>
      </c>
      <c r="P77" s="1" t="str">
        <f>"  شهرداري گلشهر"</f>
        <v xml:space="preserve">  شهرداري گلشهر</v>
      </c>
      <c r="Q77" s="1">
        <v>20</v>
      </c>
      <c r="R77" s="1" t="str">
        <f>"فروش داخلي - سازمان شهرداري ها و دهياري هاي كشور"</f>
        <v>فروش داخلي - سازمان شهرداري ها و دهياري هاي كشور</v>
      </c>
      <c r="S77" s="1" t="str">
        <f>"قرارداد فروش"</f>
        <v>قرارداد فروش</v>
      </c>
      <c r="T77" s="1" t="str">
        <f>"ندارد"</f>
        <v>ندارد</v>
      </c>
      <c r="U77" s="1" t="str">
        <f>"تعاوني جم گستر (1001 ج 89)"</f>
        <v>تعاوني جم گستر (1001 ج 89)</v>
      </c>
      <c r="V77" s="1">
        <v>962000463</v>
      </c>
      <c r="W77" s="1">
        <v>962000463</v>
      </c>
      <c r="X77" s="1" t="str">
        <f>"1396529711"</f>
        <v>1396529711</v>
      </c>
      <c r="Y77" s="1" t="str">
        <f>"96/09/20"</f>
        <v>96/09/20</v>
      </c>
      <c r="Z77" s="1" t="str">
        <f>"37230مرحله دوم"</f>
        <v>37230مرحله دوم</v>
      </c>
      <c r="AA77" s="1" t="str">
        <f>"شهرداريها"</f>
        <v>شهرداريها</v>
      </c>
      <c r="AB77" s="1" t="str">
        <f>"96/09/05"</f>
        <v>96/09/05</v>
      </c>
      <c r="AC77" s="1" t="str">
        <f>"استان اصفهان"</f>
        <v>استان اصفهان</v>
      </c>
      <c r="AD77" s="1" t="str">
        <f>"96/09/13"</f>
        <v>96/09/13</v>
      </c>
      <c r="AE77" s="1" t="str">
        <f>"اختتام"</f>
        <v>اختتام</v>
      </c>
      <c r="AF77" s="1" t="str">
        <f>""</f>
        <v/>
      </c>
      <c r="AG77" s="1" t="str">
        <f>""</f>
        <v/>
      </c>
      <c r="AH77" s="1" t="str">
        <f>""</f>
        <v/>
      </c>
      <c r="AI77" s="1" t="str">
        <f>""</f>
        <v/>
      </c>
      <c r="AJ77" s="1" t="str">
        <f>""</f>
        <v/>
      </c>
      <c r="AK77" s="1" t="str">
        <f>""</f>
        <v/>
      </c>
    </row>
    <row r="78" spans="1:37">
      <c r="A78" s="1">
        <v>135000</v>
      </c>
      <c r="B78" s="1">
        <v>966200690</v>
      </c>
      <c r="C78" s="1" t="str">
        <f>"تخليه - يزد-اردکان-کيلومتر 7 جاده چک چک مسيرفرعي آسفالت هامون"</f>
        <v>تخليه - يزد-اردکان-کيلومتر 7 جاده چک چک مسيرفرعي آسفالت هامون</v>
      </c>
      <c r="D78" s="1">
        <v>13350</v>
      </c>
      <c r="E78" s="1">
        <v>135000</v>
      </c>
      <c r="F78" s="1">
        <v>96</v>
      </c>
      <c r="G78" s="1">
        <v>0</v>
      </c>
      <c r="H78" s="1" t="str">
        <f>"96/12/23"</f>
        <v>96/12/23</v>
      </c>
      <c r="I78" s="1" t="str">
        <f>"كيلوگرم"</f>
        <v>كيلوگرم</v>
      </c>
      <c r="J78" s="1" t="str">
        <f>"0000000076"</f>
        <v>0000000076</v>
      </c>
      <c r="K78" s="1" t="str">
        <f>"قير 60/70 - فله"</f>
        <v>قير 60/70 - فله</v>
      </c>
      <c r="L78" s="1">
        <v>100</v>
      </c>
      <c r="M78" s="1" t="str">
        <f>"مخازن قير اصفهان"</f>
        <v>مخازن قير اصفهان</v>
      </c>
      <c r="N78" s="1">
        <v>7227</v>
      </c>
      <c r="O78" s="1">
        <v>50038962</v>
      </c>
      <c r="P78" s="1" t="str">
        <f>"  يزدهموار"</f>
        <v xml:space="preserve">  يزدهموار</v>
      </c>
      <c r="Q78" s="1">
        <v>62</v>
      </c>
      <c r="R78" s="1" t="str">
        <f>"فروش داخلي - سازمان بنيادمسكن انقلاب اسلامي"</f>
        <v>فروش داخلي - سازمان بنيادمسكن انقلاب اسلامي</v>
      </c>
      <c r="S78" s="1" t="str">
        <f>"قرارداد فروش"</f>
        <v>قرارداد فروش</v>
      </c>
      <c r="T78" s="1" t="str">
        <f>"ندارد"</f>
        <v>ندارد</v>
      </c>
      <c r="U78" s="1" t="str">
        <f>"قانعي محمدرضا(1011ج89)"</f>
        <v>قانعي محمدرضا(1011ج89)</v>
      </c>
      <c r="V78" s="1">
        <v>966200690</v>
      </c>
      <c r="W78" s="1">
        <v>966200690</v>
      </c>
      <c r="X78" s="1" t="str">
        <f>"1396554554"</f>
        <v>1396554554</v>
      </c>
      <c r="Y78" s="1" t="str">
        <f>"96/12/23"</f>
        <v>96/12/23</v>
      </c>
      <c r="Z78" s="1" t="str">
        <f>"58759/د"</f>
        <v>58759/د</v>
      </c>
      <c r="AA78" s="1" t="str">
        <f>"بنيادمسكن انقلاب اسلامي"</f>
        <v>بنيادمسكن انقلاب اسلامي</v>
      </c>
      <c r="AB78" s="1" t="str">
        <f>"96/12/21"</f>
        <v>96/12/21</v>
      </c>
      <c r="AC78" s="1" t="str">
        <f>"استان يزد"</f>
        <v>استان يزد</v>
      </c>
      <c r="AD78" s="1" t="str">
        <f>"96/12/22"</f>
        <v>96/12/22</v>
      </c>
      <c r="AE78" s="1" t="str">
        <f>"اختتام"</f>
        <v>اختتام</v>
      </c>
      <c r="AF78" s="1" t="str">
        <f>""</f>
        <v/>
      </c>
      <c r="AG78" s="1" t="str">
        <f>""</f>
        <v/>
      </c>
      <c r="AH78" s="1" t="str">
        <f>""</f>
        <v/>
      </c>
      <c r="AI78" s="1" t="str">
        <f>""</f>
        <v/>
      </c>
      <c r="AJ78" s="1" t="str">
        <f>""</f>
        <v/>
      </c>
      <c r="AK78" s="1" t="str">
        <f>""</f>
        <v/>
      </c>
    </row>
    <row r="79" spans="1:37">
      <c r="A79" s="1">
        <v>83182</v>
      </c>
      <c r="B79" s="1">
        <v>962000243</v>
      </c>
      <c r="C79" s="1" t="str">
        <f>"تخليه يزدكيلومتر20جاده يزدكرمان شركت حريتاش"</f>
        <v>تخليه يزدكيلومتر20جاده يزدكرمان شركت حريتاش</v>
      </c>
      <c r="D79" s="1">
        <v>9113</v>
      </c>
      <c r="E79" s="1">
        <v>83182</v>
      </c>
      <c r="F79" s="1">
        <v>96</v>
      </c>
      <c r="G79" s="1">
        <v>0</v>
      </c>
      <c r="H79" s="1" t="str">
        <f>"96/09/07"</f>
        <v>96/09/07</v>
      </c>
      <c r="I79" s="1" t="str">
        <f>"كيلوگرم"</f>
        <v>كيلوگرم</v>
      </c>
      <c r="J79" s="1" t="str">
        <f>"0000000076"</f>
        <v>0000000076</v>
      </c>
      <c r="K79" s="1" t="str">
        <f>"قير 60/70 - فله"</f>
        <v>قير 60/70 - فله</v>
      </c>
      <c r="L79" s="1">
        <v>100</v>
      </c>
      <c r="M79" s="1" t="str">
        <f>"مخازن قير اصفهان"</f>
        <v>مخازن قير اصفهان</v>
      </c>
      <c r="N79" s="1">
        <v>7361</v>
      </c>
      <c r="O79" s="1">
        <v>50037294</v>
      </c>
      <c r="P79" s="1" t="str">
        <f>"  شهرداري مهريز"</f>
        <v xml:space="preserve">  شهرداري مهريز</v>
      </c>
      <c r="Q79" s="1">
        <v>20</v>
      </c>
      <c r="R79" s="1" t="str">
        <f>"فروش داخلي - سازمان شهرداري ها و دهياري هاي كشور"</f>
        <v>فروش داخلي - سازمان شهرداري ها و دهياري هاي كشور</v>
      </c>
      <c r="S79" s="1" t="str">
        <f>"قرارداد فروش"</f>
        <v>قرارداد فروش</v>
      </c>
      <c r="T79" s="1" t="str">
        <f>"ندارد"</f>
        <v>ندارد</v>
      </c>
      <c r="U79" s="1" t="str">
        <f>"تعاوني جم گستر (1001 ج 89)"</f>
        <v>تعاوني جم گستر (1001 ج 89)</v>
      </c>
      <c r="V79" s="1">
        <v>962000243</v>
      </c>
      <c r="W79" s="1">
        <v>962000243</v>
      </c>
      <c r="X79" s="1" t="str">
        <f>"1396514467"</f>
        <v>1396514467</v>
      </c>
      <c r="Y79" s="1" t="str">
        <f>"96/09/07"</f>
        <v>96/09/07</v>
      </c>
      <c r="Z79" s="1" t="str">
        <f>"36652مرحله دوم"</f>
        <v>36652مرحله دوم</v>
      </c>
      <c r="AA79" s="1" t="str">
        <f>"شهرداريها"</f>
        <v>شهرداريها</v>
      </c>
      <c r="AB79" s="1" t="str">
        <f>"96/09/01"</f>
        <v>96/09/01</v>
      </c>
      <c r="AC79" s="1" t="str">
        <f>"استان يزد"</f>
        <v>استان يزد</v>
      </c>
      <c r="AD79" s="1" t="str">
        <f>"96/07/03"</f>
        <v>96/07/03</v>
      </c>
      <c r="AE79" s="1" t="str">
        <f>"تاييدشده"</f>
        <v>تاييدشده</v>
      </c>
      <c r="AF79" s="1" t="str">
        <f>""</f>
        <v/>
      </c>
      <c r="AG79" s="1" t="str">
        <f>""</f>
        <v/>
      </c>
      <c r="AH79" s="1" t="str">
        <f>""</f>
        <v/>
      </c>
      <c r="AI79" s="1" t="str">
        <f>""</f>
        <v/>
      </c>
      <c r="AJ79" s="1" t="str">
        <f>""</f>
        <v/>
      </c>
      <c r="AK79" s="1" t="str">
        <f>""</f>
        <v/>
      </c>
    </row>
    <row r="80" spans="1:37">
      <c r="A80" s="1">
        <v>166364</v>
      </c>
      <c r="B80" s="1">
        <v>962000228</v>
      </c>
      <c r="C80" s="1" t="str">
        <f>"تخليه يزدكيلومتر20جاده يزدكرمان شركت حريتاش"</f>
        <v>تخليه يزدكيلومتر20جاده يزدكرمان شركت حريتاش</v>
      </c>
      <c r="D80" s="1">
        <v>9113</v>
      </c>
      <c r="E80" s="1">
        <v>166364</v>
      </c>
      <c r="F80" s="1">
        <v>96</v>
      </c>
      <c r="G80" s="1">
        <v>0</v>
      </c>
      <c r="H80" s="1" t="str">
        <f>"96/07/03"</f>
        <v>96/07/03</v>
      </c>
      <c r="I80" s="1" t="str">
        <f>"كيلوگرم"</f>
        <v>كيلوگرم</v>
      </c>
      <c r="J80" s="1" t="str">
        <f>"0000000076"</f>
        <v>0000000076</v>
      </c>
      <c r="K80" s="1" t="str">
        <f>"قير 60/70 - فله"</f>
        <v>قير 60/70 - فله</v>
      </c>
      <c r="L80" s="1">
        <v>100</v>
      </c>
      <c r="M80" s="1" t="str">
        <f>"مخازن قير اصفهان"</f>
        <v>مخازن قير اصفهان</v>
      </c>
      <c r="N80" s="1">
        <v>7361</v>
      </c>
      <c r="O80" s="1">
        <v>50036467</v>
      </c>
      <c r="P80" s="1" t="str">
        <f>"  شهرداري مهريز"</f>
        <v xml:space="preserve">  شهرداري مهريز</v>
      </c>
      <c r="Q80" s="1">
        <v>20</v>
      </c>
      <c r="R80" s="1" t="str">
        <f>"فروش داخلي - سازمان شهرداري ها و دهياري هاي كشور"</f>
        <v>فروش داخلي - سازمان شهرداري ها و دهياري هاي كشور</v>
      </c>
      <c r="S80" s="1" t="str">
        <f>"قرارداد فروش"</f>
        <v>قرارداد فروش</v>
      </c>
      <c r="T80" s="1" t="str">
        <f>"ندارد"</f>
        <v>ندارد</v>
      </c>
      <c r="U80" s="1" t="str">
        <f>"تعاوني جم گستر (1001 ج 89)"</f>
        <v>تعاوني جم گستر (1001 ج 89)</v>
      </c>
      <c r="V80" s="1">
        <v>962000228</v>
      </c>
      <c r="W80" s="1">
        <v>962000228</v>
      </c>
      <c r="X80" s="1" t="str">
        <f>"1396514467"</f>
        <v>1396514467</v>
      </c>
      <c r="Y80" s="1" t="str">
        <f>"96/07/03"</f>
        <v>96/07/03</v>
      </c>
      <c r="Z80" s="1" t="str">
        <f>"26643مرحله اول"</f>
        <v>26643مرحله اول</v>
      </c>
      <c r="AA80" s="1" t="str">
        <f>"شهرداريها"</f>
        <v>شهرداريها</v>
      </c>
      <c r="AB80" s="1" t="str">
        <f>"96/06/29"</f>
        <v>96/06/29</v>
      </c>
      <c r="AC80" s="1" t="str">
        <f>"استان يزد"</f>
        <v>استان يزد</v>
      </c>
      <c r="AD80" s="1" t="str">
        <f>"96/07/03"</f>
        <v>96/07/03</v>
      </c>
      <c r="AE80" s="1" t="str">
        <f>"اختتام"</f>
        <v>اختتام</v>
      </c>
      <c r="AF80" s="1" t="str">
        <f>""</f>
        <v/>
      </c>
      <c r="AG80" s="1" t="str">
        <f>""</f>
        <v/>
      </c>
      <c r="AH80" s="1" t="str">
        <f>""</f>
        <v/>
      </c>
      <c r="AI80" s="1" t="str">
        <f>""</f>
        <v/>
      </c>
      <c r="AJ80" s="1" t="str">
        <f>""</f>
        <v/>
      </c>
      <c r="AK80" s="1" t="str">
        <f>""</f>
        <v/>
      </c>
    </row>
    <row r="81" spans="1:37">
      <c r="A81" s="1">
        <v>76000</v>
      </c>
      <c r="B81" s="1">
        <v>966200563</v>
      </c>
      <c r="C81" s="1" t="str">
        <f>"تخليه -خراسان جنوبي -فردوس -خروجي به طرف سرايان كارخانه آسفالت توس راديه"</f>
        <v>تخليه -خراسان جنوبي -فردوس -خروجي به طرف سرايان كارخانه آسفالت توس راديه</v>
      </c>
      <c r="D81" s="1">
        <v>13200</v>
      </c>
      <c r="E81" s="1">
        <v>73100</v>
      </c>
      <c r="F81" s="1">
        <v>96</v>
      </c>
      <c r="G81" s="1">
        <v>2900</v>
      </c>
      <c r="H81" s="1" t="str">
        <f>"96/11/14"</f>
        <v>96/11/14</v>
      </c>
      <c r="I81" s="1" t="str">
        <f>"كيلوگرم"</f>
        <v>كيلوگرم</v>
      </c>
      <c r="J81" s="1" t="str">
        <f>"0000000076"</f>
        <v>0000000076</v>
      </c>
      <c r="K81" s="1" t="str">
        <f>"قير 60/70 - فله"</f>
        <v>قير 60/70 - فله</v>
      </c>
      <c r="L81" s="1">
        <v>100</v>
      </c>
      <c r="M81" s="1" t="str">
        <f>"مخازن قير اصفهان"</f>
        <v>مخازن قير اصفهان</v>
      </c>
      <c r="N81" s="1">
        <v>4060</v>
      </c>
      <c r="O81" s="1">
        <v>50038372</v>
      </c>
      <c r="P81" s="1" t="str">
        <f>"  توس راديه"</f>
        <v xml:space="preserve">  توس راديه</v>
      </c>
      <c r="Q81" s="1">
        <v>62</v>
      </c>
      <c r="R81" s="1" t="str">
        <f>"فروش داخلي - سازمان بنيادمسكن انقلاب اسلامي"</f>
        <v>فروش داخلي - سازمان بنيادمسكن انقلاب اسلامي</v>
      </c>
      <c r="S81" s="1" t="str">
        <f>"قرارداد فروش"</f>
        <v>قرارداد فروش</v>
      </c>
      <c r="T81" s="1" t="str">
        <f>"ندارد"</f>
        <v>ندارد</v>
      </c>
      <c r="U81" s="1" t="str">
        <f>"نظام دوست امين (1911102)"</f>
        <v>نظام دوست امين (1911102)</v>
      </c>
      <c r="V81" s="1">
        <v>966200563</v>
      </c>
      <c r="W81" s="1">
        <v>966200563</v>
      </c>
      <c r="X81" s="1" t="str">
        <f>"1396545121"</f>
        <v>1396545121</v>
      </c>
      <c r="Y81" s="1" t="str">
        <f>"96/11/14"</f>
        <v>96/11/14</v>
      </c>
      <c r="Z81" s="1" t="str">
        <f>"50746/د"</f>
        <v>50746/د</v>
      </c>
      <c r="AA81" s="1" t="str">
        <f>"بنيادمسكن انقلاب اسلامي"</f>
        <v>بنيادمسكن انقلاب اسلامي</v>
      </c>
      <c r="AB81" s="1" t="str">
        <f>"96/11/11"</f>
        <v>96/11/11</v>
      </c>
      <c r="AC81" s="1" t="str">
        <f>"خراسان جنوبي"</f>
        <v>خراسان جنوبي</v>
      </c>
      <c r="AD81" s="1" t="str">
        <f>"96/11/14"</f>
        <v>96/11/14</v>
      </c>
      <c r="AE81" s="1" t="str">
        <f>"اختتام"</f>
        <v>اختتام</v>
      </c>
      <c r="AF81" s="1" t="str">
        <f>""</f>
        <v/>
      </c>
      <c r="AG81" s="1" t="str">
        <f>""</f>
        <v/>
      </c>
      <c r="AH81" s="1" t="str">
        <f>""</f>
        <v/>
      </c>
      <c r="AI81" s="1" t="str">
        <f>""</f>
        <v/>
      </c>
      <c r="AJ81" s="1" t="str">
        <f>""</f>
        <v/>
      </c>
      <c r="AK81" s="1" t="str">
        <f>""</f>
        <v/>
      </c>
    </row>
    <row r="82" spans="1:37">
      <c r="A82" s="1">
        <v>132000</v>
      </c>
      <c r="B82" s="1">
        <v>966300034</v>
      </c>
      <c r="C82" s="1" t="str">
        <f>"اصفهان شهرک صنعتي مورچه خورت خ بوعلي انتهاي بوعلي پلاک 503"</f>
        <v>اصفهان شهرک صنعتي مورچه خورت خ بوعلي انتهاي بوعلي پلاک 503</v>
      </c>
      <c r="D82" s="1">
        <v>12820</v>
      </c>
      <c r="E82" s="1">
        <v>132000</v>
      </c>
      <c r="F82" s="1">
        <v>96</v>
      </c>
      <c r="G82" s="1">
        <v>0</v>
      </c>
      <c r="H82" s="1" t="str">
        <f>"96/09/13"</f>
        <v>96/09/13</v>
      </c>
      <c r="I82" s="1" t="str">
        <f>"كيلوگرم"</f>
        <v>كيلوگرم</v>
      </c>
      <c r="J82" s="1" t="str">
        <f>"0000000076"</f>
        <v>0000000076</v>
      </c>
      <c r="K82" s="1" t="str">
        <f>"قير 60/70 - فله"</f>
        <v>قير 60/70 - فله</v>
      </c>
      <c r="L82" s="1">
        <v>100</v>
      </c>
      <c r="M82" s="1" t="str">
        <f>"مخازن قير اصفهان"</f>
        <v>مخازن قير اصفهان</v>
      </c>
      <c r="N82" s="1">
        <v>7056</v>
      </c>
      <c r="O82" s="1">
        <v>50037447</v>
      </c>
      <c r="P82" s="1" t="str">
        <f>"  عايق بام سايبان"</f>
        <v xml:space="preserve">  عايق بام سايبان</v>
      </c>
      <c r="Q82" s="1">
        <v>63</v>
      </c>
      <c r="R82" s="1" t="str">
        <f>"سازمان نوسازي،توسعه و تجهيز مدارس كشور"</f>
        <v>سازمان نوسازي،توسعه و تجهيز مدارس كشور</v>
      </c>
      <c r="S82" s="1" t="str">
        <f>"قرارداد فروش"</f>
        <v>قرارداد فروش</v>
      </c>
      <c r="T82" s="1" t="str">
        <f>"ندارد"</f>
        <v>ندارد</v>
      </c>
      <c r="U82" s="1" t="str">
        <f>"اسماعيلي پور امين (1013ج89)"</f>
        <v>اسماعيلي پور امين (1013ج89)</v>
      </c>
      <c r="V82" s="1">
        <v>966300034</v>
      </c>
      <c r="W82" s="1">
        <v>966300034</v>
      </c>
      <c r="X82" s="1" t="str">
        <f>"1396529406"</f>
        <v>1396529406</v>
      </c>
      <c r="Y82" s="1" t="str">
        <f>"96/09/13"</f>
        <v>96/09/13</v>
      </c>
      <c r="Z82" s="1" t="str">
        <f>"3-96/424-23016"</f>
        <v>3-96/424-23016</v>
      </c>
      <c r="AA82" s="1" t="str">
        <f>"سازمان نوسازي توسعه وتجهيزمدارس كشور"</f>
        <v>سازمان نوسازي توسعه وتجهيزمدارس كشور</v>
      </c>
      <c r="AB82" s="1" t="str">
        <f>"96/09/04"</f>
        <v>96/09/04</v>
      </c>
      <c r="AC82" s="1" t="str">
        <f>"استان اصفهان"</f>
        <v>استان اصفهان</v>
      </c>
      <c r="AD82" s="1" t="str">
        <f>"96/09/11"</f>
        <v>96/09/11</v>
      </c>
      <c r="AE82" s="1" t="str">
        <f>"اختتام"</f>
        <v>اختتام</v>
      </c>
      <c r="AF82" s="1" t="str">
        <f>""</f>
        <v/>
      </c>
      <c r="AG82" s="1" t="str">
        <f>""</f>
        <v/>
      </c>
      <c r="AH82" s="1" t="str">
        <f>""</f>
        <v/>
      </c>
      <c r="AI82" s="1" t="str">
        <f>""</f>
        <v/>
      </c>
      <c r="AJ82" s="1" t="str">
        <f>""</f>
        <v/>
      </c>
      <c r="AK82" s="1" t="str">
        <f>""</f>
        <v/>
      </c>
    </row>
    <row r="83" spans="1:37">
      <c r="A83" s="1">
        <v>90000</v>
      </c>
      <c r="B83" s="1">
        <v>966200691</v>
      </c>
      <c r="C83" s="1" t="str">
        <f>"تخليه - يزد-اردکان-کيلومتر 7 جاده چک چک مسيرفرعي آسفالت هامون"</f>
        <v>تخليه - يزد-اردکان-کيلومتر 7 جاده چک چک مسيرفرعي آسفالت هامون</v>
      </c>
      <c r="D83" s="1">
        <v>13350</v>
      </c>
      <c r="E83" s="1">
        <v>90000</v>
      </c>
      <c r="F83" s="1">
        <v>96</v>
      </c>
      <c r="G83" s="1">
        <v>0</v>
      </c>
      <c r="H83" s="1" t="str">
        <f>"96/12/23"</f>
        <v>96/12/23</v>
      </c>
      <c r="I83" s="1" t="str">
        <f>"كيلوگرم"</f>
        <v>كيلوگرم</v>
      </c>
      <c r="J83" s="1" t="str">
        <f>"0000000076"</f>
        <v>0000000076</v>
      </c>
      <c r="K83" s="1" t="str">
        <f>"قير 60/70 - فله"</f>
        <v>قير 60/70 - فله</v>
      </c>
      <c r="L83" s="1">
        <v>100</v>
      </c>
      <c r="M83" s="1" t="str">
        <f>"مخازن قير اصفهان"</f>
        <v>مخازن قير اصفهان</v>
      </c>
      <c r="N83" s="1">
        <v>7227</v>
      </c>
      <c r="O83" s="1">
        <v>50038965</v>
      </c>
      <c r="P83" s="1" t="str">
        <f>"  يزدهموار"</f>
        <v xml:space="preserve">  يزدهموار</v>
      </c>
      <c r="Q83" s="1">
        <v>62</v>
      </c>
      <c r="R83" s="1" t="str">
        <f>"فروش داخلي - سازمان بنيادمسكن انقلاب اسلامي"</f>
        <v>فروش داخلي - سازمان بنيادمسكن انقلاب اسلامي</v>
      </c>
      <c r="S83" s="1" t="str">
        <f>"قرارداد فروش"</f>
        <v>قرارداد فروش</v>
      </c>
      <c r="T83" s="1" t="str">
        <f>"ندارد"</f>
        <v>ندارد</v>
      </c>
      <c r="U83" s="1" t="str">
        <f>"قانعي محمدرضا(1011ج89)"</f>
        <v>قانعي محمدرضا(1011ج89)</v>
      </c>
      <c r="V83" s="1">
        <v>966200691</v>
      </c>
      <c r="W83" s="1">
        <v>966200691</v>
      </c>
      <c r="X83" s="1" t="str">
        <f>"1396554554"</f>
        <v>1396554554</v>
      </c>
      <c r="Y83" s="1" t="str">
        <f>"96/12/23"</f>
        <v>96/12/23</v>
      </c>
      <c r="Z83" s="1" t="str">
        <f>"58758/د"</f>
        <v>58758/د</v>
      </c>
      <c r="AA83" s="1" t="str">
        <f>"بنيادمسكن انقلاب اسلامي"</f>
        <v>بنيادمسكن انقلاب اسلامي</v>
      </c>
      <c r="AB83" s="1" t="str">
        <f>"96/12/21"</f>
        <v>96/12/21</v>
      </c>
      <c r="AC83" s="1" t="str">
        <f>"استان يزد"</f>
        <v>استان يزد</v>
      </c>
      <c r="AD83" s="1" t="str">
        <f>"96/12/22"</f>
        <v>96/12/22</v>
      </c>
      <c r="AE83" s="1" t="str">
        <f>"اختتام"</f>
        <v>اختتام</v>
      </c>
      <c r="AF83" s="1" t="str">
        <f>""</f>
        <v/>
      </c>
      <c r="AG83" s="1" t="str">
        <f>""</f>
        <v/>
      </c>
      <c r="AH83" s="1" t="str">
        <f>""</f>
        <v/>
      </c>
      <c r="AI83" s="1" t="str">
        <f>""</f>
        <v/>
      </c>
      <c r="AJ83" s="1" t="str">
        <f>""</f>
        <v/>
      </c>
      <c r="AK83" s="1" t="str">
        <f>""</f>
        <v/>
      </c>
    </row>
    <row r="84" spans="1:37">
      <c r="A84" s="1">
        <v>156823</v>
      </c>
      <c r="B84" s="1">
        <v>962000138</v>
      </c>
      <c r="C84" s="1" t="str">
        <f>"تخليه -خراسان جنوبي -كيلومتر5جاده فردوس -سرايان كارخانه آسفالت شهرداري سرايان"</f>
        <v>تخليه -خراسان جنوبي -كيلومتر5جاده فردوس -سرايان كارخانه آسفالت شهرداري سرايان</v>
      </c>
      <c r="D84" s="1">
        <v>9113</v>
      </c>
      <c r="E84" s="1">
        <v>156823</v>
      </c>
      <c r="F84" s="1">
        <v>96</v>
      </c>
      <c r="G84" s="1">
        <v>0</v>
      </c>
      <c r="H84" s="1" t="str">
        <f>"96/07/03"</f>
        <v>96/07/03</v>
      </c>
      <c r="I84" s="1" t="str">
        <f>"كيلوگرم"</f>
        <v>كيلوگرم</v>
      </c>
      <c r="J84" s="1" t="str">
        <f>"0000000076"</f>
        <v>0000000076</v>
      </c>
      <c r="K84" s="1" t="str">
        <f>"قير 60/70 - فله"</f>
        <v>قير 60/70 - فله</v>
      </c>
      <c r="L84" s="1">
        <v>100</v>
      </c>
      <c r="M84" s="1" t="str">
        <f>"مخازن قير اصفهان"</f>
        <v>مخازن قير اصفهان</v>
      </c>
      <c r="N84" s="1">
        <v>7170</v>
      </c>
      <c r="O84" s="1">
        <v>50036326</v>
      </c>
      <c r="P84" s="1" t="str">
        <f>"  شهرداري سرايان"</f>
        <v xml:space="preserve">  شهرداري سرايان</v>
      </c>
      <c r="Q84" s="1">
        <v>20</v>
      </c>
      <c r="R84" s="1" t="str">
        <f>"فروش داخلي - سازمان شهرداري ها و دهياري هاي كشور"</f>
        <v>فروش داخلي - سازمان شهرداري ها و دهياري هاي كشور</v>
      </c>
      <c r="S84" s="1" t="str">
        <f>"قرارداد فروش"</f>
        <v>قرارداد فروش</v>
      </c>
      <c r="T84" s="1" t="str">
        <f>"ندارد"</f>
        <v>ندارد</v>
      </c>
      <c r="U84" s="1" t="str">
        <f>"تعاوني جم گستر (1001 ج 89)"</f>
        <v>تعاوني جم گستر (1001 ج 89)</v>
      </c>
      <c r="V84" s="1">
        <v>962000138</v>
      </c>
      <c r="W84" s="1">
        <v>962000138</v>
      </c>
      <c r="X84" s="1" t="str">
        <f>"1396514467"</f>
        <v>1396514467</v>
      </c>
      <c r="Y84" s="1" t="str">
        <f>"96/07/03"</f>
        <v>96/07/03</v>
      </c>
      <c r="Z84" s="1" t="str">
        <f>"26727مرحله اول"</f>
        <v>26727مرحله اول</v>
      </c>
      <c r="AA84" s="1" t="str">
        <f>"شهرداريها"</f>
        <v>شهرداريها</v>
      </c>
      <c r="AB84" s="1" t="str">
        <f>"96/06/29"</f>
        <v>96/06/29</v>
      </c>
      <c r="AC84" s="1" t="str">
        <f>"خراسان جنوبي"</f>
        <v>خراسان جنوبي</v>
      </c>
      <c r="AD84" s="1" t="str">
        <f>"96/07/03"</f>
        <v>96/07/03</v>
      </c>
      <c r="AE84" s="1" t="str">
        <f>"اختتام"</f>
        <v>اختتام</v>
      </c>
      <c r="AF84" s="1" t="str">
        <f>""</f>
        <v/>
      </c>
      <c r="AG84" s="1" t="str">
        <f>""</f>
        <v/>
      </c>
      <c r="AH84" s="1" t="str">
        <f>""</f>
        <v/>
      </c>
      <c r="AI84" s="1" t="str">
        <f>""</f>
        <v/>
      </c>
      <c r="AJ84" s="1" t="str">
        <f>""</f>
        <v/>
      </c>
      <c r="AK84" s="1" t="str">
        <f>""</f>
        <v/>
      </c>
    </row>
    <row r="85" spans="1:37">
      <c r="A85" s="1">
        <v>97167</v>
      </c>
      <c r="B85" s="1">
        <v>962000087</v>
      </c>
      <c r="C85" s="1" t="str">
        <f>"تخليه -اصفهان -كيلومتر10جاده اصفهان -ميمه -شركت خاكپي -محمدرضامزروعي"</f>
        <v>تخليه -اصفهان -كيلومتر10جاده اصفهان -ميمه -شركت خاكپي -محمدرضامزروعي</v>
      </c>
      <c r="D85" s="1">
        <v>9113</v>
      </c>
      <c r="E85" s="1">
        <v>97167</v>
      </c>
      <c r="F85" s="1">
        <v>96</v>
      </c>
      <c r="G85" s="1">
        <v>0</v>
      </c>
      <c r="H85" s="1" t="str">
        <f>"96/07/03"</f>
        <v>96/07/03</v>
      </c>
      <c r="I85" s="1" t="str">
        <f>"كيلوگرم"</f>
        <v>كيلوگرم</v>
      </c>
      <c r="J85" s="1" t="str">
        <f>"0000000076"</f>
        <v>0000000076</v>
      </c>
      <c r="K85" s="1" t="str">
        <f>"قير 60/70 - فله"</f>
        <v>قير 60/70 - فله</v>
      </c>
      <c r="L85" s="1">
        <v>100</v>
      </c>
      <c r="M85" s="1" t="str">
        <f>"مخازن قير اصفهان"</f>
        <v>مخازن قير اصفهان</v>
      </c>
      <c r="N85" s="1">
        <v>7314</v>
      </c>
      <c r="O85" s="1">
        <v>50036241</v>
      </c>
      <c r="P85" s="1" t="str">
        <f>"  شهرداري ميمه"</f>
        <v xml:space="preserve">  شهرداري ميمه</v>
      </c>
      <c r="Q85" s="1">
        <v>20</v>
      </c>
      <c r="R85" s="1" t="str">
        <f>"فروش داخلي - سازمان شهرداري ها و دهياري هاي كشور"</f>
        <v>فروش داخلي - سازمان شهرداري ها و دهياري هاي كشور</v>
      </c>
      <c r="S85" s="1" t="str">
        <f>"قرارداد فروش"</f>
        <v>قرارداد فروش</v>
      </c>
      <c r="T85" s="1" t="str">
        <f>"ندارد"</f>
        <v>ندارد</v>
      </c>
      <c r="U85" s="1" t="str">
        <f>"تعاوني جم گستر (1001 ج 89)"</f>
        <v>تعاوني جم گستر (1001 ج 89)</v>
      </c>
      <c r="V85" s="1">
        <v>962000087</v>
      </c>
      <c r="W85" s="1">
        <v>962000087</v>
      </c>
      <c r="X85" s="1" t="str">
        <f>"1396514467"</f>
        <v>1396514467</v>
      </c>
      <c r="Y85" s="1" t="str">
        <f>"96/07/03"</f>
        <v>96/07/03</v>
      </c>
      <c r="Z85" s="1" t="str">
        <f>"26642مرحله اول"</f>
        <v>26642مرحله اول</v>
      </c>
      <c r="AA85" s="1" t="str">
        <f>"شهرداريها"</f>
        <v>شهرداريها</v>
      </c>
      <c r="AB85" s="1" t="str">
        <f>"96/06/29"</f>
        <v>96/06/29</v>
      </c>
      <c r="AC85" s="1" t="str">
        <f>"استان اصفهان"</f>
        <v>استان اصفهان</v>
      </c>
      <c r="AD85" s="1" t="str">
        <f>"96/07/03"</f>
        <v>96/07/03</v>
      </c>
      <c r="AE85" s="1" t="str">
        <f>"اختتام"</f>
        <v>اختتام</v>
      </c>
      <c r="AF85" s="1" t="str">
        <f>""</f>
        <v/>
      </c>
      <c r="AG85" s="1" t="str">
        <f>""</f>
        <v/>
      </c>
      <c r="AH85" s="1" t="str">
        <f>""</f>
        <v/>
      </c>
      <c r="AI85" s="1" t="str">
        <f>""</f>
        <v/>
      </c>
      <c r="AJ85" s="1" t="str">
        <f>""</f>
        <v/>
      </c>
      <c r="AK85" s="1" t="str">
        <f>""</f>
        <v/>
      </c>
    </row>
    <row r="86" spans="1:37">
      <c r="A86" s="1">
        <v>300000</v>
      </c>
      <c r="B86" s="1">
        <v>961100074</v>
      </c>
      <c r="C86" s="1" t="str">
        <f>"تخليه -تهران -فرودگاه بين المللي امام خميني"</f>
        <v>تخليه -تهران -فرودگاه بين المللي امام خميني</v>
      </c>
      <c r="D86" s="1">
        <v>9113</v>
      </c>
      <c r="E86" s="1">
        <v>297380</v>
      </c>
      <c r="F86" s="1">
        <v>96</v>
      </c>
      <c r="G86" s="1">
        <v>2620</v>
      </c>
      <c r="H86" s="1" t="str">
        <f>"96/07/18"</f>
        <v>96/07/18</v>
      </c>
      <c r="I86" s="1" t="str">
        <f>"كيلوگرم"</f>
        <v>كيلوگرم</v>
      </c>
      <c r="J86" s="1" t="str">
        <f>"0000000076"</f>
        <v>0000000076</v>
      </c>
      <c r="K86" s="1" t="str">
        <f>"قير 60/70 - فله"</f>
        <v>قير 60/70 - فله</v>
      </c>
      <c r="L86" s="1">
        <v>100</v>
      </c>
      <c r="M86" s="1" t="str">
        <f>"مخازن قير اصفهان"</f>
        <v>مخازن قير اصفهان</v>
      </c>
      <c r="N86" s="1">
        <v>8025</v>
      </c>
      <c r="O86" s="1">
        <v>50036660</v>
      </c>
      <c r="P86" s="1" t="str">
        <f>"  ملي ساختمان"</f>
        <v xml:space="preserve">  ملي ساختمان</v>
      </c>
      <c r="Q86" s="1">
        <v>11</v>
      </c>
      <c r="R86" s="1" t="str">
        <f>"فروش داخلي تهران - بورس"</f>
        <v>فروش داخلي تهران - بورس</v>
      </c>
      <c r="S86" s="1" t="str">
        <f>"قرارداد فروش"</f>
        <v>قرارداد فروش</v>
      </c>
      <c r="T86" s="1" t="str">
        <f>"ندارد"</f>
        <v>ندارد</v>
      </c>
      <c r="U86" s="1" t="str">
        <f>"حسيني علي(1841001)"</f>
        <v>حسيني علي(1841001)</v>
      </c>
      <c r="V86" s="1">
        <v>961100074</v>
      </c>
      <c r="W86" s="1">
        <v>961100074</v>
      </c>
      <c r="X86" s="1" t="str">
        <f>"1396516792"</f>
        <v>1396516792</v>
      </c>
      <c r="Y86" s="1" t="str">
        <f>"96/07/17"</f>
        <v>96/07/17</v>
      </c>
      <c r="Z86" s="1" t="str">
        <f>"96-36340"</f>
        <v>96-36340</v>
      </c>
      <c r="AA86" s="1" t="str">
        <f>"راه سازي"</f>
        <v>راه سازي</v>
      </c>
      <c r="AB86" s="1" t="str">
        <f>"96/07/17"</f>
        <v>96/07/17</v>
      </c>
      <c r="AC86" s="1" t="str">
        <f>"استان تهران"</f>
        <v>استان تهران</v>
      </c>
      <c r="AD86" s="1" t="str">
        <f>"96/07/12"</f>
        <v>96/07/12</v>
      </c>
      <c r="AE86" s="1" t="str">
        <f>"اختتام"</f>
        <v>اختتام</v>
      </c>
      <c r="AF86" s="1" t="str">
        <f>""</f>
        <v/>
      </c>
      <c r="AG86" s="1" t="str">
        <f>""</f>
        <v/>
      </c>
      <c r="AH86" s="1" t="str">
        <f>""</f>
        <v/>
      </c>
      <c r="AI86" s="1" t="str">
        <f>""</f>
        <v/>
      </c>
      <c r="AJ86" s="1" t="str">
        <f>""</f>
        <v/>
      </c>
      <c r="AK86" s="1" t="str">
        <f>""</f>
        <v/>
      </c>
    </row>
    <row r="87" spans="1:37">
      <c r="A87" s="1">
        <v>34535</v>
      </c>
      <c r="B87" s="1">
        <v>962000441</v>
      </c>
      <c r="C87" s="1" t="str">
        <f>"تخليه -اصفهان -كيلومتر10جاده اصفهان -ميمه -شركت خاكپي -محمدرضامزروعي"</f>
        <v>تخليه -اصفهان -كيلومتر10جاده اصفهان -ميمه -شركت خاكپي -محمدرضامزروعي</v>
      </c>
      <c r="D87" s="1">
        <v>12820</v>
      </c>
      <c r="E87" s="1">
        <v>34535</v>
      </c>
      <c r="F87" s="1">
        <v>96</v>
      </c>
      <c r="G87" s="1">
        <v>0</v>
      </c>
      <c r="H87" s="1" t="str">
        <f>"96/09/20"</f>
        <v>96/09/20</v>
      </c>
      <c r="I87" s="1" t="str">
        <f>"كيلوگرم"</f>
        <v>كيلوگرم</v>
      </c>
      <c r="J87" s="1" t="str">
        <f>"0000000076"</f>
        <v>0000000076</v>
      </c>
      <c r="K87" s="1" t="str">
        <f>"قير 60/70 - فله"</f>
        <v>قير 60/70 - فله</v>
      </c>
      <c r="L87" s="1">
        <v>100</v>
      </c>
      <c r="M87" s="1" t="str">
        <f>"مخازن قير اصفهان"</f>
        <v>مخازن قير اصفهان</v>
      </c>
      <c r="N87" s="1">
        <v>7314</v>
      </c>
      <c r="O87" s="1">
        <v>50037763</v>
      </c>
      <c r="P87" s="1" t="str">
        <f>"  شهرداري ميمه"</f>
        <v xml:space="preserve">  شهرداري ميمه</v>
      </c>
      <c r="Q87" s="1">
        <v>20</v>
      </c>
      <c r="R87" s="1" t="str">
        <f>"فروش داخلي - سازمان شهرداري ها و دهياري هاي كشور"</f>
        <v>فروش داخلي - سازمان شهرداري ها و دهياري هاي كشور</v>
      </c>
      <c r="S87" s="1" t="str">
        <f>"قرارداد فروش"</f>
        <v>قرارداد فروش</v>
      </c>
      <c r="T87" s="1" t="str">
        <f>"ندارد"</f>
        <v>ندارد</v>
      </c>
      <c r="U87" s="1" t="str">
        <f>"تعاوني جم گستر (1001 ج 89)"</f>
        <v>تعاوني جم گستر (1001 ج 89)</v>
      </c>
      <c r="V87" s="1">
        <v>962000441</v>
      </c>
      <c r="W87" s="1">
        <v>962000441</v>
      </c>
      <c r="X87" s="1" t="str">
        <f>"1396529711"</f>
        <v>1396529711</v>
      </c>
      <c r="Y87" s="1" t="str">
        <f>"96/09/20"</f>
        <v>96/09/20</v>
      </c>
      <c r="Z87" s="1" t="str">
        <f>"37251مرحله دوم"</f>
        <v>37251مرحله دوم</v>
      </c>
      <c r="AA87" s="1" t="str">
        <f>"شهرداريها"</f>
        <v>شهرداريها</v>
      </c>
      <c r="AB87" s="1" t="str">
        <f>"96/09/05"</f>
        <v>96/09/05</v>
      </c>
      <c r="AC87" s="1" t="str">
        <f>"استان اصفهان"</f>
        <v>استان اصفهان</v>
      </c>
      <c r="AD87" s="1" t="str">
        <f>"96/09/13"</f>
        <v>96/09/13</v>
      </c>
      <c r="AE87" s="1" t="str">
        <f>"اختتام"</f>
        <v>اختتام</v>
      </c>
      <c r="AF87" s="1" t="str">
        <f>""</f>
        <v/>
      </c>
      <c r="AG87" s="1" t="str">
        <f>""</f>
        <v/>
      </c>
      <c r="AH87" s="1" t="str">
        <f>""</f>
        <v/>
      </c>
      <c r="AI87" s="1" t="str">
        <f>""</f>
        <v/>
      </c>
      <c r="AJ87" s="1" t="str">
        <f>""</f>
        <v/>
      </c>
      <c r="AK87" s="1" t="str">
        <f>""</f>
        <v/>
      </c>
    </row>
    <row r="88" spans="1:37">
      <c r="A88" s="1">
        <v>144219</v>
      </c>
      <c r="B88" s="1">
        <v>962000182</v>
      </c>
      <c r="C88" s="1" t="str">
        <f>"تخليه خراسان رضوي كيلومتر12جاده گنابادفردوس كارخانه آسفالت كيهان راه شرق"</f>
        <v>تخليه خراسان رضوي كيلومتر12جاده گنابادفردوس كارخانه آسفالت كيهان راه شرق</v>
      </c>
      <c r="D88" s="1">
        <v>9113</v>
      </c>
      <c r="E88" s="1">
        <v>144219</v>
      </c>
      <c r="F88" s="1">
        <v>96</v>
      </c>
      <c r="G88" s="1">
        <v>0</v>
      </c>
      <c r="H88" s="1" t="str">
        <f>"96/07/03"</f>
        <v>96/07/03</v>
      </c>
      <c r="I88" s="1" t="str">
        <f>"كيلوگرم"</f>
        <v>كيلوگرم</v>
      </c>
      <c r="J88" s="1" t="str">
        <f>"0000000076"</f>
        <v>0000000076</v>
      </c>
      <c r="K88" s="1" t="str">
        <f>"قير 60/70 - فله"</f>
        <v>قير 60/70 - فله</v>
      </c>
      <c r="L88" s="1">
        <v>100</v>
      </c>
      <c r="M88" s="1" t="str">
        <f>"مخازن قير اصفهان"</f>
        <v>مخازن قير اصفهان</v>
      </c>
      <c r="N88" s="1">
        <v>4145</v>
      </c>
      <c r="O88" s="1">
        <v>50036387</v>
      </c>
      <c r="P88" s="1" t="str">
        <f>"  شهرداري فيض آباد"</f>
        <v xml:space="preserve">  شهرداري فيض آباد</v>
      </c>
      <c r="Q88" s="1">
        <v>20</v>
      </c>
      <c r="R88" s="1" t="str">
        <f>"فروش داخلي - سازمان شهرداري ها و دهياري هاي كشور"</f>
        <v>فروش داخلي - سازمان شهرداري ها و دهياري هاي كشور</v>
      </c>
      <c r="S88" s="1" t="str">
        <f>"قرارداد فروش"</f>
        <v>قرارداد فروش</v>
      </c>
      <c r="T88" s="1" t="str">
        <f>"ندارد"</f>
        <v>ندارد</v>
      </c>
      <c r="U88" s="1" t="str">
        <f>"تعاوني جم گستر (1001 ج 89)"</f>
        <v>تعاوني جم گستر (1001 ج 89)</v>
      </c>
      <c r="V88" s="1">
        <v>962000182</v>
      </c>
      <c r="W88" s="1">
        <v>962000182</v>
      </c>
      <c r="X88" s="1" t="str">
        <f>"1396514467"</f>
        <v>1396514467</v>
      </c>
      <c r="Y88" s="1" t="str">
        <f>"96/07/03"</f>
        <v>96/07/03</v>
      </c>
      <c r="Z88" s="1" t="str">
        <f>"26705مرحله اول"</f>
        <v>26705مرحله اول</v>
      </c>
      <c r="AA88" s="1" t="str">
        <f>"شهرداريها"</f>
        <v>شهرداريها</v>
      </c>
      <c r="AB88" s="1" t="str">
        <f>"96/06/29"</f>
        <v>96/06/29</v>
      </c>
      <c r="AC88" s="1" t="str">
        <f>"خراسان رضوي"</f>
        <v>خراسان رضوي</v>
      </c>
      <c r="AD88" s="1" t="str">
        <f>"96/07/03"</f>
        <v>96/07/03</v>
      </c>
      <c r="AE88" s="1" t="str">
        <f>"اختتام"</f>
        <v>اختتام</v>
      </c>
      <c r="AF88" s="1" t="str">
        <f>""</f>
        <v/>
      </c>
      <c r="AG88" s="1" t="str">
        <f>""</f>
        <v/>
      </c>
      <c r="AH88" s="1" t="str">
        <f>""</f>
        <v/>
      </c>
      <c r="AI88" s="1" t="str">
        <f>""</f>
        <v/>
      </c>
      <c r="AJ88" s="1" t="str">
        <f>""</f>
        <v/>
      </c>
      <c r="AK88" s="1" t="str">
        <f>""</f>
        <v/>
      </c>
    </row>
    <row r="89" spans="1:37">
      <c r="A89" s="1">
        <v>45000</v>
      </c>
      <c r="B89" s="1">
        <v>961100122</v>
      </c>
      <c r="C89" s="1" t="str">
        <f>"تخليه -اصفهان -گلپايگان -پنج راه زراعي -كيلومتر15جاده گلپايگان علويجه -به سمت راست -شركت فردسازه سپاهان"</f>
        <v>تخليه -اصفهان -گلپايگان -پنج راه زراعي -كيلومتر15جاده گلپايگان علويجه -به سمت راست -شركت فردسازه سپاهان</v>
      </c>
      <c r="D89" s="1">
        <v>13200</v>
      </c>
      <c r="E89" s="1">
        <v>42220</v>
      </c>
      <c r="F89" s="1">
        <v>96</v>
      </c>
      <c r="G89" s="1">
        <v>2780</v>
      </c>
      <c r="H89" s="1" t="str">
        <f>"96/11/18"</f>
        <v>96/11/18</v>
      </c>
      <c r="I89" s="1" t="str">
        <f>"كيلوگرم"</f>
        <v>كيلوگرم</v>
      </c>
      <c r="J89" s="1" t="str">
        <f>"0000000076"</f>
        <v>0000000076</v>
      </c>
      <c r="K89" s="1" t="str">
        <f>"قير 60/70 - فله"</f>
        <v>قير 60/70 - فله</v>
      </c>
      <c r="L89" s="1">
        <v>100</v>
      </c>
      <c r="M89" s="1" t="str">
        <f>"مخازن قير اصفهان"</f>
        <v>مخازن قير اصفهان</v>
      </c>
      <c r="N89" s="1">
        <v>7325</v>
      </c>
      <c r="O89" s="1">
        <v>50038435</v>
      </c>
      <c r="P89" s="1" t="str">
        <f>"  فردسازه سپاهان"</f>
        <v xml:space="preserve">  فردسازه سپاهان</v>
      </c>
      <c r="Q89" s="1">
        <v>11</v>
      </c>
      <c r="R89" s="1" t="str">
        <f>"فروش داخلي تهران - بورس"</f>
        <v>فروش داخلي تهران - بورس</v>
      </c>
      <c r="S89" s="1" t="str">
        <f>"قرارداد فروش"</f>
        <v>قرارداد فروش</v>
      </c>
      <c r="T89" s="1" t="str">
        <f>"ندارد"</f>
        <v>ندارد</v>
      </c>
      <c r="U89" s="1" t="str">
        <f>"علي عابدي ابوالقاسم(1003ج89)"</f>
        <v>علي عابدي ابوالقاسم(1003ج89)</v>
      </c>
      <c r="V89" s="1">
        <v>961100122</v>
      </c>
      <c r="W89" s="1">
        <v>961100122</v>
      </c>
      <c r="X89" s="1" t="str">
        <f>"1396545589"</f>
        <v>1396545589</v>
      </c>
      <c r="Y89" s="1" t="str">
        <f>"96/11/17"</f>
        <v>96/11/17</v>
      </c>
      <c r="Z89" s="1" t="str">
        <f>"96-37157"</f>
        <v>96-37157</v>
      </c>
      <c r="AA89" s="1" t="str">
        <f>"راه سازي"</f>
        <v>راه سازي</v>
      </c>
      <c r="AB89" s="1" t="str">
        <f>"96/11/17"</f>
        <v>96/11/17</v>
      </c>
      <c r="AC89" s="1" t="str">
        <f>"استان اصفهان"</f>
        <v>استان اصفهان</v>
      </c>
      <c r="AD89" s="1" t="str">
        <f>"96/11/16"</f>
        <v>96/11/16</v>
      </c>
      <c r="AE89" s="1" t="str">
        <f>"اختتام"</f>
        <v>اختتام</v>
      </c>
      <c r="AF89" s="1" t="str">
        <f>""</f>
        <v/>
      </c>
      <c r="AG89" s="1" t="str">
        <f>""</f>
        <v/>
      </c>
      <c r="AH89" s="1" t="str">
        <f>""</f>
        <v/>
      </c>
      <c r="AI89" s="1" t="str">
        <f>""</f>
        <v/>
      </c>
      <c r="AJ89" s="1" t="str">
        <f>""</f>
        <v/>
      </c>
      <c r="AK89" s="1" t="str">
        <f>""</f>
        <v/>
      </c>
    </row>
    <row r="90" spans="1:37">
      <c r="A90" s="1">
        <v>64200</v>
      </c>
      <c r="B90" s="1">
        <v>962000311</v>
      </c>
      <c r="C90" s="1" t="str">
        <f>"تخليه خراسان رضوي شهردولت آبادكيلومتر25جاده تربت حيدريه كارخانه آسفالت شهرداري"</f>
        <v>تخليه خراسان رضوي شهردولت آبادكيلومتر25جاده تربت حيدريه كارخانه آسفالت شهرداري</v>
      </c>
      <c r="D90" s="1">
        <v>9113</v>
      </c>
      <c r="E90" s="1">
        <v>61980</v>
      </c>
      <c r="F90" s="1">
        <v>96</v>
      </c>
      <c r="G90" s="1">
        <v>2220</v>
      </c>
      <c r="H90" s="1" t="str">
        <f>"96/09/13"</f>
        <v>96/09/13</v>
      </c>
      <c r="I90" s="1" t="str">
        <f>"كيلوگرم"</f>
        <v>كيلوگرم</v>
      </c>
      <c r="J90" s="1" t="str">
        <f>"0000000076"</f>
        <v>0000000076</v>
      </c>
      <c r="K90" s="1" t="str">
        <f>"قير 60/70 - فله"</f>
        <v>قير 60/70 - فله</v>
      </c>
      <c r="L90" s="1">
        <v>100</v>
      </c>
      <c r="M90" s="1" t="str">
        <f>"مخازن قير اصفهان"</f>
        <v>مخازن قير اصفهان</v>
      </c>
      <c r="N90" s="1">
        <v>8287</v>
      </c>
      <c r="O90" s="1">
        <v>50037513</v>
      </c>
      <c r="P90" s="1" t="str">
        <f>"  شهرداري دولت آباد"</f>
        <v xml:space="preserve">  شهرداري دولت آباد</v>
      </c>
      <c r="Q90" s="1">
        <v>20</v>
      </c>
      <c r="R90" s="1" t="str">
        <f>"فروش داخلي - سازمان شهرداري ها و دهياري هاي كشور"</f>
        <v>فروش داخلي - سازمان شهرداري ها و دهياري هاي كشور</v>
      </c>
      <c r="S90" s="1" t="str">
        <f>"قرارداد فروش"</f>
        <v>قرارداد فروش</v>
      </c>
      <c r="T90" s="1" t="str">
        <f>"ندارد"</f>
        <v>ندارد</v>
      </c>
      <c r="U90" s="1" t="str">
        <f>"تعاوني جم گستر (1001 ج 89)"</f>
        <v>تعاوني جم گستر (1001 ج 89)</v>
      </c>
      <c r="V90" s="1">
        <v>962000311</v>
      </c>
      <c r="W90" s="1">
        <v>962000311</v>
      </c>
      <c r="X90" s="1" t="str">
        <f>"1396514467"</f>
        <v>1396514467</v>
      </c>
      <c r="Y90" s="1" t="str">
        <f>"96/09/12"</f>
        <v>96/09/12</v>
      </c>
      <c r="Z90" s="1" t="str">
        <f>"37023مرحله دوم"</f>
        <v>37023مرحله دوم</v>
      </c>
      <c r="AA90" s="1" t="str">
        <f>"شهرداريها"</f>
        <v>شهرداريها</v>
      </c>
      <c r="AB90" s="1" t="str">
        <f>"96/09/04"</f>
        <v>96/09/04</v>
      </c>
      <c r="AC90" s="1" t="str">
        <f>"خراسان رضوي"</f>
        <v>خراسان رضوي</v>
      </c>
      <c r="AD90" s="1" t="str">
        <f>"96/07/03"</f>
        <v>96/07/03</v>
      </c>
      <c r="AE90" s="1" t="str">
        <f>"اختتام"</f>
        <v>اختتام</v>
      </c>
      <c r="AF90" s="1" t="str">
        <f>""</f>
        <v/>
      </c>
      <c r="AG90" s="1" t="str">
        <f>""</f>
        <v/>
      </c>
      <c r="AH90" s="1" t="str">
        <f>""</f>
        <v/>
      </c>
      <c r="AI90" s="1" t="str">
        <f>""</f>
        <v/>
      </c>
      <c r="AJ90" s="1" t="str">
        <f>""</f>
        <v/>
      </c>
      <c r="AK90" s="1" t="str">
        <f>""</f>
        <v/>
      </c>
    </row>
    <row r="91" spans="1:37">
      <c r="A91" s="1">
        <v>107260</v>
      </c>
      <c r="B91" s="1">
        <v>962000023</v>
      </c>
      <c r="C91" s="1" t="str">
        <f>"تخليه اصفهان سه راهي پليس راه جندق پنج كيلومتربه سمت خوركارگاه زرين سپاهان"</f>
        <v>تخليه اصفهان سه راهي پليس راه جندق پنج كيلومتربه سمت خوركارگاه زرين سپاهان</v>
      </c>
      <c r="D91" s="1">
        <v>9113</v>
      </c>
      <c r="E91" s="1">
        <v>107260</v>
      </c>
      <c r="F91" s="1">
        <v>96</v>
      </c>
      <c r="G91" s="1">
        <v>0</v>
      </c>
      <c r="H91" s="1" t="str">
        <f>"96/07/03"</f>
        <v>96/07/03</v>
      </c>
      <c r="I91" s="1" t="str">
        <f>"كيلوگرم"</f>
        <v>كيلوگرم</v>
      </c>
      <c r="J91" s="1" t="str">
        <f>"0000000076"</f>
        <v>0000000076</v>
      </c>
      <c r="K91" s="1" t="str">
        <f>"قير 60/70 - فله"</f>
        <v>قير 60/70 - فله</v>
      </c>
      <c r="L91" s="1">
        <v>100</v>
      </c>
      <c r="M91" s="1" t="str">
        <f>"مخازن قير اصفهان"</f>
        <v>مخازن قير اصفهان</v>
      </c>
      <c r="N91" s="1">
        <v>7137</v>
      </c>
      <c r="O91" s="1">
        <v>50036164</v>
      </c>
      <c r="P91" s="1" t="str">
        <f>"  شهرداري جندق"</f>
        <v xml:space="preserve">  شهرداري جندق</v>
      </c>
      <c r="Q91" s="1">
        <v>20</v>
      </c>
      <c r="R91" s="1" t="str">
        <f>"فروش داخلي - سازمان شهرداري ها و دهياري هاي كشور"</f>
        <v>فروش داخلي - سازمان شهرداري ها و دهياري هاي كشور</v>
      </c>
      <c r="S91" s="1" t="str">
        <f>"قرارداد فروش"</f>
        <v>قرارداد فروش</v>
      </c>
      <c r="T91" s="1" t="str">
        <f>"ندارد"</f>
        <v>ندارد</v>
      </c>
      <c r="U91" s="1" t="str">
        <f>"تعاوني جم گستر (1001 ج 89)"</f>
        <v>تعاوني جم گستر (1001 ج 89)</v>
      </c>
      <c r="V91" s="1">
        <v>962000023</v>
      </c>
      <c r="W91" s="1">
        <v>962000023</v>
      </c>
      <c r="X91" s="1" t="str">
        <f>"1396514467"</f>
        <v>1396514467</v>
      </c>
      <c r="Y91" s="1" t="str">
        <f>"96/07/03"</f>
        <v>96/07/03</v>
      </c>
      <c r="Z91" s="1" t="str">
        <f>"26868مرحله اول"</f>
        <v>26868مرحله اول</v>
      </c>
      <c r="AA91" s="1" t="str">
        <f>"شهرداريها"</f>
        <v>شهرداريها</v>
      </c>
      <c r="AB91" s="1" t="str">
        <f>"96/06/29"</f>
        <v>96/06/29</v>
      </c>
      <c r="AC91" s="1" t="str">
        <f>"استان اصفهان"</f>
        <v>استان اصفهان</v>
      </c>
      <c r="AD91" s="1" t="str">
        <f>"96/07/03"</f>
        <v>96/07/03</v>
      </c>
      <c r="AE91" s="1" t="str">
        <f>"اختتام"</f>
        <v>اختتام</v>
      </c>
      <c r="AF91" s="1" t="str">
        <f>""</f>
        <v/>
      </c>
      <c r="AG91" s="1" t="str">
        <f>""</f>
        <v/>
      </c>
      <c r="AH91" s="1" t="str">
        <f>""</f>
        <v/>
      </c>
      <c r="AI91" s="1" t="str">
        <f>""</f>
        <v/>
      </c>
      <c r="AJ91" s="1" t="str">
        <f>""</f>
        <v/>
      </c>
      <c r="AK91" s="1" t="str">
        <f>""</f>
        <v/>
      </c>
    </row>
    <row r="92" spans="1:37">
      <c r="A92" s="1">
        <v>57000</v>
      </c>
      <c r="B92" s="1">
        <v>966200542</v>
      </c>
      <c r="C92" s="1" t="str">
        <f>"تخليه -مازندران كارخانه آسفالت ارجمندي آمل به محمودآباد-شهرک تشبندان"</f>
        <v>تخليه -مازندران كارخانه آسفالت ارجمندي آمل به محمودآباد-شهرک تشبندان</v>
      </c>
      <c r="D92" s="1">
        <v>13200</v>
      </c>
      <c r="E92" s="1">
        <v>56420</v>
      </c>
      <c r="F92" s="1">
        <v>96</v>
      </c>
      <c r="G92" s="1">
        <v>580</v>
      </c>
      <c r="H92" s="1" t="str">
        <f>"96/11/03"</f>
        <v>96/11/03</v>
      </c>
      <c r="I92" s="1" t="str">
        <f>"كيلوگرم"</f>
        <v>كيلوگرم</v>
      </c>
      <c r="J92" s="1" t="str">
        <f>"0000000076"</f>
        <v>0000000076</v>
      </c>
      <c r="K92" s="1" t="str">
        <f>"قير 60/70 - فله"</f>
        <v>قير 60/70 - فله</v>
      </c>
      <c r="L92" s="1">
        <v>100</v>
      </c>
      <c r="M92" s="1" t="str">
        <f>"مخازن قير اصفهان"</f>
        <v>مخازن قير اصفهان</v>
      </c>
      <c r="N92" s="1">
        <v>8485</v>
      </c>
      <c r="O92" s="1">
        <v>50038266</v>
      </c>
      <c r="P92" s="1" t="str">
        <f>"  شمال عمران"</f>
        <v xml:space="preserve">  شمال عمران</v>
      </c>
      <c r="Q92" s="1">
        <v>62</v>
      </c>
      <c r="R92" s="1" t="str">
        <f>"فروش داخلي - سازمان بنيادمسكن انقلاب اسلامي"</f>
        <v>فروش داخلي - سازمان بنيادمسكن انقلاب اسلامي</v>
      </c>
      <c r="S92" s="1" t="str">
        <f>"قرارداد فروش"</f>
        <v>قرارداد فروش</v>
      </c>
      <c r="T92" s="1" t="str">
        <f>"ندارد"</f>
        <v>ندارد</v>
      </c>
      <c r="U92" s="1" t="str">
        <f>"شيشه بر كريم(1841016)"</f>
        <v>شيشه بر كريم(1841016)</v>
      </c>
      <c r="V92" s="1">
        <v>966200542</v>
      </c>
      <c r="W92" s="1">
        <v>966200542</v>
      </c>
      <c r="X92" s="1" t="str">
        <f>"1396542495"</f>
        <v>1396542495</v>
      </c>
      <c r="Y92" s="1" t="str">
        <f>"96/11/03"</f>
        <v>96/11/03</v>
      </c>
      <c r="Z92" s="1" t="str">
        <f>"48756/د"</f>
        <v>48756/د</v>
      </c>
      <c r="AA92" s="1" t="str">
        <f>"بنيادمسكن انقلاب اسلامي"</f>
        <v>بنيادمسكن انقلاب اسلامي</v>
      </c>
      <c r="AB92" s="1" t="str">
        <f>"96/11/01"</f>
        <v>96/11/01</v>
      </c>
      <c r="AC92" s="1" t="str">
        <f>"استان مازندران"</f>
        <v>استان مازندران</v>
      </c>
      <c r="AD92" s="1" t="str">
        <f>"96/11/03"</f>
        <v>96/11/03</v>
      </c>
      <c r="AE92" s="1" t="str">
        <f>"اختتام"</f>
        <v>اختتام</v>
      </c>
      <c r="AF92" s="1" t="str">
        <f>""</f>
        <v/>
      </c>
      <c r="AG92" s="1" t="str">
        <f>""</f>
        <v/>
      </c>
      <c r="AH92" s="1" t="str">
        <f>""</f>
        <v/>
      </c>
      <c r="AI92" s="1" t="str">
        <f>""</f>
        <v/>
      </c>
      <c r="AJ92" s="1" t="str">
        <f>""</f>
        <v/>
      </c>
      <c r="AK92" s="1" t="str">
        <f>""</f>
        <v/>
      </c>
    </row>
    <row r="93" spans="1:37">
      <c r="A93" s="1">
        <v>300000</v>
      </c>
      <c r="B93" s="1">
        <v>961100108</v>
      </c>
      <c r="C93" s="1" t="str">
        <f>"تخليه - اصفهان-نايين-کيلومتر 15 جاده نايين-اصفهان-باند برگشت-کارخانه آسفالت پليمر راه هشت بهشت"</f>
        <v>تخليه - اصفهان-نايين-کيلومتر 15 جاده نايين-اصفهان-باند برگشت-کارخانه آسفالت پليمر راه هشت بهشت</v>
      </c>
      <c r="D93" s="1">
        <v>12850</v>
      </c>
      <c r="E93" s="1">
        <v>298480</v>
      </c>
      <c r="F93" s="1">
        <v>96</v>
      </c>
      <c r="G93" s="1">
        <v>1520</v>
      </c>
      <c r="H93" s="1" t="str">
        <f>"96/10/18"</f>
        <v>96/10/18</v>
      </c>
      <c r="I93" s="1" t="str">
        <f>"كيلوگرم"</f>
        <v>كيلوگرم</v>
      </c>
      <c r="J93" s="1" t="str">
        <f>"0000000076"</f>
        <v>0000000076</v>
      </c>
      <c r="K93" s="1" t="str">
        <f>"قير 60/70 - فله"</f>
        <v>قير 60/70 - فله</v>
      </c>
      <c r="L93" s="1">
        <v>100</v>
      </c>
      <c r="M93" s="1" t="str">
        <f>"مخازن قير اصفهان"</f>
        <v>مخازن قير اصفهان</v>
      </c>
      <c r="N93" s="1">
        <v>8391</v>
      </c>
      <c r="O93" s="1">
        <v>50038079</v>
      </c>
      <c r="P93" s="1" t="str">
        <f>"  جهاد نصر لرستان"</f>
        <v xml:space="preserve">  جهاد نصر لرستان</v>
      </c>
      <c r="Q93" s="1">
        <v>11</v>
      </c>
      <c r="R93" s="1" t="str">
        <f>"فروش داخلي تهران - بورس"</f>
        <v>فروش داخلي تهران - بورس</v>
      </c>
      <c r="S93" s="1" t="str">
        <f>"قرارداد فروش"</f>
        <v>قرارداد فروش</v>
      </c>
      <c r="T93" s="1" t="str">
        <f>"ندارد"</f>
        <v>ندارد</v>
      </c>
      <c r="U93" s="1" t="str">
        <f>"ريسماني حسن(1007ج89)"</f>
        <v>ريسماني حسن(1007ج89)</v>
      </c>
      <c r="V93" s="1">
        <v>961100108</v>
      </c>
      <c r="W93" s="1">
        <v>961100108</v>
      </c>
      <c r="X93" s="1" t="str">
        <f>"1396537703"</f>
        <v>1396537703</v>
      </c>
      <c r="Y93" s="1" t="str">
        <f>"96/10/17"</f>
        <v>96/10/17</v>
      </c>
      <c r="Z93" s="1" t="str">
        <f>"96-36928"</f>
        <v>96-36928</v>
      </c>
      <c r="AA93" s="1" t="str">
        <f>"راه سازي"</f>
        <v>راه سازي</v>
      </c>
      <c r="AB93" s="1" t="str">
        <f>"96/10/17"</f>
        <v>96/10/17</v>
      </c>
      <c r="AC93" s="1" t="str">
        <f>"استان اصفهان"</f>
        <v>استان اصفهان</v>
      </c>
      <c r="AD93" s="1" t="str">
        <f>"96/10/13"</f>
        <v>96/10/13</v>
      </c>
      <c r="AE93" s="1" t="str">
        <f>"اختتام"</f>
        <v>اختتام</v>
      </c>
      <c r="AF93" s="1" t="str">
        <f>""</f>
        <v/>
      </c>
      <c r="AG93" s="1" t="str">
        <f>""</f>
        <v/>
      </c>
      <c r="AH93" s="1" t="str">
        <f>""</f>
        <v/>
      </c>
      <c r="AI93" s="1" t="str">
        <f>""</f>
        <v/>
      </c>
      <c r="AJ93" s="1" t="str">
        <f>""</f>
        <v/>
      </c>
      <c r="AK93" s="1" t="str">
        <f>""</f>
        <v/>
      </c>
    </row>
    <row r="94" spans="1:37">
      <c r="A94" s="1">
        <v>108000</v>
      </c>
      <c r="B94" s="1">
        <v>966200265</v>
      </c>
      <c r="C94" s="1" t="str">
        <f>"تخليه -کمربندي تهران انديشه -روبروي پمپ بمزين رضي آبادخ روشن صنعت کيلومتر3"</f>
        <v>تخليه -کمربندي تهران انديشه -روبروي پمپ بمزين رضي آبادخ روشن صنعت کيلومتر3</v>
      </c>
      <c r="D94" s="1">
        <v>9113</v>
      </c>
      <c r="E94" s="1">
        <v>107440</v>
      </c>
      <c r="F94" s="1">
        <v>96</v>
      </c>
      <c r="G94" s="1">
        <v>560</v>
      </c>
      <c r="H94" s="1" t="str">
        <f>"96/07/05"</f>
        <v>96/07/05</v>
      </c>
      <c r="I94" s="1" t="str">
        <f>"كيلوگرم"</f>
        <v>كيلوگرم</v>
      </c>
      <c r="J94" s="1" t="str">
        <f>"0000000076"</f>
        <v>0000000076</v>
      </c>
      <c r="K94" s="1" t="str">
        <f>"قير 60/70 - فله"</f>
        <v>قير 60/70 - فله</v>
      </c>
      <c r="L94" s="1">
        <v>100</v>
      </c>
      <c r="M94" s="1" t="str">
        <f>"مخازن قير اصفهان"</f>
        <v>مخازن قير اصفهان</v>
      </c>
      <c r="N94" s="1">
        <v>8495</v>
      </c>
      <c r="O94" s="1">
        <v>50036551</v>
      </c>
      <c r="P94" s="1" t="str">
        <f>"  ساختماني آيدين"</f>
        <v xml:space="preserve">  ساختماني آيدين</v>
      </c>
      <c r="Q94" s="1">
        <v>62</v>
      </c>
      <c r="R94" s="1" t="str">
        <f>"فروش داخلي - سازمان بنيادمسكن انقلاب اسلامي"</f>
        <v>فروش داخلي - سازمان بنيادمسكن انقلاب اسلامي</v>
      </c>
      <c r="S94" s="1" t="str">
        <f>"قرارداد فروش"</f>
        <v>قرارداد فروش</v>
      </c>
      <c r="T94" s="1" t="str">
        <f>"ندارد"</f>
        <v>ندارد</v>
      </c>
      <c r="U94" s="1" t="str">
        <f>"فتحي توحيد حسن(1841009)"</f>
        <v>فتحي توحيد حسن(1841009)</v>
      </c>
      <c r="V94" s="1">
        <v>966200265</v>
      </c>
      <c r="W94" s="1">
        <v>966200265</v>
      </c>
      <c r="X94" s="1" t="str">
        <f>"1396514733"</f>
        <v>1396514733</v>
      </c>
      <c r="Y94" s="1" t="str">
        <f>"96/07/05"</f>
        <v>96/07/05</v>
      </c>
      <c r="Z94" s="1" t="str">
        <f>"29283/د"</f>
        <v>29283/د</v>
      </c>
      <c r="AA94" s="1" t="str">
        <f>"بنيادمسكن انقلاب اسلامي"</f>
        <v>بنيادمسكن انقلاب اسلامي</v>
      </c>
      <c r="AB94" s="1" t="str">
        <f>"96/07/02"</f>
        <v>96/07/02</v>
      </c>
      <c r="AC94" s="1" t="str">
        <f>"استان تهران"</f>
        <v>استان تهران</v>
      </c>
      <c r="AD94" s="1" t="str">
        <f>"96/07/04"</f>
        <v>96/07/04</v>
      </c>
      <c r="AE94" s="1" t="str">
        <f>"اختتام"</f>
        <v>اختتام</v>
      </c>
      <c r="AF94" s="1" t="str">
        <f>""</f>
        <v/>
      </c>
      <c r="AG94" s="1" t="str">
        <f>""</f>
        <v/>
      </c>
      <c r="AH94" s="1" t="str">
        <f>""</f>
        <v/>
      </c>
      <c r="AI94" s="1" t="str">
        <f>""</f>
        <v/>
      </c>
      <c r="AJ94" s="1" t="str">
        <f>""</f>
        <v/>
      </c>
      <c r="AK94" s="1" t="str">
        <f>""</f>
        <v/>
      </c>
    </row>
    <row r="95" spans="1:37">
      <c r="A95" s="1">
        <v>61000</v>
      </c>
      <c r="B95" s="1">
        <v>966200141</v>
      </c>
      <c r="C95" s="1" t="str">
        <f>"تخليه - خراسان شمالي- آشخانه -ابتداي جاده تهران کيلومتر 18-کارخانه آسفالت شرکت پايندسازشکيل"</f>
        <v>تخليه - خراسان شمالي- آشخانه -ابتداي جاده تهران کيلومتر 18-کارخانه آسفالت شرکت پايندسازشکيل</v>
      </c>
      <c r="D95" s="1">
        <v>8704</v>
      </c>
      <c r="E95" s="1">
        <v>60100</v>
      </c>
      <c r="F95" s="1">
        <v>96</v>
      </c>
      <c r="G95" s="1">
        <v>900</v>
      </c>
      <c r="H95" s="1" t="str">
        <f>"96/04/31"</f>
        <v>96/04/31</v>
      </c>
      <c r="I95" s="1" t="str">
        <f>"كيلوگرم"</f>
        <v>كيلوگرم</v>
      </c>
      <c r="J95" s="1" t="str">
        <f>"0000000076"</f>
        <v>0000000076</v>
      </c>
      <c r="K95" s="1" t="str">
        <f>"قير 60/70 - فله"</f>
        <v>قير 60/70 - فله</v>
      </c>
      <c r="L95" s="1">
        <v>100</v>
      </c>
      <c r="M95" s="1" t="str">
        <f>"مخازن قير اصفهان"</f>
        <v>مخازن قير اصفهان</v>
      </c>
      <c r="N95" s="1">
        <v>8473</v>
      </c>
      <c r="O95" s="1">
        <v>50035283</v>
      </c>
      <c r="P95" s="1" t="str">
        <f>"  بيژن يوردبتن"</f>
        <v xml:space="preserve">  بيژن يوردبتن</v>
      </c>
      <c r="Q95" s="1">
        <v>62</v>
      </c>
      <c r="R95" s="1" t="str">
        <f>"فروش داخلي - سازمان بنيادمسكن انقلاب اسلامي"</f>
        <v>فروش داخلي - سازمان بنيادمسكن انقلاب اسلامي</v>
      </c>
      <c r="S95" s="1" t="str">
        <f>"قرارداد فروش"</f>
        <v>قرارداد فروش</v>
      </c>
      <c r="T95" s="1" t="str">
        <f>"ندارد"</f>
        <v>ندارد</v>
      </c>
      <c r="U95" s="1" t="str">
        <f>"محمدي حسن(1841050)"</f>
        <v>محمدي حسن(1841050)</v>
      </c>
      <c r="V95" s="1">
        <v>966200141</v>
      </c>
      <c r="W95" s="1">
        <v>966200141</v>
      </c>
      <c r="X95" s="1" t="str">
        <f>"1396498686"</f>
        <v>1396498686</v>
      </c>
      <c r="Y95" s="1" t="str">
        <f>"96/04/31"</f>
        <v>96/04/31</v>
      </c>
      <c r="Z95" s="1" t="str">
        <f>"16904/د"</f>
        <v>16904/د</v>
      </c>
      <c r="AA95" s="1" t="str">
        <f>"بنيادمسكن انقلاب اسلامي"</f>
        <v>بنيادمسكن انقلاب اسلامي</v>
      </c>
      <c r="AB95" s="1" t="str">
        <f>"96/04/26"</f>
        <v>96/04/26</v>
      </c>
      <c r="AC95" s="1" t="str">
        <f>"خراسان شمالي"</f>
        <v>خراسان شمالي</v>
      </c>
      <c r="AD95" s="1" t="str">
        <f>"96/04/31"</f>
        <v>96/04/31</v>
      </c>
      <c r="AE95" s="1" t="str">
        <f>"اختتام"</f>
        <v>اختتام</v>
      </c>
      <c r="AF95" s="1" t="str">
        <f>""</f>
        <v/>
      </c>
      <c r="AG95" s="1" t="str">
        <f>""</f>
        <v/>
      </c>
      <c r="AH95" s="1" t="str">
        <f>""</f>
        <v/>
      </c>
      <c r="AI95" s="1" t="str">
        <f>""</f>
        <v/>
      </c>
      <c r="AJ95" s="1" t="str">
        <f>""</f>
        <v/>
      </c>
      <c r="AK95" s="1" t="str">
        <f>""</f>
        <v/>
      </c>
    </row>
    <row r="96" spans="1:37">
      <c r="A96" s="1">
        <v>71000</v>
      </c>
      <c r="B96" s="1">
        <v>966200751</v>
      </c>
      <c r="C96" s="1" t="str">
        <f>"تخليه -لرستان -اليگودرز-شهرك صنعتي كيلومتر10جاده ازنا-اليگودرز-شركت ره دژزاگرس"</f>
        <v>تخليه -لرستان -اليگودرز-شهرك صنعتي كيلومتر10جاده ازنا-اليگودرز-شركت ره دژزاگرس</v>
      </c>
      <c r="D96" s="1">
        <v>13350</v>
      </c>
      <c r="E96" s="1">
        <v>61300</v>
      </c>
      <c r="F96" s="1">
        <v>96</v>
      </c>
      <c r="G96" s="1">
        <v>9700</v>
      </c>
      <c r="H96" s="1" t="str">
        <f>"96/12/26"</f>
        <v>96/12/26</v>
      </c>
      <c r="I96" s="1" t="str">
        <f>"كيلوگرم"</f>
        <v>كيلوگرم</v>
      </c>
      <c r="J96" s="1" t="str">
        <f>"0000000076"</f>
        <v>0000000076</v>
      </c>
      <c r="K96" s="1" t="str">
        <f>"قير 60/70 - فله"</f>
        <v>قير 60/70 - فله</v>
      </c>
      <c r="L96" s="1">
        <v>100</v>
      </c>
      <c r="M96" s="1" t="str">
        <f>"مخازن قير اصفهان"</f>
        <v>مخازن قير اصفهان</v>
      </c>
      <c r="N96" s="1">
        <v>8650</v>
      </c>
      <c r="O96" s="1">
        <v>50039116</v>
      </c>
      <c r="P96" s="1" t="str">
        <f>"  ره دژزاگرس"</f>
        <v xml:space="preserve">  ره دژزاگرس</v>
      </c>
      <c r="Q96" s="1">
        <v>62</v>
      </c>
      <c r="R96" s="1" t="str">
        <f>"فروش داخلي - سازمان بنيادمسكن انقلاب اسلامي"</f>
        <v>فروش داخلي - سازمان بنيادمسكن انقلاب اسلامي</v>
      </c>
      <c r="S96" s="1" t="str">
        <f>"قرارداد فروش"</f>
        <v>قرارداد فروش</v>
      </c>
      <c r="T96" s="1" t="str">
        <f>"ندارد"</f>
        <v>ندارد</v>
      </c>
      <c r="U96" s="1" t="str">
        <f>"رضائي كلهر حسن (1901099)"</f>
        <v>رضائي كلهر حسن (1901099)</v>
      </c>
      <c r="V96" s="1">
        <v>966200751</v>
      </c>
      <c r="W96" s="1">
        <v>966200751</v>
      </c>
      <c r="X96" s="1" t="str">
        <f>"1396555422"</f>
        <v>1396555422</v>
      </c>
      <c r="Y96" s="1" t="str">
        <f>"96/12/26"</f>
        <v>96/12/26</v>
      </c>
      <c r="Z96" s="1" t="str">
        <f>"59746/د"</f>
        <v>59746/د</v>
      </c>
      <c r="AA96" s="1" t="str">
        <f>"بنيادمسكن انقلاب اسلامي"</f>
        <v>بنيادمسكن انقلاب اسلامي</v>
      </c>
      <c r="AB96" s="1" t="str">
        <f>"96/12/26"</f>
        <v>96/12/26</v>
      </c>
      <c r="AC96" s="1" t="str">
        <f>"لرستان"</f>
        <v>لرستان</v>
      </c>
      <c r="AD96" s="1" t="str">
        <f>"96/12/26"</f>
        <v>96/12/26</v>
      </c>
      <c r="AE96" s="1" t="str">
        <f>"اختتام"</f>
        <v>اختتام</v>
      </c>
      <c r="AF96" s="1" t="str">
        <f>""</f>
        <v/>
      </c>
      <c r="AG96" s="1" t="str">
        <f>""</f>
        <v/>
      </c>
      <c r="AH96" s="1" t="str">
        <f>""</f>
        <v/>
      </c>
      <c r="AI96" s="1" t="str">
        <f>""</f>
        <v/>
      </c>
      <c r="AJ96" s="1" t="str">
        <f>""</f>
        <v/>
      </c>
      <c r="AK96" s="1" t="str">
        <f>""</f>
        <v/>
      </c>
    </row>
    <row r="97" spans="1:37">
      <c r="A97" s="1">
        <v>69749</v>
      </c>
      <c r="B97" s="1">
        <v>962000256</v>
      </c>
      <c r="C97" s="1" t="str">
        <f>"تخليه -خراسان جنوبي شهرستان زيركوه -حاجي آباد-كارخانه آسفالت شهرداري"</f>
        <v>تخليه -خراسان جنوبي شهرستان زيركوه -حاجي آباد-كارخانه آسفالت شهرداري</v>
      </c>
      <c r="D97" s="1">
        <v>9113</v>
      </c>
      <c r="E97" s="1">
        <v>68621</v>
      </c>
      <c r="F97" s="1">
        <v>96</v>
      </c>
      <c r="G97" s="1">
        <v>1128</v>
      </c>
      <c r="H97" s="1" t="str">
        <f>"96/09/08"</f>
        <v>96/09/08</v>
      </c>
      <c r="I97" s="1" t="str">
        <f>"كيلوگرم"</f>
        <v>كيلوگرم</v>
      </c>
      <c r="J97" s="1" t="str">
        <f>"0000000076"</f>
        <v>0000000076</v>
      </c>
      <c r="K97" s="1" t="str">
        <f>"قير 60/70 - فله"</f>
        <v>قير 60/70 - فله</v>
      </c>
      <c r="L97" s="1">
        <v>100</v>
      </c>
      <c r="M97" s="1" t="str">
        <f>"مخازن قير اصفهان"</f>
        <v>مخازن قير اصفهان</v>
      </c>
      <c r="N97" s="1">
        <v>7147</v>
      </c>
      <c r="O97" s="1">
        <v>50037385</v>
      </c>
      <c r="P97" s="1" t="str">
        <f>"  شهرداري حاجي آباد"</f>
        <v xml:space="preserve">  شهرداري حاجي آباد</v>
      </c>
      <c r="Q97" s="1">
        <v>20</v>
      </c>
      <c r="R97" s="1" t="str">
        <f>"فروش داخلي - سازمان شهرداري ها و دهياري هاي كشور"</f>
        <v>فروش داخلي - سازمان شهرداري ها و دهياري هاي كشور</v>
      </c>
      <c r="S97" s="1" t="str">
        <f>"قرارداد فروش"</f>
        <v>قرارداد فروش</v>
      </c>
      <c r="T97" s="1" t="str">
        <f>"ندارد"</f>
        <v>ندارد</v>
      </c>
      <c r="U97" s="1" t="str">
        <f>"تعاوني جم گستر (1001 ج 89)"</f>
        <v>تعاوني جم گستر (1001 ج 89)</v>
      </c>
      <c r="V97" s="1">
        <v>962000256</v>
      </c>
      <c r="W97" s="1">
        <v>962000256</v>
      </c>
      <c r="X97" s="1" t="str">
        <f>"1396514467"</f>
        <v>1396514467</v>
      </c>
      <c r="Y97" s="1" t="str">
        <f>"96/09/08"</f>
        <v>96/09/08</v>
      </c>
      <c r="Z97" s="1" t="str">
        <f>"37088مرحله دوم"</f>
        <v>37088مرحله دوم</v>
      </c>
      <c r="AA97" s="1" t="str">
        <f>"شهرداريها"</f>
        <v>شهرداريها</v>
      </c>
      <c r="AB97" s="1" t="str">
        <f>"96/09/04"</f>
        <v>96/09/04</v>
      </c>
      <c r="AC97" s="1" t="str">
        <f>"خراسان جنوبي"</f>
        <v>خراسان جنوبي</v>
      </c>
      <c r="AD97" s="1" t="str">
        <f>"96/07/03"</f>
        <v>96/07/03</v>
      </c>
      <c r="AE97" s="1" t="str">
        <f>"اختتام"</f>
        <v>اختتام</v>
      </c>
      <c r="AF97" s="1" t="str">
        <f>""</f>
        <v/>
      </c>
      <c r="AG97" s="1" t="str">
        <f>""</f>
        <v/>
      </c>
      <c r="AH97" s="1" t="str">
        <f>""</f>
        <v/>
      </c>
      <c r="AI97" s="1" t="str">
        <f>""</f>
        <v/>
      </c>
      <c r="AJ97" s="1" t="str">
        <f>""</f>
        <v/>
      </c>
      <c r="AK97" s="1" t="str">
        <f>""</f>
        <v/>
      </c>
    </row>
    <row r="98" spans="1:37">
      <c r="A98" s="1">
        <v>56392</v>
      </c>
      <c r="B98" s="1">
        <v>962000312</v>
      </c>
      <c r="C98" s="1" t="str">
        <f>"تخليه خراسان رضويشهرستان يبزواركيلومتر12جاده قوچان روبروي روستاي خيرآبادشركت ماژان راه بيهق"</f>
        <v>تخليه خراسان رضويشهرستان يبزواركيلومتر12جاده قوچان روبروي روستاي خيرآبادشركت ماژان راه بيهق</v>
      </c>
      <c r="D98" s="1">
        <v>9113</v>
      </c>
      <c r="E98" s="1">
        <v>50140</v>
      </c>
      <c r="F98" s="1">
        <v>96</v>
      </c>
      <c r="G98" s="1">
        <v>6252</v>
      </c>
      <c r="H98" s="1" t="str">
        <f>"96/09/13"</f>
        <v>96/09/13</v>
      </c>
      <c r="I98" s="1" t="str">
        <f>"كيلوگرم"</f>
        <v>كيلوگرم</v>
      </c>
      <c r="J98" s="1" t="str">
        <f>"0000000076"</f>
        <v>0000000076</v>
      </c>
      <c r="K98" s="1" t="str">
        <f>"قير 60/70 - فله"</f>
        <v>قير 60/70 - فله</v>
      </c>
      <c r="L98" s="1">
        <v>100</v>
      </c>
      <c r="M98" s="1" t="str">
        <f>"مخازن قير اصفهان"</f>
        <v>مخازن قير اصفهان</v>
      </c>
      <c r="N98" s="1">
        <v>8772</v>
      </c>
      <c r="O98" s="1">
        <v>50037515</v>
      </c>
      <c r="P98" s="1" t="str">
        <f>"  شهرداري رودآب"</f>
        <v xml:space="preserve">  شهرداري رودآب</v>
      </c>
      <c r="Q98" s="1">
        <v>20</v>
      </c>
      <c r="R98" s="1" t="str">
        <f>"فروش داخلي - سازمان شهرداري ها و دهياري هاي كشور"</f>
        <v>فروش داخلي - سازمان شهرداري ها و دهياري هاي كشور</v>
      </c>
      <c r="S98" s="1" t="str">
        <f>"قرارداد فروش"</f>
        <v>قرارداد فروش</v>
      </c>
      <c r="T98" s="1" t="str">
        <f>"ندارد"</f>
        <v>ندارد</v>
      </c>
      <c r="U98" s="1" t="str">
        <f>"تعاوني جم گستر (1001 ج 89)"</f>
        <v>تعاوني جم گستر (1001 ج 89)</v>
      </c>
      <c r="V98" s="1">
        <v>962000312</v>
      </c>
      <c r="W98" s="1">
        <v>962000312</v>
      </c>
      <c r="X98" s="1" t="str">
        <f>"1396514467"</f>
        <v>1396514467</v>
      </c>
      <c r="Y98" s="1" t="str">
        <f>"96/09/12"</f>
        <v>96/09/12</v>
      </c>
      <c r="Z98" s="1" t="str">
        <f>"37027مرحله دوم"</f>
        <v>37027مرحله دوم</v>
      </c>
      <c r="AA98" s="1" t="str">
        <f>"شهرداريها"</f>
        <v>شهرداريها</v>
      </c>
      <c r="AB98" s="1" t="str">
        <f>"96/09/04"</f>
        <v>96/09/04</v>
      </c>
      <c r="AC98" s="1" t="str">
        <f>"خراسان رضوي"</f>
        <v>خراسان رضوي</v>
      </c>
      <c r="AD98" s="1" t="str">
        <f>"96/07/03"</f>
        <v>96/07/03</v>
      </c>
      <c r="AE98" s="1" t="str">
        <f>"اختتام"</f>
        <v>اختتام</v>
      </c>
      <c r="AF98" s="1" t="str">
        <f>""</f>
        <v/>
      </c>
      <c r="AG98" s="1" t="str">
        <f>""</f>
        <v/>
      </c>
      <c r="AH98" s="1" t="str">
        <f>""</f>
        <v/>
      </c>
      <c r="AI98" s="1" t="str">
        <f>""</f>
        <v/>
      </c>
      <c r="AJ98" s="1" t="str">
        <f>""</f>
        <v/>
      </c>
      <c r="AK98" s="1" t="str">
        <f>""</f>
        <v/>
      </c>
    </row>
    <row r="99" spans="1:37">
      <c r="A99" s="1">
        <v>172000</v>
      </c>
      <c r="B99" s="1">
        <v>966200556</v>
      </c>
      <c r="C99" s="1" t="str">
        <f>"تخليه -جنوب كرمان -كارخانه آسفالت سدسازسيرجان -واقع دربهادرآباد-قلعه گنج"</f>
        <v>تخليه -جنوب كرمان -كارخانه آسفالت سدسازسيرجان -واقع دربهادرآباد-قلعه گنج</v>
      </c>
      <c r="D99" s="1">
        <v>13200</v>
      </c>
      <c r="E99" s="1">
        <v>172000</v>
      </c>
      <c r="F99" s="1">
        <v>96</v>
      </c>
      <c r="G99" s="1">
        <v>0</v>
      </c>
      <c r="H99" s="1" t="str">
        <f>"96/11/14"</f>
        <v>96/11/14</v>
      </c>
      <c r="I99" s="1" t="str">
        <f>"كيلوگرم"</f>
        <v>كيلوگرم</v>
      </c>
      <c r="J99" s="1" t="str">
        <f>"0000000076"</f>
        <v>0000000076</v>
      </c>
      <c r="K99" s="1" t="str">
        <f>"قير 60/70 - فله"</f>
        <v>قير 60/70 - فله</v>
      </c>
      <c r="L99" s="1">
        <v>100</v>
      </c>
      <c r="M99" s="1" t="str">
        <f>"مخازن قير اصفهان"</f>
        <v>مخازن قير اصفهان</v>
      </c>
      <c r="N99" s="1">
        <v>7160</v>
      </c>
      <c r="O99" s="1">
        <v>50038362</v>
      </c>
      <c r="P99" s="1" t="str">
        <f>"  سد ساز سيرجان"</f>
        <v xml:space="preserve">  سد ساز سيرجان</v>
      </c>
      <c r="Q99" s="1">
        <v>62</v>
      </c>
      <c r="R99" s="1" t="str">
        <f>"فروش داخلي - سازمان بنيادمسكن انقلاب اسلامي"</f>
        <v>فروش داخلي - سازمان بنيادمسكن انقلاب اسلامي</v>
      </c>
      <c r="S99" s="1" t="str">
        <f>"قرارداد فروش"</f>
        <v>قرارداد فروش</v>
      </c>
      <c r="T99" s="1" t="str">
        <f>"ندارد"</f>
        <v>ندارد</v>
      </c>
      <c r="U99" s="1" t="str">
        <f>"حاصليان ترابرجنوب مرتضي حاصلي (4844006)"</f>
        <v>حاصليان ترابرجنوب مرتضي حاصلي (4844006)</v>
      </c>
      <c r="V99" s="1">
        <v>966200556</v>
      </c>
      <c r="W99" s="1">
        <v>966200556</v>
      </c>
      <c r="X99" s="1" t="str">
        <f>"1396545121"</f>
        <v>1396545121</v>
      </c>
      <c r="Y99" s="1" t="str">
        <f>"96/11/14"</f>
        <v>96/11/14</v>
      </c>
      <c r="Z99" s="1" t="str">
        <f>"50745/د"</f>
        <v>50745/د</v>
      </c>
      <c r="AA99" s="1" t="str">
        <f>"بنيادمسكن انقلاب اسلامي"</f>
        <v>بنيادمسكن انقلاب اسلامي</v>
      </c>
      <c r="AB99" s="1" t="str">
        <f>"96/11/11"</f>
        <v>96/11/11</v>
      </c>
      <c r="AC99" s="1" t="str">
        <f>"استان كرمان"</f>
        <v>استان كرمان</v>
      </c>
      <c r="AD99" s="1" t="str">
        <f>"96/11/14"</f>
        <v>96/11/14</v>
      </c>
      <c r="AE99" s="1" t="str">
        <f>"اختتام"</f>
        <v>اختتام</v>
      </c>
      <c r="AF99" s="1" t="str">
        <f>""</f>
        <v/>
      </c>
      <c r="AG99" s="1" t="str">
        <f>""</f>
        <v/>
      </c>
      <c r="AH99" s="1" t="str">
        <f>""</f>
        <v/>
      </c>
      <c r="AI99" s="1" t="str">
        <f>""</f>
        <v/>
      </c>
      <c r="AJ99" s="1" t="str">
        <f>""</f>
        <v/>
      </c>
      <c r="AK99" s="1" t="str">
        <f>""</f>
        <v/>
      </c>
    </row>
    <row r="100" spans="1:37">
      <c r="A100" s="1">
        <v>100000</v>
      </c>
      <c r="B100" s="1">
        <v>966200750</v>
      </c>
      <c r="C100" s="1" t="str">
        <f>"تخليه -لرستان -اليگودرز-شهرك صنعتي كيلومتر10جاده ازنا-اليگودرز-شركت ره دژزاگرس"</f>
        <v>تخليه -لرستان -اليگودرز-شهرك صنعتي كيلومتر10جاده ازنا-اليگودرز-شركت ره دژزاگرس</v>
      </c>
      <c r="D100" s="1">
        <v>13350</v>
      </c>
      <c r="E100" s="1">
        <v>100000</v>
      </c>
      <c r="F100" s="1">
        <v>96</v>
      </c>
      <c r="G100" s="1">
        <v>0</v>
      </c>
      <c r="H100" s="1" t="str">
        <f>"96/12/26"</f>
        <v>96/12/26</v>
      </c>
      <c r="I100" s="1" t="str">
        <f>"كيلوگرم"</f>
        <v>كيلوگرم</v>
      </c>
      <c r="J100" s="1" t="str">
        <f>"0000000076"</f>
        <v>0000000076</v>
      </c>
      <c r="K100" s="1" t="str">
        <f>"قير 60/70 - فله"</f>
        <v>قير 60/70 - فله</v>
      </c>
      <c r="L100" s="1">
        <v>100</v>
      </c>
      <c r="M100" s="1" t="str">
        <f>"مخازن قير اصفهان"</f>
        <v>مخازن قير اصفهان</v>
      </c>
      <c r="N100" s="1">
        <v>8650</v>
      </c>
      <c r="O100" s="1">
        <v>50039111</v>
      </c>
      <c r="P100" s="1" t="str">
        <f>"  ره دژزاگرس"</f>
        <v xml:space="preserve">  ره دژزاگرس</v>
      </c>
      <c r="Q100" s="1">
        <v>62</v>
      </c>
      <c r="R100" s="1" t="str">
        <f>"فروش داخلي - سازمان بنيادمسكن انقلاب اسلامي"</f>
        <v>فروش داخلي - سازمان بنيادمسكن انقلاب اسلامي</v>
      </c>
      <c r="S100" s="1" t="str">
        <f>"قرارداد فروش"</f>
        <v>قرارداد فروش</v>
      </c>
      <c r="T100" s="1" t="str">
        <f>"ندارد"</f>
        <v>ندارد</v>
      </c>
      <c r="U100" s="1" t="str">
        <f>"رضائي كلهر حسن (1901099)"</f>
        <v>رضائي كلهر حسن (1901099)</v>
      </c>
      <c r="V100" s="1">
        <v>966200750</v>
      </c>
      <c r="W100" s="1">
        <v>966200750</v>
      </c>
      <c r="X100" s="1" t="str">
        <f>"1396555422"</f>
        <v>1396555422</v>
      </c>
      <c r="Y100" s="1" t="str">
        <f>"96/12/26"</f>
        <v>96/12/26</v>
      </c>
      <c r="Z100" s="1" t="str">
        <f>"59747/د"</f>
        <v>59747/د</v>
      </c>
      <c r="AA100" s="1" t="str">
        <f>"بنيادمسكن انقلاب اسلامي"</f>
        <v>بنيادمسكن انقلاب اسلامي</v>
      </c>
      <c r="AB100" s="1" t="str">
        <f>"96/12/26"</f>
        <v>96/12/26</v>
      </c>
      <c r="AC100" s="1" t="str">
        <f>"لرستان"</f>
        <v>لرستان</v>
      </c>
      <c r="AD100" s="1" t="str">
        <f>"96/12/26"</f>
        <v>96/12/26</v>
      </c>
      <c r="AE100" s="1" t="str">
        <f>"اختتام"</f>
        <v>اختتام</v>
      </c>
      <c r="AF100" s="1" t="str">
        <f>""</f>
        <v/>
      </c>
      <c r="AG100" s="1" t="str">
        <f>""</f>
        <v/>
      </c>
      <c r="AH100" s="1" t="str">
        <f>""</f>
        <v/>
      </c>
      <c r="AI100" s="1" t="str">
        <f>""</f>
        <v/>
      </c>
      <c r="AJ100" s="1" t="str">
        <f>""</f>
        <v/>
      </c>
      <c r="AK100" s="1" t="str">
        <f>""</f>
        <v/>
      </c>
    </row>
    <row r="101" spans="1:37">
      <c r="A101" s="1">
        <v>185000</v>
      </c>
      <c r="B101" s="1">
        <v>966200368</v>
      </c>
      <c r="C101" s="1" t="str">
        <f>"كاشان -كيلو متر 19جاده قم -كاشان- شرکت درم"</f>
        <v>كاشان -كيلو متر 19جاده قم -كاشان- شرکت درم</v>
      </c>
      <c r="D101" s="1">
        <v>9416</v>
      </c>
      <c r="E101" s="1">
        <v>185000</v>
      </c>
      <c r="F101" s="1">
        <v>96</v>
      </c>
      <c r="G101" s="1">
        <v>0</v>
      </c>
      <c r="H101" s="1" t="str">
        <f>"96/08/14"</f>
        <v>96/08/14</v>
      </c>
      <c r="I101" s="1" t="str">
        <f>"كيلوگرم"</f>
        <v>كيلوگرم</v>
      </c>
      <c r="J101" s="1" t="str">
        <f>"0000000076"</f>
        <v>0000000076</v>
      </c>
      <c r="K101" s="1" t="str">
        <f>"قير 60/70 - فله"</f>
        <v>قير 60/70 - فله</v>
      </c>
      <c r="L101" s="1">
        <v>100</v>
      </c>
      <c r="M101" s="1" t="str">
        <f>"مخازن قير اصفهان"</f>
        <v>مخازن قير اصفهان</v>
      </c>
      <c r="N101" s="1">
        <v>8073</v>
      </c>
      <c r="O101" s="1">
        <v>50037052</v>
      </c>
      <c r="P101" s="1" t="str">
        <f>"  درم"</f>
        <v xml:space="preserve">  درم</v>
      </c>
      <c r="Q101" s="1">
        <v>62</v>
      </c>
      <c r="R101" s="1" t="str">
        <f>"فروش داخلي - سازمان بنيادمسكن انقلاب اسلامي"</f>
        <v>فروش داخلي - سازمان بنيادمسكن انقلاب اسلامي</v>
      </c>
      <c r="S101" s="1" t="str">
        <f>"قرارداد فروش"</f>
        <v>قرارداد فروش</v>
      </c>
      <c r="T101" s="1" t="str">
        <f>"ندارد"</f>
        <v>ندارد</v>
      </c>
      <c r="U101" s="1" t="str">
        <f>"كبيري رحمت اله(1024ج89)"</f>
        <v>كبيري رحمت اله(1024ج89)</v>
      </c>
      <c r="V101" s="1">
        <v>966200368</v>
      </c>
      <c r="W101" s="1">
        <v>966200368</v>
      </c>
      <c r="X101" s="1" t="str">
        <f>"1396523698"</f>
        <v>1396523698</v>
      </c>
      <c r="Y101" s="1" t="str">
        <f>"96/08/14"</f>
        <v>96/08/14</v>
      </c>
      <c r="Z101" s="1" t="str">
        <f>"36114/د"</f>
        <v>36114/د</v>
      </c>
      <c r="AA101" s="1" t="str">
        <f>"بنيادمسكن انقلاب اسلامي"</f>
        <v>بنيادمسكن انقلاب اسلامي</v>
      </c>
      <c r="AB101" s="1" t="str">
        <f>"96/08/13"</f>
        <v>96/08/13</v>
      </c>
      <c r="AC101" s="1" t="str">
        <f>"استان اصفهان"</f>
        <v>استان اصفهان</v>
      </c>
      <c r="AD101" s="1" t="str">
        <f>"96/08/14"</f>
        <v>96/08/14</v>
      </c>
      <c r="AE101" s="1" t="str">
        <f>"اختتام"</f>
        <v>اختتام</v>
      </c>
      <c r="AF101" s="1" t="str">
        <f>""</f>
        <v/>
      </c>
      <c r="AG101" s="1" t="str">
        <f>""</f>
        <v/>
      </c>
      <c r="AH101" s="1" t="str">
        <f>""</f>
        <v/>
      </c>
      <c r="AI101" s="1" t="str">
        <f>""</f>
        <v/>
      </c>
      <c r="AJ101" s="1" t="str">
        <f>""</f>
        <v/>
      </c>
      <c r="AK101" s="1" t="str">
        <f>""</f>
        <v/>
      </c>
    </row>
    <row r="102" spans="1:37">
      <c r="A102" s="1">
        <v>108000</v>
      </c>
      <c r="B102" s="1">
        <v>966200143</v>
      </c>
      <c r="C102" s="1" t="str">
        <f>"تخليه - خراسان شمالي -کيلومتر 30 جاده بجنورد-آشخانه - کارخانه آسفالت  شرکت بلند آشيان"</f>
        <v>تخليه - خراسان شمالي -کيلومتر 30 جاده بجنورد-آشخانه - کارخانه آسفالت  شرکت بلند آشيان</v>
      </c>
      <c r="D102" s="1">
        <v>8704</v>
      </c>
      <c r="E102" s="1">
        <v>106620</v>
      </c>
      <c r="F102" s="1">
        <v>96</v>
      </c>
      <c r="G102" s="1">
        <v>1380</v>
      </c>
      <c r="H102" s="1" t="str">
        <f>"96/04/31"</f>
        <v>96/04/31</v>
      </c>
      <c r="I102" s="1" t="str">
        <f>"كيلوگرم"</f>
        <v>كيلوگرم</v>
      </c>
      <c r="J102" s="1" t="str">
        <f>"0000000076"</f>
        <v>0000000076</v>
      </c>
      <c r="K102" s="1" t="str">
        <f>"قير 60/70 - فله"</f>
        <v>قير 60/70 - فله</v>
      </c>
      <c r="L102" s="1">
        <v>100</v>
      </c>
      <c r="M102" s="1" t="str">
        <f>"مخازن قير اصفهان"</f>
        <v>مخازن قير اصفهان</v>
      </c>
      <c r="N102" s="1">
        <v>8308</v>
      </c>
      <c r="O102" s="1">
        <v>50035287</v>
      </c>
      <c r="P102" s="1" t="str">
        <f>"  بلندآشيان شرق"</f>
        <v xml:space="preserve">  بلندآشيان شرق</v>
      </c>
      <c r="Q102" s="1">
        <v>62</v>
      </c>
      <c r="R102" s="1" t="str">
        <f>"فروش داخلي - سازمان بنيادمسكن انقلاب اسلامي"</f>
        <v>فروش داخلي - سازمان بنيادمسكن انقلاب اسلامي</v>
      </c>
      <c r="S102" s="1" t="str">
        <f>"قرارداد فروش"</f>
        <v>قرارداد فروش</v>
      </c>
      <c r="T102" s="1" t="str">
        <f>"ندارد"</f>
        <v>ندارد</v>
      </c>
      <c r="U102" s="1" t="str">
        <f>"نظام دوست امين (1911102)"</f>
        <v>نظام دوست امين (1911102)</v>
      </c>
      <c r="V102" s="1">
        <v>966200143</v>
      </c>
      <c r="W102" s="1">
        <v>966200143</v>
      </c>
      <c r="X102" s="1" t="str">
        <f>"1396498686"</f>
        <v>1396498686</v>
      </c>
      <c r="Y102" s="1" t="str">
        <f>"96/04/31"</f>
        <v>96/04/31</v>
      </c>
      <c r="Z102" s="1" t="str">
        <f>"16905/د"</f>
        <v>16905/د</v>
      </c>
      <c r="AA102" s="1" t="str">
        <f>"بنيادمسكن انقلاب اسلامي"</f>
        <v>بنيادمسكن انقلاب اسلامي</v>
      </c>
      <c r="AB102" s="1" t="str">
        <f>"96/04/26"</f>
        <v>96/04/26</v>
      </c>
      <c r="AC102" s="1" t="str">
        <f>"خراسان شمالي"</f>
        <v>خراسان شمالي</v>
      </c>
      <c r="AD102" s="1" t="str">
        <f>"96/04/31"</f>
        <v>96/04/31</v>
      </c>
      <c r="AE102" s="1" t="str">
        <f>"اختتام"</f>
        <v>اختتام</v>
      </c>
      <c r="AF102" s="1" t="str">
        <f>""</f>
        <v/>
      </c>
      <c r="AG102" s="1" t="str">
        <f>""</f>
        <v/>
      </c>
      <c r="AH102" s="1" t="str">
        <f>""</f>
        <v/>
      </c>
      <c r="AI102" s="1" t="str">
        <f>""</f>
        <v/>
      </c>
      <c r="AJ102" s="1" t="str">
        <f>""</f>
        <v/>
      </c>
      <c r="AK102" s="1" t="str">
        <f>""</f>
        <v/>
      </c>
    </row>
    <row r="103" spans="1:37">
      <c r="A103" s="1">
        <v>84538</v>
      </c>
      <c r="B103" s="1">
        <v>962000272</v>
      </c>
      <c r="C103" s="1" t="str">
        <f>"تخليه -خراسان جنوبي -کارخانه آسفالت شهرداري نهبندان"</f>
        <v>تخليه -خراسان جنوبي -کارخانه آسفالت شهرداري نهبندان</v>
      </c>
      <c r="D103" s="1">
        <v>9113</v>
      </c>
      <c r="E103" s="1">
        <v>84538</v>
      </c>
      <c r="F103" s="1">
        <v>96</v>
      </c>
      <c r="G103" s="1">
        <v>0</v>
      </c>
      <c r="H103" s="1" t="str">
        <f>"96/09/08"</f>
        <v>96/09/08</v>
      </c>
      <c r="I103" s="1" t="str">
        <f>"كيلوگرم"</f>
        <v>كيلوگرم</v>
      </c>
      <c r="J103" s="1" t="str">
        <f>"0000000076"</f>
        <v>0000000076</v>
      </c>
      <c r="K103" s="1" t="str">
        <f>"قير 60/70 - فله"</f>
        <v>قير 60/70 - فله</v>
      </c>
      <c r="L103" s="1">
        <v>100</v>
      </c>
      <c r="M103" s="1" t="str">
        <f>"مخازن قير اصفهان"</f>
        <v>مخازن قير اصفهان</v>
      </c>
      <c r="N103" s="1">
        <v>8169</v>
      </c>
      <c r="O103" s="1">
        <v>50037401</v>
      </c>
      <c r="P103" s="1" t="str">
        <f>"  شهرداري نهبندان"</f>
        <v xml:space="preserve">  شهرداري نهبندان</v>
      </c>
      <c r="Q103" s="1">
        <v>20</v>
      </c>
      <c r="R103" s="1" t="str">
        <f>"فروش داخلي - سازمان شهرداري ها و دهياري هاي كشور"</f>
        <v>فروش داخلي - سازمان شهرداري ها و دهياري هاي كشور</v>
      </c>
      <c r="S103" s="1" t="str">
        <f>"قرارداد فروش"</f>
        <v>قرارداد فروش</v>
      </c>
      <c r="T103" s="1" t="str">
        <f>"ندارد"</f>
        <v>ندارد</v>
      </c>
      <c r="U103" s="1" t="str">
        <f>"تعاوني جم گستر (1001 ج 89)"</f>
        <v>تعاوني جم گستر (1001 ج 89)</v>
      </c>
      <c r="V103" s="1">
        <v>962000272</v>
      </c>
      <c r="W103" s="1">
        <v>962000272</v>
      </c>
      <c r="X103" s="1" t="str">
        <f>"1396514467"</f>
        <v>1396514467</v>
      </c>
      <c r="Y103" s="1" t="str">
        <f>"96/09/08"</f>
        <v>96/09/08</v>
      </c>
      <c r="Z103" s="1" t="str">
        <f>"37075مرحله دوم"</f>
        <v>37075مرحله دوم</v>
      </c>
      <c r="AA103" s="1" t="str">
        <f>"شهرداريها"</f>
        <v>شهرداريها</v>
      </c>
      <c r="AB103" s="1" t="str">
        <f>"96/09/04"</f>
        <v>96/09/04</v>
      </c>
      <c r="AC103" s="1" t="str">
        <f>"خراسان جنوبي"</f>
        <v>خراسان جنوبي</v>
      </c>
      <c r="AD103" s="1" t="str">
        <f>"96/07/03"</f>
        <v>96/07/03</v>
      </c>
      <c r="AE103" s="1" t="str">
        <f>"اختتام"</f>
        <v>اختتام</v>
      </c>
      <c r="AF103" s="1" t="str">
        <f>""</f>
        <v/>
      </c>
      <c r="AG103" s="1" t="str">
        <f>""</f>
        <v/>
      </c>
      <c r="AH103" s="1" t="str">
        <f>""</f>
        <v/>
      </c>
      <c r="AI103" s="1" t="str">
        <f>""</f>
        <v/>
      </c>
      <c r="AJ103" s="1" t="str">
        <f>""</f>
        <v/>
      </c>
      <c r="AK103" s="1" t="str">
        <f>""</f>
        <v/>
      </c>
    </row>
    <row r="104" spans="1:37">
      <c r="A104" s="1">
        <v>87551</v>
      </c>
      <c r="B104" s="1">
        <v>962000237</v>
      </c>
      <c r="C104" s="1" t="str">
        <f>"تخليه يزدكيلومتر15جاده بافق بهابادكارخانه آسفالت شهرداري"</f>
        <v>تخليه يزدكيلومتر15جاده بافق بهابادكارخانه آسفالت شهرداري</v>
      </c>
      <c r="D104" s="1">
        <v>9113</v>
      </c>
      <c r="E104" s="1">
        <v>87551</v>
      </c>
      <c r="F104" s="1">
        <v>96</v>
      </c>
      <c r="G104" s="1">
        <v>0</v>
      </c>
      <c r="H104" s="1" t="str">
        <f>"96/09/07"</f>
        <v>96/09/07</v>
      </c>
      <c r="I104" s="1" t="str">
        <f>"كيلوگرم"</f>
        <v>كيلوگرم</v>
      </c>
      <c r="J104" s="1" t="str">
        <f>"0000000076"</f>
        <v>0000000076</v>
      </c>
      <c r="K104" s="1" t="str">
        <f>"قير 60/70 - فله"</f>
        <v>قير 60/70 - فله</v>
      </c>
      <c r="L104" s="1">
        <v>100</v>
      </c>
      <c r="M104" s="1" t="str">
        <f>"مخازن قير اصفهان"</f>
        <v>مخازن قير اصفهان</v>
      </c>
      <c r="N104" s="1">
        <v>8886</v>
      </c>
      <c r="O104" s="1">
        <v>50037282</v>
      </c>
      <c r="P104" s="1" t="str">
        <f>"  شهرداري بافق"</f>
        <v xml:space="preserve">  شهرداري بافق</v>
      </c>
      <c r="Q104" s="1">
        <v>20</v>
      </c>
      <c r="R104" s="1" t="str">
        <f>"فروش داخلي - سازمان شهرداري ها و دهياري هاي كشور"</f>
        <v>فروش داخلي - سازمان شهرداري ها و دهياري هاي كشور</v>
      </c>
      <c r="S104" s="1" t="str">
        <f>"قرارداد فروش"</f>
        <v>قرارداد فروش</v>
      </c>
      <c r="T104" s="1" t="str">
        <f>"ندارد"</f>
        <v>ندارد</v>
      </c>
      <c r="U104" s="1" t="str">
        <f>"تعاوني جم گستر (1001 ج 89)"</f>
        <v>تعاوني جم گستر (1001 ج 89)</v>
      </c>
      <c r="V104" s="1">
        <v>962000237</v>
      </c>
      <c r="W104" s="1">
        <v>962000237</v>
      </c>
      <c r="X104" s="1" t="str">
        <f>"1396514467"</f>
        <v>1396514467</v>
      </c>
      <c r="Y104" s="1" t="str">
        <f>"96/09/07"</f>
        <v>96/09/07</v>
      </c>
      <c r="Z104" s="1" t="str">
        <f>"36641مرحله دوم"</f>
        <v>36641مرحله دوم</v>
      </c>
      <c r="AA104" s="1" t="str">
        <f>"شهرداريها"</f>
        <v>شهرداريها</v>
      </c>
      <c r="AB104" s="1" t="str">
        <f>"96/09/01"</f>
        <v>96/09/01</v>
      </c>
      <c r="AC104" s="1" t="str">
        <f>"استان يزد"</f>
        <v>استان يزد</v>
      </c>
      <c r="AD104" s="1" t="str">
        <f>"96/07/03"</f>
        <v>96/07/03</v>
      </c>
      <c r="AE104" s="1" t="str">
        <f>"اختتام"</f>
        <v>اختتام</v>
      </c>
      <c r="AF104" s="1" t="str">
        <f>""</f>
        <v/>
      </c>
      <c r="AG104" s="1" t="str">
        <f>""</f>
        <v/>
      </c>
      <c r="AH104" s="1" t="str">
        <f>""</f>
        <v/>
      </c>
      <c r="AI104" s="1" t="str">
        <f>""</f>
        <v/>
      </c>
      <c r="AJ104" s="1" t="str">
        <f>""</f>
        <v/>
      </c>
      <c r="AK104" s="1" t="str">
        <f>""</f>
        <v/>
      </c>
    </row>
    <row r="105" spans="1:37">
      <c r="A105" s="1">
        <v>63000</v>
      </c>
      <c r="B105" s="1">
        <v>966200022</v>
      </c>
      <c r="C105" s="1" t="str">
        <f>"تخليه-مازندران-کيلومتر 10 جاده آمل محمود آباد-پشت شهرک صنعتي تشبندان-کارخانه آسفالت ارجمنديان"</f>
        <v>تخليه-مازندران-کيلومتر 10 جاده آمل محمود آباد-پشت شهرک صنعتي تشبندان-کارخانه آسفالت ارجمنديان</v>
      </c>
      <c r="D105" s="1">
        <v>8198</v>
      </c>
      <c r="E105" s="1">
        <v>61620</v>
      </c>
      <c r="F105" s="1">
        <v>96</v>
      </c>
      <c r="G105" s="1">
        <v>1380</v>
      </c>
      <c r="H105" s="1" t="str">
        <f>"96/01/23"</f>
        <v>96/01/23</v>
      </c>
      <c r="I105" s="1" t="str">
        <f>"كيلوگرم"</f>
        <v>كيلوگرم</v>
      </c>
      <c r="J105" s="1" t="str">
        <f>"0000000076"</f>
        <v>0000000076</v>
      </c>
      <c r="K105" s="1" t="str">
        <f>"قير 60/70 - فله"</f>
        <v>قير 60/70 - فله</v>
      </c>
      <c r="L105" s="1">
        <v>100</v>
      </c>
      <c r="M105" s="1" t="str">
        <f>"مخازن قير اصفهان"</f>
        <v>مخازن قير اصفهان</v>
      </c>
      <c r="N105" s="1">
        <v>8903</v>
      </c>
      <c r="O105" s="1">
        <v>50034533</v>
      </c>
      <c r="P105" s="1" t="str">
        <f>"  بنيادمسكن انقلاب اسلامي مازندران"</f>
        <v xml:space="preserve">  بنيادمسكن انقلاب اسلامي مازندران</v>
      </c>
      <c r="Q105" s="1">
        <v>62</v>
      </c>
      <c r="R105" s="1" t="str">
        <f>"فروش داخلي - سازمان بنيادمسكن انقلاب اسلامي"</f>
        <v>فروش داخلي - سازمان بنيادمسكن انقلاب اسلامي</v>
      </c>
      <c r="S105" s="1" t="str">
        <f>"قرارداد فروش"</f>
        <v>قرارداد فروش</v>
      </c>
      <c r="T105" s="1" t="str">
        <f>"ندارد"</f>
        <v>ندارد</v>
      </c>
      <c r="U105" s="1" t="str">
        <f>"شيشه بر كريم(1841016)"</f>
        <v>شيشه بر كريم(1841016)</v>
      </c>
      <c r="V105" s="1">
        <v>966200022</v>
      </c>
      <c r="W105" s="1">
        <v>966200022</v>
      </c>
      <c r="X105" s="1" t="str">
        <f>"1396474034"</f>
        <v>1396474034</v>
      </c>
      <c r="Y105" s="1" t="str">
        <f>"96/01/23"</f>
        <v>96/01/23</v>
      </c>
      <c r="Z105" s="1" t="str">
        <f>"1452/د"</f>
        <v>1452/د</v>
      </c>
      <c r="AA105" s="1" t="str">
        <f>"بنيادمسكن انقلاب اسلامي"</f>
        <v>بنيادمسكن انقلاب اسلامي</v>
      </c>
      <c r="AB105" s="1" t="str">
        <f>"96/01/21"</f>
        <v>96/01/21</v>
      </c>
      <c r="AC105" s="1" t="str">
        <f>"استان مازندران"</f>
        <v>استان مازندران</v>
      </c>
      <c r="AD105" s="1" t="str">
        <f>"96/01/23"</f>
        <v>96/01/23</v>
      </c>
      <c r="AE105" s="1" t="str">
        <f>"اختتام"</f>
        <v>اختتام</v>
      </c>
      <c r="AF105" s="1" t="str">
        <f>""</f>
        <v/>
      </c>
      <c r="AG105" s="1" t="str">
        <f>""</f>
        <v/>
      </c>
      <c r="AH105" s="1" t="str">
        <f>""</f>
        <v/>
      </c>
      <c r="AI105" s="1" t="str">
        <f>""</f>
        <v/>
      </c>
      <c r="AJ105" s="1" t="str">
        <f>""</f>
        <v/>
      </c>
      <c r="AK105" s="1" t="str">
        <f>""</f>
        <v/>
      </c>
    </row>
    <row r="106" spans="1:37">
      <c r="A106" s="1">
        <v>93000</v>
      </c>
      <c r="B106" s="1">
        <v>966200158</v>
      </c>
      <c r="C106" s="1" t="str">
        <f>"تخليه-مازندران-کيلومتر 10 جاده آمل محمود آباد-پشت شهرک صنعتي تشبندان-کارخانه آسفالت ارجمنديان"</f>
        <v>تخليه-مازندران-کيلومتر 10 جاده آمل محمود آباد-پشت شهرک صنعتي تشبندان-کارخانه آسفالت ارجمنديان</v>
      </c>
      <c r="D106" s="1">
        <v>8704</v>
      </c>
      <c r="E106" s="1">
        <v>93000</v>
      </c>
      <c r="F106" s="1">
        <v>96</v>
      </c>
      <c r="G106" s="1">
        <v>0</v>
      </c>
      <c r="H106" s="1" t="str">
        <f>"96/05/08"</f>
        <v>96/05/08</v>
      </c>
      <c r="I106" s="1" t="str">
        <f>"كيلوگرم"</f>
        <v>كيلوگرم</v>
      </c>
      <c r="J106" s="1" t="str">
        <f>"0000000076"</f>
        <v>0000000076</v>
      </c>
      <c r="K106" s="1" t="str">
        <f>"قير 60/70 - فله"</f>
        <v>قير 60/70 - فله</v>
      </c>
      <c r="L106" s="1">
        <v>100</v>
      </c>
      <c r="M106" s="1" t="str">
        <f>"مخازن قير اصفهان"</f>
        <v>مخازن قير اصفهان</v>
      </c>
      <c r="N106" s="1">
        <v>8903</v>
      </c>
      <c r="O106" s="1">
        <v>50035397</v>
      </c>
      <c r="P106" s="1" t="str">
        <f>"  بنيادمسكن انقلاب اسلامي مازندران"</f>
        <v xml:space="preserve">  بنيادمسكن انقلاب اسلامي مازندران</v>
      </c>
      <c r="Q106" s="1">
        <v>62</v>
      </c>
      <c r="R106" s="1" t="str">
        <f>"فروش داخلي - سازمان بنيادمسكن انقلاب اسلامي"</f>
        <v>فروش داخلي - سازمان بنيادمسكن انقلاب اسلامي</v>
      </c>
      <c r="S106" s="1" t="str">
        <f>"قرارداد فروش"</f>
        <v>قرارداد فروش</v>
      </c>
      <c r="T106" s="1" t="str">
        <f>"ندارد"</f>
        <v>ندارد</v>
      </c>
      <c r="U106" s="1" t="str">
        <f>"شيشه بر كريم(1841016)"</f>
        <v>شيشه بر كريم(1841016)</v>
      </c>
      <c r="V106" s="1">
        <v>966200158</v>
      </c>
      <c r="W106" s="1">
        <v>966200158</v>
      </c>
      <c r="X106" s="1" t="str">
        <f>"1396500984"</f>
        <v>1396500984</v>
      </c>
      <c r="Y106" s="1" t="str">
        <f>"96/05/08"</f>
        <v>96/05/08</v>
      </c>
      <c r="Z106" s="1" t="str">
        <f>"18663/د"</f>
        <v>18663/د</v>
      </c>
      <c r="AA106" s="1" t="str">
        <f>"بنيادمسكن انقلاب اسلامي"</f>
        <v>بنيادمسكن انقلاب اسلامي</v>
      </c>
      <c r="AB106" s="1" t="str">
        <f>"96/05/07"</f>
        <v>96/05/07</v>
      </c>
      <c r="AC106" s="1" t="str">
        <f>"استان مازندران"</f>
        <v>استان مازندران</v>
      </c>
      <c r="AD106" s="1" t="str">
        <f>"96/05/08"</f>
        <v>96/05/08</v>
      </c>
      <c r="AE106" s="1" t="str">
        <f>"اختتام"</f>
        <v>اختتام</v>
      </c>
      <c r="AF106" s="1" t="str">
        <f>""</f>
        <v/>
      </c>
      <c r="AG106" s="1" t="str">
        <f>""</f>
        <v/>
      </c>
      <c r="AH106" s="1" t="str">
        <f>""</f>
        <v/>
      </c>
      <c r="AI106" s="1" t="str">
        <f>""</f>
        <v/>
      </c>
      <c r="AJ106" s="1" t="str">
        <f>""</f>
        <v/>
      </c>
      <c r="AK106" s="1" t="str">
        <f>""</f>
        <v/>
      </c>
    </row>
    <row r="107" spans="1:37">
      <c r="A107" s="1">
        <v>284000</v>
      </c>
      <c r="B107" s="1">
        <v>966200169</v>
      </c>
      <c r="C107" s="1" t="str">
        <f>"تخليه - مازندران-کمربندي نکا- روستاي چاله پل-کارخانه آسفالت سليم بهرامي"</f>
        <v>تخليه - مازندران-کمربندي نکا- روستاي چاله پل-کارخانه آسفالت سليم بهرامي</v>
      </c>
      <c r="D107" s="1">
        <v>8704</v>
      </c>
      <c r="E107" s="1">
        <v>284000</v>
      </c>
      <c r="F107" s="1">
        <v>96</v>
      </c>
      <c r="G107" s="1">
        <v>0</v>
      </c>
      <c r="H107" s="1" t="str">
        <f>"96/05/15"</f>
        <v>96/05/15</v>
      </c>
      <c r="I107" s="1" t="str">
        <f>"كيلوگرم"</f>
        <v>كيلوگرم</v>
      </c>
      <c r="J107" s="1" t="str">
        <f>"0000000076"</f>
        <v>0000000076</v>
      </c>
      <c r="K107" s="1" t="str">
        <f>"قير 60/70 - فله"</f>
        <v>قير 60/70 - فله</v>
      </c>
      <c r="L107" s="1">
        <v>100</v>
      </c>
      <c r="M107" s="1" t="str">
        <f>"مخازن قير اصفهان"</f>
        <v>مخازن قير اصفهان</v>
      </c>
      <c r="N107" s="1">
        <v>8903</v>
      </c>
      <c r="O107" s="1">
        <v>50035524</v>
      </c>
      <c r="P107" s="1" t="str">
        <f>"  بنيادمسكن انقلاب اسلامي مازندران"</f>
        <v xml:space="preserve">  بنيادمسكن انقلاب اسلامي مازندران</v>
      </c>
      <c r="Q107" s="1">
        <v>62</v>
      </c>
      <c r="R107" s="1" t="str">
        <f>"فروش داخلي - سازمان بنيادمسكن انقلاب اسلامي"</f>
        <v>فروش داخلي - سازمان بنيادمسكن انقلاب اسلامي</v>
      </c>
      <c r="S107" s="1" t="str">
        <f>"قرارداد فروش"</f>
        <v>قرارداد فروش</v>
      </c>
      <c r="T107" s="1" t="str">
        <f>"ندارد"</f>
        <v>ندارد</v>
      </c>
      <c r="U107" s="1" t="str">
        <f>"شيشه بر كريم(1841016)"</f>
        <v>شيشه بر كريم(1841016)</v>
      </c>
      <c r="V107" s="1">
        <v>966200169</v>
      </c>
      <c r="W107" s="1">
        <v>966200169</v>
      </c>
      <c r="X107" s="1" t="str">
        <f>"1396502842"</f>
        <v>1396502842</v>
      </c>
      <c r="Y107" s="1" t="str">
        <f>"96/05/15"</f>
        <v>96/05/15</v>
      </c>
      <c r="Z107" s="1" t="str">
        <f>"19669/د"</f>
        <v>19669/د</v>
      </c>
      <c r="AA107" s="1" t="str">
        <f>"بنيادمسكن انقلاب اسلامي"</f>
        <v>بنيادمسكن انقلاب اسلامي</v>
      </c>
      <c r="AB107" s="1" t="str">
        <f>"96/05/11"</f>
        <v>96/05/11</v>
      </c>
      <c r="AC107" s="1" t="str">
        <f>"استان مازندران"</f>
        <v>استان مازندران</v>
      </c>
      <c r="AD107" s="1" t="str">
        <f>"96/05/15"</f>
        <v>96/05/15</v>
      </c>
      <c r="AE107" s="1" t="str">
        <f>"اختتام"</f>
        <v>اختتام</v>
      </c>
      <c r="AF107" s="1" t="str">
        <f>""</f>
        <v/>
      </c>
      <c r="AG107" s="1" t="str">
        <f>""</f>
        <v/>
      </c>
      <c r="AH107" s="1" t="str">
        <f>""</f>
        <v/>
      </c>
      <c r="AI107" s="1" t="str">
        <f>""</f>
        <v/>
      </c>
      <c r="AJ107" s="1" t="str">
        <f>""</f>
        <v/>
      </c>
      <c r="AK107" s="1" t="str">
        <f>""</f>
        <v/>
      </c>
    </row>
    <row r="108" spans="1:37">
      <c r="A108" s="1">
        <v>49000</v>
      </c>
      <c r="B108" s="1">
        <v>966200177</v>
      </c>
      <c r="C108" s="1" t="str">
        <f>"تخليه-مازندران-کيلومتر 10 جاده آمل محمود آباد-پشت شهرک صنعتي تشبندان-کارخانه آسفالت ارجمنديان"</f>
        <v>تخليه-مازندران-کيلومتر 10 جاده آمل محمود آباد-پشت شهرک صنعتي تشبندان-کارخانه آسفالت ارجمنديان</v>
      </c>
      <c r="D108" s="1">
        <v>8704</v>
      </c>
      <c r="E108" s="1">
        <v>42400</v>
      </c>
      <c r="F108" s="1">
        <v>96</v>
      </c>
      <c r="G108" s="1">
        <v>6600</v>
      </c>
      <c r="H108" s="1" t="str">
        <f>"96/05/15"</f>
        <v>96/05/15</v>
      </c>
      <c r="I108" s="1" t="str">
        <f>"كيلوگرم"</f>
        <v>كيلوگرم</v>
      </c>
      <c r="J108" s="1" t="str">
        <f>"0000000076"</f>
        <v>0000000076</v>
      </c>
      <c r="K108" s="1" t="str">
        <f>"قير 60/70 - فله"</f>
        <v>قير 60/70 - فله</v>
      </c>
      <c r="L108" s="1">
        <v>100</v>
      </c>
      <c r="M108" s="1" t="str">
        <f>"مخازن قير اصفهان"</f>
        <v>مخازن قير اصفهان</v>
      </c>
      <c r="N108" s="1">
        <v>8903</v>
      </c>
      <c r="O108" s="1">
        <v>50035532</v>
      </c>
      <c r="P108" s="1" t="str">
        <f>"  بنيادمسكن انقلاب اسلامي مازندران"</f>
        <v xml:space="preserve">  بنيادمسكن انقلاب اسلامي مازندران</v>
      </c>
      <c r="Q108" s="1">
        <v>62</v>
      </c>
      <c r="R108" s="1" t="str">
        <f>"فروش داخلي - سازمان بنيادمسكن انقلاب اسلامي"</f>
        <v>فروش داخلي - سازمان بنيادمسكن انقلاب اسلامي</v>
      </c>
      <c r="S108" s="1" t="str">
        <f>"قرارداد فروش"</f>
        <v>قرارداد فروش</v>
      </c>
      <c r="T108" s="1" t="str">
        <f>"ندارد"</f>
        <v>ندارد</v>
      </c>
      <c r="U108" s="1" t="str">
        <f>"شيشه بر كريم(1841016)"</f>
        <v>شيشه بر كريم(1841016)</v>
      </c>
      <c r="V108" s="1">
        <v>966200177</v>
      </c>
      <c r="W108" s="1">
        <v>966200177</v>
      </c>
      <c r="X108" s="1" t="str">
        <f>"1396502842"</f>
        <v>1396502842</v>
      </c>
      <c r="Y108" s="1" t="str">
        <f>"96/05/15"</f>
        <v>96/05/15</v>
      </c>
      <c r="Z108" s="1" t="str">
        <f>"19678/د"</f>
        <v>19678/د</v>
      </c>
      <c r="AA108" s="1" t="str">
        <f>"بنيادمسكن انقلاب اسلامي"</f>
        <v>بنيادمسكن انقلاب اسلامي</v>
      </c>
      <c r="AB108" s="1" t="str">
        <f>"96/05/11"</f>
        <v>96/05/11</v>
      </c>
      <c r="AC108" s="1" t="str">
        <f>"استان مازندران"</f>
        <v>استان مازندران</v>
      </c>
      <c r="AD108" s="1" t="str">
        <f>"96/05/15"</f>
        <v>96/05/15</v>
      </c>
      <c r="AE108" s="1" t="str">
        <f>"اختتام"</f>
        <v>اختتام</v>
      </c>
      <c r="AF108" s="1" t="str">
        <f>""</f>
        <v/>
      </c>
      <c r="AG108" s="1" t="str">
        <f>""</f>
        <v/>
      </c>
      <c r="AH108" s="1" t="str">
        <f>""</f>
        <v/>
      </c>
      <c r="AI108" s="1" t="str">
        <f>""</f>
        <v/>
      </c>
      <c r="AJ108" s="1" t="str">
        <f>""</f>
        <v/>
      </c>
      <c r="AK108" s="1" t="str">
        <f>""</f>
        <v/>
      </c>
    </row>
    <row r="109" spans="1:37">
      <c r="A109" s="1">
        <v>154000</v>
      </c>
      <c r="B109" s="1">
        <v>966200231</v>
      </c>
      <c r="C109" s="1" t="str">
        <f>"تخليه-مازندران-ساري-جاده کياسر-بالا هولار-روستاي علويکلا-کارخانه نوآوران مازند شمال"</f>
        <v>تخليه-مازندران-ساري-جاده کياسر-بالا هولار-روستاي علويکلا-کارخانه نوآوران مازند شمال</v>
      </c>
      <c r="D109" s="1">
        <v>8954</v>
      </c>
      <c r="E109" s="1">
        <v>153300</v>
      </c>
      <c r="F109" s="1">
        <v>96</v>
      </c>
      <c r="G109" s="1">
        <v>700</v>
      </c>
      <c r="H109" s="1" t="str">
        <f>"96/06/21"</f>
        <v>96/06/21</v>
      </c>
      <c r="I109" s="1" t="str">
        <f>"كيلوگرم"</f>
        <v>كيلوگرم</v>
      </c>
      <c r="J109" s="1" t="str">
        <f>"0000000076"</f>
        <v>0000000076</v>
      </c>
      <c r="K109" s="1" t="str">
        <f>"قير 60/70 - فله"</f>
        <v>قير 60/70 - فله</v>
      </c>
      <c r="L109" s="1">
        <v>100</v>
      </c>
      <c r="M109" s="1" t="str">
        <f>"مخازن قير اصفهان"</f>
        <v>مخازن قير اصفهان</v>
      </c>
      <c r="N109" s="1">
        <v>8903</v>
      </c>
      <c r="O109" s="1">
        <v>50035980</v>
      </c>
      <c r="P109" s="1" t="str">
        <f>"  بنيادمسكن انقلاب اسلامي مازندران"</f>
        <v xml:space="preserve">  بنيادمسكن انقلاب اسلامي مازندران</v>
      </c>
      <c r="Q109" s="1">
        <v>62</v>
      </c>
      <c r="R109" s="1" t="str">
        <f>"فروش داخلي - سازمان بنيادمسكن انقلاب اسلامي"</f>
        <v>فروش داخلي - سازمان بنيادمسكن انقلاب اسلامي</v>
      </c>
      <c r="S109" s="1" t="str">
        <f>"قرارداد فروش"</f>
        <v>قرارداد فروش</v>
      </c>
      <c r="T109" s="1" t="str">
        <f>"ندارد"</f>
        <v>ندارد</v>
      </c>
      <c r="U109" s="1" t="str">
        <f>"شيشه بر كريم(1841016)"</f>
        <v>شيشه بر كريم(1841016)</v>
      </c>
      <c r="V109" s="1">
        <v>966200231</v>
      </c>
      <c r="W109" s="1">
        <v>966200231</v>
      </c>
      <c r="X109" s="1" t="str">
        <f>"1396511620"</f>
        <v>1396511620</v>
      </c>
      <c r="Y109" s="1" t="str">
        <f>"96/06/21"</f>
        <v>96/06/21</v>
      </c>
      <c r="Z109" s="1" t="str">
        <f>"26378/د"</f>
        <v>26378/د</v>
      </c>
      <c r="AA109" s="1" t="str">
        <f>"بنيادمسكن انقلاب اسلامي"</f>
        <v>بنيادمسكن انقلاب اسلامي</v>
      </c>
      <c r="AB109" s="1" t="str">
        <f>"96/06/15"</f>
        <v>96/06/15</v>
      </c>
      <c r="AC109" s="1" t="str">
        <f>"استان مازندران"</f>
        <v>استان مازندران</v>
      </c>
      <c r="AD109" s="1" t="str">
        <f>"96/06/21"</f>
        <v>96/06/21</v>
      </c>
      <c r="AE109" s="1" t="str">
        <f>"اختتام"</f>
        <v>اختتام</v>
      </c>
      <c r="AF109" s="1" t="str">
        <f>""</f>
        <v/>
      </c>
      <c r="AG109" s="1" t="str">
        <f>""</f>
        <v/>
      </c>
      <c r="AH109" s="1" t="str">
        <f>""</f>
        <v/>
      </c>
      <c r="AI109" s="1" t="str">
        <f>""</f>
        <v/>
      </c>
      <c r="AJ109" s="1" t="str">
        <f>""</f>
        <v/>
      </c>
      <c r="AK109" s="1" t="str">
        <f>""</f>
        <v/>
      </c>
    </row>
    <row r="110" spans="1:37">
      <c r="A110" s="1">
        <v>228000</v>
      </c>
      <c r="B110" s="1">
        <v>966200452</v>
      </c>
      <c r="C110" s="1" t="str">
        <f>"تخليه-مازندران-کيلومتر 10 جاده آمل محمود آباد-پشت شهرک صنعتي تشبندان-کارخانه آسفالت ارجمنديان"</f>
        <v>تخليه-مازندران-کيلومتر 10 جاده آمل محمود آباد-پشت شهرک صنعتي تشبندان-کارخانه آسفالت ارجمنديان</v>
      </c>
      <c r="D110" s="1">
        <v>12820</v>
      </c>
      <c r="E110" s="1">
        <v>228000</v>
      </c>
      <c r="F110" s="1">
        <v>96</v>
      </c>
      <c r="G110" s="1">
        <v>0</v>
      </c>
      <c r="H110" s="1" t="str">
        <f>"96/09/26"</f>
        <v>96/09/26</v>
      </c>
      <c r="I110" s="1" t="str">
        <f>"كيلوگرم"</f>
        <v>كيلوگرم</v>
      </c>
      <c r="J110" s="1" t="str">
        <f>"0000000076"</f>
        <v>0000000076</v>
      </c>
      <c r="K110" s="1" t="str">
        <f>"قير 60/70 - فله"</f>
        <v>قير 60/70 - فله</v>
      </c>
      <c r="L110" s="1">
        <v>100</v>
      </c>
      <c r="M110" s="1" t="str">
        <f>"مخازن قير اصفهان"</f>
        <v>مخازن قير اصفهان</v>
      </c>
      <c r="N110" s="1">
        <v>8903</v>
      </c>
      <c r="O110" s="1">
        <v>50037880</v>
      </c>
      <c r="P110" s="1" t="str">
        <f>"  بنيادمسكن انقلاب اسلامي مازندران"</f>
        <v xml:space="preserve">  بنيادمسكن انقلاب اسلامي مازندران</v>
      </c>
      <c r="Q110" s="1">
        <v>62</v>
      </c>
      <c r="R110" s="1" t="str">
        <f>"فروش داخلي - سازمان بنيادمسكن انقلاب اسلامي"</f>
        <v>فروش داخلي - سازمان بنيادمسكن انقلاب اسلامي</v>
      </c>
      <c r="S110" s="1" t="str">
        <f>"قرارداد فروش"</f>
        <v>قرارداد فروش</v>
      </c>
      <c r="T110" s="1" t="str">
        <f>"ندارد"</f>
        <v>ندارد</v>
      </c>
      <c r="U110" s="1" t="str">
        <f>"شيشه بر كريم(1841016)"</f>
        <v>شيشه بر كريم(1841016)</v>
      </c>
      <c r="V110" s="1">
        <v>966200452</v>
      </c>
      <c r="W110" s="1">
        <v>966200452</v>
      </c>
      <c r="X110" s="1" t="str">
        <f>"1396532937"</f>
        <v>1396532937</v>
      </c>
      <c r="Y110" s="1" t="str">
        <f>"96/09/26"</f>
        <v>96/09/26</v>
      </c>
      <c r="Z110" s="1" t="str">
        <f>"42208/د"</f>
        <v>42208/د</v>
      </c>
      <c r="AA110" s="1" t="str">
        <f>"بنيادمسكن انقلاب اسلامي"</f>
        <v>بنيادمسكن انقلاب اسلامي</v>
      </c>
      <c r="AB110" s="1" t="str">
        <f>"96/09/25"</f>
        <v>96/09/25</v>
      </c>
      <c r="AC110" s="1" t="str">
        <f>"استان مازندران"</f>
        <v>استان مازندران</v>
      </c>
      <c r="AD110" s="1" t="str">
        <f>"96/09/26"</f>
        <v>96/09/26</v>
      </c>
      <c r="AE110" s="1" t="str">
        <f>"اختتام"</f>
        <v>اختتام</v>
      </c>
      <c r="AF110" s="1" t="str">
        <f>""</f>
        <v/>
      </c>
      <c r="AG110" s="1" t="str">
        <f>""</f>
        <v/>
      </c>
      <c r="AH110" s="1" t="str">
        <f>""</f>
        <v/>
      </c>
      <c r="AI110" s="1" t="str">
        <f>""</f>
        <v/>
      </c>
      <c r="AJ110" s="1" t="str">
        <f>""</f>
        <v/>
      </c>
      <c r="AK110" s="1" t="str">
        <f>""</f>
        <v/>
      </c>
    </row>
    <row r="111" spans="1:37">
      <c r="A111" s="1">
        <v>65707</v>
      </c>
      <c r="B111" s="1">
        <v>962000262</v>
      </c>
      <c r="C111" s="1" t="str">
        <f>"تخليه خراسان جنوبي بيرجندكيلومتر5جاده خوسف بيرجندپشت مجتمع زندان كارخانه مسيرياب بيرجند"</f>
        <v>تخليه خراسان جنوبي بيرجندكيلومتر5جاده خوسف بيرجندپشت مجتمع زندان كارخانه مسيرياب بيرجند</v>
      </c>
      <c r="D111" s="1">
        <v>9113</v>
      </c>
      <c r="E111" s="1">
        <v>61240</v>
      </c>
      <c r="F111" s="1">
        <v>96</v>
      </c>
      <c r="G111" s="1">
        <v>4467</v>
      </c>
      <c r="H111" s="1" t="str">
        <f>"96/09/08"</f>
        <v>96/09/08</v>
      </c>
      <c r="I111" s="1" t="str">
        <f>"كيلوگرم"</f>
        <v>كيلوگرم</v>
      </c>
      <c r="J111" s="1" t="str">
        <f>"0000000076"</f>
        <v>0000000076</v>
      </c>
      <c r="K111" s="1" t="str">
        <f>"قير 60/70 - فله"</f>
        <v>قير 60/70 - فله</v>
      </c>
      <c r="L111" s="1">
        <v>100</v>
      </c>
      <c r="M111" s="1" t="str">
        <f>"مخازن قير اصفهان"</f>
        <v>مخازن قير اصفهان</v>
      </c>
      <c r="N111" s="1">
        <v>8897</v>
      </c>
      <c r="O111" s="1">
        <v>50037391</v>
      </c>
      <c r="P111" s="1" t="str">
        <f>"  شهرداري مود"</f>
        <v xml:space="preserve">  شهرداري مود</v>
      </c>
      <c r="Q111" s="1">
        <v>20</v>
      </c>
      <c r="R111" s="1" t="str">
        <f>"فروش داخلي - سازمان شهرداري ها و دهياري هاي كشور"</f>
        <v>فروش داخلي - سازمان شهرداري ها و دهياري هاي كشور</v>
      </c>
      <c r="S111" s="1" t="str">
        <f>"قرارداد فروش"</f>
        <v>قرارداد فروش</v>
      </c>
      <c r="T111" s="1" t="str">
        <f>"ندارد"</f>
        <v>ندارد</v>
      </c>
      <c r="U111" s="1" t="str">
        <f>"تعاوني جم گستر (1001 ج 89)"</f>
        <v>تعاوني جم گستر (1001 ج 89)</v>
      </c>
      <c r="V111" s="1">
        <v>962000262</v>
      </c>
      <c r="W111" s="1">
        <v>962000262</v>
      </c>
      <c r="X111" s="1" t="str">
        <f>"1396514467"</f>
        <v>1396514467</v>
      </c>
      <c r="Y111" s="1" t="str">
        <f>"96/09/08"</f>
        <v>96/09/08</v>
      </c>
      <c r="Z111" s="1" t="str">
        <f>"37076مرحله دوم"</f>
        <v>37076مرحله دوم</v>
      </c>
      <c r="AA111" s="1" t="str">
        <f>"شهرداريها"</f>
        <v>شهرداريها</v>
      </c>
      <c r="AB111" s="1" t="str">
        <f>"96/09/04"</f>
        <v>96/09/04</v>
      </c>
      <c r="AC111" s="1" t="str">
        <f>"خراسان جنوبي"</f>
        <v>خراسان جنوبي</v>
      </c>
      <c r="AD111" s="1" t="str">
        <f>"96/07/03"</f>
        <v>96/07/03</v>
      </c>
      <c r="AE111" s="1" t="str">
        <f>"اختتام"</f>
        <v>اختتام</v>
      </c>
      <c r="AF111" s="1" t="str">
        <f>""</f>
        <v/>
      </c>
      <c r="AG111" s="1" t="str">
        <f>""</f>
        <v/>
      </c>
      <c r="AH111" s="1" t="str">
        <f>""</f>
        <v/>
      </c>
      <c r="AI111" s="1" t="str">
        <f>""</f>
        <v/>
      </c>
      <c r="AJ111" s="1" t="str">
        <f>""</f>
        <v/>
      </c>
      <c r="AK111" s="1" t="str">
        <f>""</f>
        <v/>
      </c>
    </row>
    <row r="112" spans="1:37">
      <c r="A112" s="1">
        <v>60000</v>
      </c>
      <c r="B112" s="1">
        <v>966200218</v>
      </c>
      <c r="C112" s="1" t="str">
        <f>"تخليه -خراسان رضوي -گناباد-كاخك -كارخانه آسفالت شهرداري كاخك"</f>
        <v>تخليه -خراسان رضوي -گناباد-كاخك -كارخانه آسفالت شهرداري كاخك</v>
      </c>
      <c r="D112" s="1">
        <v>8954</v>
      </c>
      <c r="E112" s="1">
        <v>57940</v>
      </c>
      <c r="F112" s="1">
        <v>96</v>
      </c>
      <c r="G112" s="1">
        <v>2060</v>
      </c>
      <c r="H112" s="1" t="str">
        <f>"96/06/07"</f>
        <v>96/06/07</v>
      </c>
      <c r="I112" s="1" t="str">
        <f>"كيلوگرم"</f>
        <v>كيلوگرم</v>
      </c>
      <c r="J112" s="1" t="str">
        <f>"0000000076"</f>
        <v>0000000076</v>
      </c>
      <c r="K112" s="1" t="str">
        <f>"قير 60/70 - فله"</f>
        <v>قير 60/70 - فله</v>
      </c>
      <c r="L112" s="1">
        <v>100</v>
      </c>
      <c r="M112" s="1" t="str">
        <f>"مخازن قير اصفهان"</f>
        <v>مخازن قير اصفهان</v>
      </c>
      <c r="N112" s="1">
        <v>8902</v>
      </c>
      <c r="O112" s="1">
        <v>50035849</v>
      </c>
      <c r="P112" s="1" t="str">
        <f>"  شهرداري كاخك"</f>
        <v xml:space="preserve">  شهرداري كاخك</v>
      </c>
      <c r="Q112" s="1">
        <v>62</v>
      </c>
      <c r="R112" s="1" t="str">
        <f>"فروش داخلي - سازمان بنيادمسكن انقلاب اسلامي"</f>
        <v>فروش داخلي - سازمان بنيادمسكن انقلاب اسلامي</v>
      </c>
      <c r="S112" s="1" t="str">
        <f>"قرارداد فروش"</f>
        <v>قرارداد فروش</v>
      </c>
      <c r="T112" s="1" t="str">
        <f>"ندارد"</f>
        <v>ندارد</v>
      </c>
      <c r="U112" s="1" t="str">
        <f>"بابامحمدي عنايت اله(4844000)"</f>
        <v>بابامحمدي عنايت اله(4844000)</v>
      </c>
      <c r="V112" s="1">
        <v>966200218</v>
      </c>
      <c r="W112" s="1">
        <v>966200218</v>
      </c>
      <c r="X112" s="1" t="str">
        <f>"1396508616"</f>
        <v>1396508616</v>
      </c>
      <c r="Y112" s="1" t="str">
        <f>"96/06/07"</f>
        <v>96/06/07</v>
      </c>
      <c r="Z112" s="1" t="str">
        <f>"24582/د"</f>
        <v>24582/د</v>
      </c>
      <c r="AA112" s="1" t="str">
        <f>"بنيادمسكن انقلاب اسلامي"</f>
        <v>بنيادمسكن انقلاب اسلامي</v>
      </c>
      <c r="AB112" s="1" t="str">
        <f>"96/06/06"</f>
        <v>96/06/06</v>
      </c>
      <c r="AC112" s="1" t="str">
        <f>"خراسان رضوي"</f>
        <v>خراسان رضوي</v>
      </c>
      <c r="AD112" s="1" t="str">
        <f>"96/06/07"</f>
        <v>96/06/07</v>
      </c>
      <c r="AE112" s="1" t="str">
        <f>"اختتام"</f>
        <v>اختتام</v>
      </c>
      <c r="AF112" s="1" t="str">
        <f>""</f>
        <v/>
      </c>
      <c r="AG112" s="1" t="str">
        <f>""</f>
        <v/>
      </c>
      <c r="AH112" s="1" t="str">
        <f>""</f>
        <v/>
      </c>
      <c r="AI112" s="1" t="str">
        <f>""</f>
        <v/>
      </c>
      <c r="AJ112" s="1" t="str">
        <f>""</f>
        <v/>
      </c>
      <c r="AK112" s="1" t="str">
        <f>""</f>
        <v/>
      </c>
    </row>
    <row r="113" spans="1:37">
      <c r="A113" s="1">
        <v>104000</v>
      </c>
      <c r="B113" s="1">
        <v>966200171</v>
      </c>
      <c r="C113" s="1" t="str">
        <f>"تخليه-مازندران-کيلومتر 10 جاده آمل محمود آباد-پشت شهرک صنعتي تشبندان-کارخانه آسفالت ارجمنديان"</f>
        <v>تخليه-مازندران-کيلومتر 10 جاده آمل محمود آباد-پشت شهرک صنعتي تشبندان-کارخانه آسفالت ارجمنديان</v>
      </c>
      <c r="D113" s="1">
        <v>8704</v>
      </c>
      <c r="E113" s="1">
        <v>104000</v>
      </c>
      <c r="F113" s="1">
        <v>96</v>
      </c>
      <c r="G113" s="1">
        <v>0</v>
      </c>
      <c r="H113" s="1" t="str">
        <f>"96/05/15"</f>
        <v>96/05/15</v>
      </c>
      <c r="I113" s="1" t="str">
        <f>"كيلوگرم"</f>
        <v>كيلوگرم</v>
      </c>
      <c r="J113" s="1" t="str">
        <f>"0000000076"</f>
        <v>0000000076</v>
      </c>
      <c r="K113" s="1" t="str">
        <f>"قير 60/70 - فله"</f>
        <v>قير 60/70 - فله</v>
      </c>
      <c r="L113" s="1">
        <v>100</v>
      </c>
      <c r="M113" s="1" t="str">
        <f>"مخازن قير اصفهان"</f>
        <v>مخازن قير اصفهان</v>
      </c>
      <c r="N113" s="1">
        <v>8903</v>
      </c>
      <c r="O113" s="1">
        <v>50035526</v>
      </c>
      <c r="P113" s="1" t="str">
        <f>"  بنيادمسكن انقلاب اسلامي مازندران"</f>
        <v xml:space="preserve">  بنيادمسكن انقلاب اسلامي مازندران</v>
      </c>
      <c r="Q113" s="1">
        <v>62</v>
      </c>
      <c r="R113" s="1" t="str">
        <f>"فروش داخلي - سازمان بنيادمسكن انقلاب اسلامي"</f>
        <v>فروش داخلي - سازمان بنيادمسكن انقلاب اسلامي</v>
      </c>
      <c r="S113" s="1" t="str">
        <f>"قرارداد فروش"</f>
        <v>قرارداد فروش</v>
      </c>
      <c r="T113" s="1" t="str">
        <f>"ندارد"</f>
        <v>ندارد</v>
      </c>
      <c r="U113" s="1" t="str">
        <f>"شيشه بر كريم(1841016)"</f>
        <v>شيشه بر كريم(1841016)</v>
      </c>
      <c r="V113" s="1">
        <v>966200171</v>
      </c>
      <c r="W113" s="1">
        <v>966200171</v>
      </c>
      <c r="X113" s="1" t="str">
        <f>"1396502842"</f>
        <v>1396502842</v>
      </c>
      <c r="Y113" s="1" t="str">
        <f>"96/05/15"</f>
        <v>96/05/15</v>
      </c>
      <c r="Z113" s="1" t="str">
        <f>"19685/د"</f>
        <v>19685/د</v>
      </c>
      <c r="AA113" s="1" t="str">
        <f>"بنيادمسكن انقلاب اسلامي"</f>
        <v>بنيادمسكن انقلاب اسلامي</v>
      </c>
      <c r="AB113" s="1" t="str">
        <f>"96/05/11"</f>
        <v>96/05/11</v>
      </c>
      <c r="AC113" s="1" t="str">
        <f>"استان مازندران"</f>
        <v>استان مازندران</v>
      </c>
      <c r="AD113" s="1" t="str">
        <f>"96/05/15"</f>
        <v>96/05/15</v>
      </c>
      <c r="AE113" s="1" t="str">
        <f>"اختتام"</f>
        <v>اختتام</v>
      </c>
      <c r="AF113" s="1" t="str">
        <f>""</f>
        <v/>
      </c>
      <c r="AG113" s="1" t="str">
        <f>""</f>
        <v/>
      </c>
      <c r="AH113" s="1" t="str">
        <f>""</f>
        <v/>
      </c>
      <c r="AI113" s="1" t="str">
        <f>""</f>
        <v/>
      </c>
      <c r="AJ113" s="1" t="str">
        <f>""</f>
        <v/>
      </c>
      <c r="AK113" s="1" t="str">
        <f>""</f>
        <v/>
      </c>
    </row>
    <row r="114" spans="1:37">
      <c r="A114" s="1">
        <v>52000</v>
      </c>
      <c r="B114" s="1">
        <v>966200176</v>
      </c>
      <c r="C114" s="1" t="str">
        <f>"تخليه-مازندران-کيلومتر 10 جاده آمل محمود آباد-پشت شهرک صنعتي تشبندان-کارخانه آسفالت ارجمنديان"</f>
        <v>تخليه-مازندران-کيلومتر 10 جاده آمل محمود آباد-پشت شهرک صنعتي تشبندان-کارخانه آسفالت ارجمنديان</v>
      </c>
      <c r="D114" s="1">
        <v>8704</v>
      </c>
      <c r="E114" s="1">
        <v>51120</v>
      </c>
      <c r="F114" s="1">
        <v>96</v>
      </c>
      <c r="G114" s="1">
        <v>880</v>
      </c>
      <c r="H114" s="1" t="str">
        <f>"96/05/15"</f>
        <v>96/05/15</v>
      </c>
      <c r="I114" s="1" t="str">
        <f>"كيلوگرم"</f>
        <v>كيلوگرم</v>
      </c>
      <c r="J114" s="1" t="str">
        <f>"0000000076"</f>
        <v>0000000076</v>
      </c>
      <c r="K114" s="1" t="str">
        <f>"قير 60/70 - فله"</f>
        <v>قير 60/70 - فله</v>
      </c>
      <c r="L114" s="1">
        <v>100</v>
      </c>
      <c r="M114" s="1" t="str">
        <f>"مخازن قير اصفهان"</f>
        <v>مخازن قير اصفهان</v>
      </c>
      <c r="N114" s="1">
        <v>8903</v>
      </c>
      <c r="O114" s="1">
        <v>50035531</v>
      </c>
      <c r="P114" s="1" t="str">
        <f>"  بنيادمسكن انقلاب اسلامي مازندران"</f>
        <v xml:space="preserve">  بنيادمسكن انقلاب اسلامي مازندران</v>
      </c>
      <c r="Q114" s="1">
        <v>62</v>
      </c>
      <c r="R114" s="1" t="str">
        <f>"فروش داخلي - سازمان بنيادمسكن انقلاب اسلامي"</f>
        <v>فروش داخلي - سازمان بنيادمسكن انقلاب اسلامي</v>
      </c>
      <c r="S114" s="1" t="str">
        <f>"قرارداد فروش"</f>
        <v>قرارداد فروش</v>
      </c>
      <c r="T114" s="1" t="str">
        <f>"ندارد"</f>
        <v>ندارد</v>
      </c>
      <c r="U114" s="1" t="str">
        <f>"شيشه بر كريم(1841016)"</f>
        <v>شيشه بر كريم(1841016)</v>
      </c>
      <c r="V114" s="1">
        <v>966200176</v>
      </c>
      <c r="W114" s="1">
        <v>966200176</v>
      </c>
      <c r="X114" s="1" t="str">
        <f>"1396502842"</f>
        <v>1396502842</v>
      </c>
      <c r="Y114" s="1" t="str">
        <f>"96/05/15"</f>
        <v>96/05/15</v>
      </c>
      <c r="Z114" s="1" t="str">
        <f>"19677/د"</f>
        <v>19677/د</v>
      </c>
      <c r="AA114" s="1" t="str">
        <f>"بنيادمسكن انقلاب اسلامي"</f>
        <v>بنيادمسكن انقلاب اسلامي</v>
      </c>
      <c r="AB114" s="1" t="str">
        <f>"96/05/11"</f>
        <v>96/05/11</v>
      </c>
      <c r="AC114" s="1" t="str">
        <f>"استان مازندران"</f>
        <v>استان مازندران</v>
      </c>
      <c r="AD114" s="1" t="str">
        <f>"96/05/15"</f>
        <v>96/05/15</v>
      </c>
      <c r="AE114" s="1" t="str">
        <f>"اختتام"</f>
        <v>اختتام</v>
      </c>
      <c r="AF114" s="1" t="str">
        <f>""</f>
        <v/>
      </c>
      <c r="AG114" s="1" t="str">
        <f>""</f>
        <v/>
      </c>
      <c r="AH114" s="1" t="str">
        <f>""</f>
        <v/>
      </c>
      <c r="AI114" s="1" t="str">
        <f>""</f>
        <v/>
      </c>
      <c r="AJ114" s="1" t="str">
        <f>""</f>
        <v/>
      </c>
      <c r="AK114" s="1" t="str">
        <f>""</f>
        <v/>
      </c>
    </row>
    <row r="115" spans="1:37">
      <c r="A115" s="1">
        <v>129000</v>
      </c>
      <c r="B115" s="1">
        <v>966300086</v>
      </c>
      <c r="C115" s="1" t="str">
        <f>"تخليه -يزد-كيلومتر15جاده مهريز-شرکت فرش راه يزد"</f>
        <v>تخليه -يزد-كيلومتر15جاده مهريز-شرکت فرش راه يزد</v>
      </c>
      <c r="D115" s="1">
        <v>13350</v>
      </c>
      <c r="E115" s="1">
        <v>128380</v>
      </c>
      <c r="F115" s="1">
        <v>96</v>
      </c>
      <c r="G115" s="1">
        <v>620</v>
      </c>
      <c r="H115" s="1" t="str">
        <f>"96/12/26"</f>
        <v>96/12/26</v>
      </c>
      <c r="I115" s="1" t="str">
        <f>"كيلوگرم"</f>
        <v>كيلوگرم</v>
      </c>
      <c r="J115" s="1" t="str">
        <f>"0000000076"</f>
        <v>0000000076</v>
      </c>
      <c r="K115" s="1" t="str">
        <f>"قير 60/70 - فله"</f>
        <v>قير 60/70 - فله</v>
      </c>
      <c r="L115" s="1">
        <v>100</v>
      </c>
      <c r="M115" s="1" t="str">
        <f>"مخازن قير اصفهان"</f>
        <v>مخازن قير اصفهان</v>
      </c>
      <c r="N115" s="1">
        <v>8942</v>
      </c>
      <c r="O115" s="1">
        <v>50039040</v>
      </c>
      <c r="P115" s="1" t="str">
        <f>"  راه سازي فرش راه يزد(1051ج96)"</f>
        <v xml:space="preserve">  راه سازي فرش راه يزد(1051ج96)</v>
      </c>
      <c r="Q115" s="1">
        <v>63</v>
      </c>
      <c r="R115" s="1" t="str">
        <f>"سازمان نوسازي،توسعه و تجهيز مدارس كشور"</f>
        <v>سازمان نوسازي،توسعه و تجهيز مدارس كشور</v>
      </c>
      <c r="S115" s="1" t="str">
        <f>"قرارداد فروش"</f>
        <v>قرارداد فروش</v>
      </c>
      <c r="T115" s="1" t="str">
        <f>"ندارد"</f>
        <v>ندارد</v>
      </c>
      <c r="U115" s="1" t="str">
        <f>"قانعي محمدرضا(1011ج89)"</f>
        <v>قانعي محمدرضا(1011ج89)</v>
      </c>
      <c r="V115" s="1">
        <v>966300086</v>
      </c>
      <c r="W115" s="1">
        <v>966300086</v>
      </c>
      <c r="X115" s="1" t="str">
        <f>"1396555234"</f>
        <v>1396555234</v>
      </c>
      <c r="Y115" s="1" t="str">
        <f>"96/12/26"</f>
        <v>96/12/26</v>
      </c>
      <c r="Z115" s="1" t="str">
        <f>"11372/1"</f>
        <v>11372/1</v>
      </c>
      <c r="AA115" s="1" t="str">
        <f>"سازمان نوسازي توسعه وتجهيزمدارس كشور"</f>
        <v>سازمان نوسازي توسعه وتجهيزمدارس كشور</v>
      </c>
      <c r="AB115" s="1" t="str">
        <f>"96/12/21"</f>
        <v>96/12/21</v>
      </c>
      <c r="AC115" s="1" t="str">
        <f>"استان يزد"</f>
        <v>استان يزد</v>
      </c>
      <c r="AD115" s="1" t="str">
        <f>"96/12/23"</f>
        <v>96/12/23</v>
      </c>
      <c r="AE115" s="1" t="str">
        <f>"اختتام"</f>
        <v>اختتام</v>
      </c>
      <c r="AF115" s="1" t="str">
        <f>""</f>
        <v/>
      </c>
      <c r="AG115" s="1" t="str">
        <f>""</f>
        <v/>
      </c>
      <c r="AH115" s="1" t="str">
        <f>""</f>
        <v/>
      </c>
      <c r="AI115" s="1" t="str">
        <f>""</f>
        <v/>
      </c>
      <c r="AJ115" s="1" t="str">
        <f>""</f>
        <v/>
      </c>
      <c r="AK115" s="1" t="str">
        <f>""</f>
        <v/>
      </c>
    </row>
    <row r="116" spans="1:37">
      <c r="A116" s="1">
        <v>88000</v>
      </c>
      <c r="B116" s="1">
        <v>966200019</v>
      </c>
      <c r="C116" s="1" t="str">
        <f>"تخليه- خراسان شمالي - آشخانه -ابتداي جاده شهرآباد نيروي هوايي-کارخانه آسفالت شهرداري آشخانه"</f>
        <v>تخليه- خراسان شمالي - آشخانه -ابتداي جاده شهرآباد نيروي هوايي-کارخانه آسفالت شهرداري آشخانه</v>
      </c>
      <c r="D116" s="1">
        <v>8198</v>
      </c>
      <c r="E116" s="1">
        <v>86860</v>
      </c>
      <c r="F116" s="1">
        <v>96</v>
      </c>
      <c r="G116" s="1">
        <v>1140</v>
      </c>
      <c r="H116" s="1" t="str">
        <f>"96/01/21"</f>
        <v>96/01/21</v>
      </c>
      <c r="I116" s="1" t="str">
        <f>"كيلوگرم"</f>
        <v>كيلوگرم</v>
      </c>
      <c r="J116" s="1" t="str">
        <f>"0000000076"</f>
        <v>0000000076</v>
      </c>
      <c r="K116" s="1" t="str">
        <f>"قير 60/70 - فله"</f>
        <v>قير 60/70 - فله</v>
      </c>
      <c r="L116" s="1">
        <v>100</v>
      </c>
      <c r="M116" s="1" t="str">
        <f>"مخازن قير اصفهان"</f>
        <v>مخازن قير اصفهان</v>
      </c>
      <c r="N116" s="1">
        <v>8473</v>
      </c>
      <c r="O116" s="1">
        <v>50034484</v>
      </c>
      <c r="P116" s="1" t="str">
        <f>"  بيژن يوردبتن"</f>
        <v xml:space="preserve">  بيژن يوردبتن</v>
      </c>
      <c r="Q116" s="1">
        <v>62</v>
      </c>
      <c r="R116" s="1" t="str">
        <f>"فروش داخلي - سازمان بنيادمسكن انقلاب اسلامي"</f>
        <v>فروش داخلي - سازمان بنيادمسكن انقلاب اسلامي</v>
      </c>
      <c r="S116" s="1" t="str">
        <f>"قرارداد فروش"</f>
        <v>قرارداد فروش</v>
      </c>
      <c r="T116" s="1" t="str">
        <f>"ندارد"</f>
        <v>ندارد</v>
      </c>
      <c r="U116" s="1" t="str">
        <f>"بابامحمدي عنايت اله(4844000)"</f>
        <v>بابامحمدي عنايت اله(4844000)</v>
      </c>
      <c r="V116" s="1">
        <v>966200019</v>
      </c>
      <c r="W116" s="1">
        <v>966200019</v>
      </c>
      <c r="X116" s="1" t="str">
        <f>"1396472723"</f>
        <v>1396472723</v>
      </c>
      <c r="Y116" s="1" t="str">
        <f>"96/01/21"</f>
        <v>96/01/21</v>
      </c>
      <c r="Z116" s="1" t="str">
        <f>"996/د"</f>
        <v>996/د</v>
      </c>
      <c r="AA116" s="1" t="str">
        <f>"بنيادمسكن انقلاب اسلامي"</f>
        <v>بنيادمسكن انقلاب اسلامي</v>
      </c>
      <c r="AB116" s="1" t="str">
        <f>"96/01/19"</f>
        <v>96/01/19</v>
      </c>
      <c r="AC116" s="1" t="str">
        <f>"خراسان شمالي"</f>
        <v>خراسان شمالي</v>
      </c>
      <c r="AD116" s="1" t="str">
        <f>"96/01/21"</f>
        <v>96/01/21</v>
      </c>
      <c r="AE116" s="1" t="str">
        <f>"اختتام"</f>
        <v>اختتام</v>
      </c>
      <c r="AF116" s="1" t="str">
        <f>""</f>
        <v/>
      </c>
      <c r="AG116" s="1" t="str">
        <f>""</f>
        <v/>
      </c>
      <c r="AH116" s="1" t="str">
        <f>""</f>
        <v/>
      </c>
      <c r="AI116" s="1" t="str">
        <f>""</f>
        <v/>
      </c>
      <c r="AJ116" s="1" t="str">
        <f>""</f>
        <v/>
      </c>
      <c r="AK116" s="1" t="str">
        <f>""</f>
        <v/>
      </c>
    </row>
    <row r="117" spans="1:37">
      <c r="A117" s="1">
        <v>523000</v>
      </c>
      <c r="B117" s="1">
        <v>966200180</v>
      </c>
      <c r="C117" s="1" t="str">
        <f>"تخليه - مازندران-کمربندي نکا- روستاي چاله پل-کارخانه آسفالت سليم بهرامي"</f>
        <v>تخليه - مازندران-کمربندي نکا- روستاي چاله پل-کارخانه آسفالت سليم بهرامي</v>
      </c>
      <c r="D117" s="1">
        <v>8704</v>
      </c>
      <c r="E117" s="1">
        <v>523000</v>
      </c>
      <c r="F117" s="1">
        <v>96</v>
      </c>
      <c r="G117" s="1">
        <v>0</v>
      </c>
      <c r="H117" s="1" t="str">
        <f>"96/05/21"</f>
        <v>96/05/21</v>
      </c>
      <c r="I117" s="1" t="str">
        <f>"كيلوگرم"</f>
        <v>كيلوگرم</v>
      </c>
      <c r="J117" s="1" t="str">
        <f>"0000000076"</f>
        <v>0000000076</v>
      </c>
      <c r="K117" s="1" t="str">
        <f>"قير 60/70 - فله"</f>
        <v>قير 60/70 - فله</v>
      </c>
      <c r="L117" s="1">
        <v>100</v>
      </c>
      <c r="M117" s="1" t="str">
        <f>"مخازن قير اصفهان"</f>
        <v>مخازن قير اصفهان</v>
      </c>
      <c r="N117" s="1">
        <v>8903</v>
      </c>
      <c r="O117" s="1">
        <v>50035613</v>
      </c>
      <c r="P117" s="1" t="str">
        <f>"  بنيادمسكن انقلاب اسلامي مازندران"</f>
        <v xml:space="preserve">  بنيادمسكن انقلاب اسلامي مازندران</v>
      </c>
      <c r="Q117" s="1">
        <v>62</v>
      </c>
      <c r="R117" s="1" t="str">
        <f>"فروش داخلي - سازمان بنيادمسكن انقلاب اسلامي"</f>
        <v>فروش داخلي - سازمان بنيادمسكن انقلاب اسلامي</v>
      </c>
      <c r="S117" s="1" t="str">
        <f>"قرارداد فروش"</f>
        <v>قرارداد فروش</v>
      </c>
      <c r="T117" s="1" t="str">
        <f>"ندارد"</f>
        <v>ندارد</v>
      </c>
      <c r="U117" s="1" t="str">
        <f>"شيشه بر كريم(1841016)"</f>
        <v>شيشه بر كريم(1841016)</v>
      </c>
      <c r="V117" s="1">
        <v>966200180</v>
      </c>
      <c r="W117" s="1">
        <v>966200180</v>
      </c>
      <c r="X117" s="1" t="str">
        <f>"1396504612"</f>
        <v>1396504612</v>
      </c>
      <c r="Y117" s="1" t="str">
        <f>"96/05/21"</f>
        <v>96/05/21</v>
      </c>
      <c r="Z117" s="1" t="str">
        <f>"20923/د"</f>
        <v>20923/د</v>
      </c>
      <c r="AA117" s="1" t="str">
        <f>"بنيادمسكن انقلاب اسلامي"</f>
        <v>بنيادمسكن انقلاب اسلامي</v>
      </c>
      <c r="AB117" s="1" t="str">
        <f>"96/05/18"</f>
        <v>96/05/18</v>
      </c>
      <c r="AC117" s="1" t="str">
        <f>"استان مازندران"</f>
        <v>استان مازندران</v>
      </c>
      <c r="AD117" s="1" t="str">
        <f>"96/05/21"</f>
        <v>96/05/21</v>
      </c>
      <c r="AE117" s="1" t="str">
        <f>"اختتام"</f>
        <v>اختتام</v>
      </c>
      <c r="AF117" s="1" t="str">
        <f>""</f>
        <v/>
      </c>
      <c r="AG117" s="1" t="str">
        <f>""</f>
        <v/>
      </c>
      <c r="AH117" s="1" t="str">
        <f>""</f>
        <v/>
      </c>
      <c r="AI117" s="1" t="str">
        <f>""</f>
        <v/>
      </c>
      <c r="AJ117" s="1" t="str">
        <f>""</f>
        <v/>
      </c>
      <c r="AK117" s="1" t="str">
        <f>""</f>
        <v/>
      </c>
    </row>
    <row r="118" spans="1:37">
      <c r="A118" s="1">
        <v>476000</v>
      </c>
      <c r="B118" s="1">
        <v>966200229</v>
      </c>
      <c r="C118" s="1" t="str">
        <f>"تخليه - مازندران-مرزن آباد -ا.. بيجار-کارخانه آسفالت ديبا راه سپهر"</f>
        <v>تخليه - مازندران-مرزن آباد -ا.. بيجار-کارخانه آسفالت ديبا راه سپهر</v>
      </c>
      <c r="D118" s="1">
        <v>8954</v>
      </c>
      <c r="E118" s="1">
        <v>462400</v>
      </c>
      <c r="F118" s="1">
        <v>96</v>
      </c>
      <c r="G118" s="1">
        <v>13600</v>
      </c>
      <c r="H118" s="1" t="str">
        <f>"96/06/21"</f>
        <v>96/06/21</v>
      </c>
      <c r="I118" s="1" t="str">
        <f>"كيلوگرم"</f>
        <v>كيلوگرم</v>
      </c>
      <c r="J118" s="1" t="str">
        <f>"0000000076"</f>
        <v>0000000076</v>
      </c>
      <c r="K118" s="1" t="str">
        <f>"قير 60/70 - فله"</f>
        <v>قير 60/70 - فله</v>
      </c>
      <c r="L118" s="1">
        <v>100</v>
      </c>
      <c r="M118" s="1" t="str">
        <f>"مخازن قير اصفهان"</f>
        <v>مخازن قير اصفهان</v>
      </c>
      <c r="N118" s="1">
        <v>8903</v>
      </c>
      <c r="O118" s="1">
        <v>50035978</v>
      </c>
      <c r="P118" s="1" t="str">
        <f>"  بنيادمسكن انقلاب اسلامي مازندران"</f>
        <v xml:space="preserve">  بنيادمسكن انقلاب اسلامي مازندران</v>
      </c>
      <c r="Q118" s="1">
        <v>62</v>
      </c>
      <c r="R118" s="1" t="str">
        <f>"فروش داخلي - سازمان بنيادمسكن انقلاب اسلامي"</f>
        <v>فروش داخلي - سازمان بنيادمسكن انقلاب اسلامي</v>
      </c>
      <c r="S118" s="1" t="str">
        <f>"قرارداد فروش"</f>
        <v>قرارداد فروش</v>
      </c>
      <c r="T118" s="1" t="str">
        <f>"ندارد"</f>
        <v>ندارد</v>
      </c>
      <c r="U118" s="1" t="str">
        <f>"شيشه بر كريم(1841016)"</f>
        <v>شيشه بر كريم(1841016)</v>
      </c>
      <c r="V118" s="1">
        <v>966200229</v>
      </c>
      <c r="W118" s="1">
        <v>966200229</v>
      </c>
      <c r="X118" s="1" t="str">
        <f>"1396511620"</f>
        <v>1396511620</v>
      </c>
      <c r="Y118" s="1" t="str">
        <f>"96/06/21"</f>
        <v>96/06/21</v>
      </c>
      <c r="Z118" s="1" t="str">
        <f>"26376/د"</f>
        <v>26376/د</v>
      </c>
      <c r="AA118" s="1" t="str">
        <f>"بنيادمسكن انقلاب اسلامي"</f>
        <v>بنيادمسكن انقلاب اسلامي</v>
      </c>
      <c r="AB118" s="1" t="str">
        <f>"96/06/15"</f>
        <v>96/06/15</v>
      </c>
      <c r="AC118" s="1" t="str">
        <f>"استان مازندران"</f>
        <v>استان مازندران</v>
      </c>
      <c r="AD118" s="1" t="str">
        <f>"96/06/21"</f>
        <v>96/06/21</v>
      </c>
      <c r="AE118" s="1" t="str">
        <f>"اختتام"</f>
        <v>اختتام</v>
      </c>
      <c r="AF118" s="1" t="str">
        <f>""</f>
        <v/>
      </c>
      <c r="AG118" s="1" t="str">
        <f>""</f>
        <v/>
      </c>
      <c r="AH118" s="1" t="str">
        <f>""</f>
        <v/>
      </c>
      <c r="AI118" s="1" t="str">
        <f>""</f>
        <v/>
      </c>
      <c r="AJ118" s="1" t="str">
        <f>""</f>
        <v/>
      </c>
      <c r="AK118" s="1" t="str">
        <f>""</f>
        <v/>
      </c>
    </row>
    <row r="119" spans="1:37">
      <c r="A119" s="1">
        <v>241000</v>
      </c>
      <c r="B119" s="1">
        <v>966200522</v>
      </c>
      <c r="C119" s="1" t="str">
        <f>"تخليه - مازندران-مرزن آباد -ا.. بيجار-کارخانه آسفالت ديبا راه سپهر"</f>
        <v>تخليه - مازندران-مرزن آباد -ا.. بيجار-کارخانه آسفالت ديبا راه سپهر</v>
      </c>
      <c r="D119" s="1">
        <v>12850</v>
      </c>
      <c r="E119" s="1">
        <v>240680</v>
      </c>
      <c r="F119" s="1">
        <v>96</v>
      </c>
      <c r="G119" s="1">
        <v>320</v>
      </c>
      <c r="H119" s="1" t="str">
        <f>"96/10/20"</f>
        <v>96/10/20</v>
      </c>
      <c r="I119" s="1" t="str">
        <f>"كيلوگرم"</f>
        <v>كيلوگرم</v>
      </c>
      <c r="J119" s="1" t="str">
        <f>"0000000076"</f>
        <v>0000000076</v>
      </c>
      <c r="K119" s="1" t="str">
        <f>"قير 60/70 - فله"</f>
        <v>قير 60/70 - فله</v>
      </c>
      <c r="L119" s="1">
        <v>100</v>
      </c>
      <c r="M119" s="1" t="str">
        <f>"مخازن قير اصفهان"</f>
        <v>مخازن قير اصفهان</v>
      </c>
      <c r="N119" s="1">
        <v>8903</v>
      </c>
      <c r="O119" s="1">
        <v>50038128</v>
      </c>
      <c r="P119" s="1" t="str">
        <f>"  بنيادمسكن انقلاب اسلامي مازندران"</f>
        <v xml:space="preserve">  بنيادمسكن انقلاب اسلامي مازندران</v>
      </c>
      <c r="Q119" s="1">
        <v>62</v>
      </c>
      <c r="R119" s="1" t="str">
        <f>"فروش داخلي - سازمان بنيادمسكن انقلاب اسلامي"</f>
        <v>فروش داخلي - سازمان بنيادمسكن انقلاب اسلامي</v>
      </c>
      <c r="S119" s="1" t="str">
        <f>"قرارداد فروش"</f>
        <v>قرارداد فروش</v>
      </c>
      <c r="T119" s="1" t="str">
        <f>"ندارد"</f>
        <v>ندارد</v>
      </c>
      <c r="U119" s="1" t="str">
        <f>"شيشه بر كريم(1841016)"</f>
        <v>شيشه بر كريم(1841016)</v>
      </c>
      <c r="V119" s="1">
        <v>966200522</v>
      </c>
      <c r="W119" s="1">
        <v>966200522</v>
      </c>
      <c r="X119" s="1" t="str">
        <f>"1396539511"</f>
        <v>1396539511</v>
      </c>
      <c r="Y119" s="1" t="str">
        <f>"96/10/20"</f>
        <v>96/10/20</v>
      </c>
      <c r="Z119" s="1" t="str">
        <f>"46695/د"</f>
        <v>46695/د</v>
      </c>
      <c r="AA119" s="1" t="str">
        <f>"بنيادمسكن انقلاب اسلامي"</f>
        <v>بنيادمسكن انقلاب اسلامي</v>
      </c>
      <c r="AB119" s="1" t="str">
        <f>"96/10/19"</f>
        <v>96/10/19</v>
      </c>
      <c r="AC119" s="1" t="str">
        <f>"استان مازندران"</f>
        <v>استان مازندران</v>
      </c>
      <c r="AD119" s="1" t="str">
        <f>"96/10/20"</f>
        <v>96/10/20</v>
      </c>
      <c r="AE119" s="1" t="str">
        <f>"اختتام"</f>
        <v>اختتام</v>
      </c>
      <c r="AF119" s="1" t="str">
        <f>""</f>
        <v/>
      </c>
      <c r="AG119" s="1" t="str">
        <f>""</f>
        <v/>
      </c>
      <c r="AH119" s="1" t="str">
        <f>""</f>
        <v/>
      </c>
      <c r="AI119" s="1" t="str">
        <f>""</f>
        <v/>
      </c>
      <c r="AJ119" s="1" t="str">
        <f>""</f>
        <v/>
      </c>
      <c r="AK119" s="1" t="str">
        <f>""</f>
        <v/>
      </c>
    </row>
    <row r="120" spans="1:37">
      <c r="A120" s="1">
        <v>33000</v>
      </c>
      <c r="B120" s="1">
        <v>966200523</v>
      </c>
      <c r="C120" s="1" t="str">
        <f>"تخليه - مازندران-کمربندي نکا- روستاي چاله پل-کارخانه آسفالت سليم بهرامي"</f>
        <v>تخليه - مازندران-کمربندي نکا- روستاي چاله پل-کارخانه آسفالت سليم بهرامي</v>
      </c>
      <c r="D120" s="1">
        <v>12850</v>
      </c>
      <c r="E120" s="1">
        <v>32100</v>
      </c>
      <c r="F120" s="1">
        <v>96</v>
      </c>
      <c r="G120" s="1">
        <v>900</v>
      </c>
      <c r="H120" s="1" t="str">
        <f>"96/10/20"</f>
        <v>96/10/20</v>
      </c>
      <c r="I120" s="1" t="str">
        <f>"كيلوگرم"</f>
        <v>كيلوگرم</v>
      </c>
      <c r="J120" s="1" t="str">
        <f>"0000000076"</f>
        <v>0000000076</v>
      </c>
      <c r="K120" s="1" t="str">
        <f>"قير 60/70 - فله"</f>
        <v>قير 60/70 - فله</v>
      </c>
      <c r="L120" s="1">
        <v>100</v>
      </c>
      <c r="M120" s="1" t="str">
        <f>"مخازن قير اصفهان"</f>
        <v>مخازن قير اصفهان</v>
      </c>
      <c r="N120" s="1">
        <v>8903</v>
      </c>
      <c r="O120" s="1">
        <v>50038132</v>
      </c>
      <c r="P120" s="1" t="str">
        <f>"  بنيادمسكن انقلاب اسلامي مازندران"</f>
        <v xml:space="preserve">  بنيادمسكن انقلاب اسلامي مازندران</v>
      </c>
      <c r="Q120" s="1">
        <v>62</v>
      </c>
      <c r="R120" s="1" t="str">
        <f>"فروش داخلي - سازمان بنيادمسكن انقلاب اسلامي"</f>
        <v>فروش داخلي - سازمان بنيادمسكن انقلاب اسلامي</v>
      </c>
      <c r="S120" s="1" t="str">
        <f>"قرارداد فروش"</f>
        <v>قرارداد فروش</v>
      </c>
      <c r="T120" s="1" t="str">
        <f>"ندارد"</f>
        <v>ندارد</v>
      </c>
      <c r="U120" s="1" t="str">
        <f>"شيشه بر كريم(1841016)"</f>
        <v>شيشه بر كريم(1841016)</v>
      </c>
      <c r="V120" s="1">
        <v>966200523</v>
      </c>
      <c r="W120" s="1">
        <v>966200523</v>
      </c>
      <c r="X120" s="1" t="str">
        <f>"1396539511"</f>
        <v>1396539511</v>
      </c>
      <c r="Y120" s="1" t="str">
        <f>"96/10/20"</f>
        <v>96/10/20</v>
      </c>
      <c r="Z120" s="1" t="str">
        <f>"46743/د"</f>
        <v>46743/د</v>
      </c>
      <c r="AA120" s="1" t="str">
        <f>"بنيادمسكن انقلاب اسلامي"</f>
        <v>بنيادمسكن انقلاب اسلامي</v>
      </c>
      <c r="AB120" s="1" t="str">
        <f>"96/10/20"</f>
        <v>96/10/20</v>
      </c>
      <c r="AC120" s="1" t="str">
        <f>"استان مازندران"</f>
        <v>استان مازندران</v>
      </c>
      <c r="AD120" s="1" t="str">
        <f>"96/10/20"</f>
        <v>96/10/20</v>
      </c>
      <c r="AE120" s="1" t="str">
        <f>"اختتام"</f>
        <v>اختتام</v>
      </c>
      <c r="AF120" s="1" t="str">
        <f>""</f>
        <v/>
      </c>
      <c r="AG120" s="1" t="str">
        <f>""</f>
        <v/>
      </c>
      <c r="AH120" s="1" t="str">
        <f>""</f>
        <v/>
      </c>
      <c r="AI120" s="1" t="str">
        <f>""</f>
        <v/>
      </c>
      <c r="AJ120" s="1" t="str">
        <f>""</f>
        <v/>
      </c>
      <c r="AK120" s="1" t="str">
        <f>""</f>
        <v/>
      </c>
    </row>
    <row r="121" spans="1:37">
      <c r="A121" s="1">
        <v>157000</v>
      </c>
      <c r="B121" s="1">
        <v>966200580</v>
      </c>
      <c r="C121" s="1" t="str">
        <f>"تخليه-مازندران-کيلومتر 10 جاده آمل محمود آباد-پشت شهرک صنعتي تشبندان-کارخانه آسفالت ارجمنديان"</f>
        <v>تخليه-مازندران-کيلومتر 10 جاده آمل محمود آباد-پشت شهرک صنعتي تشبندان-کارخانه آسفالت ارجمنديان</v>
      </c>
      <c r="D121" s="1">
        <v>13200</v>
      </c>
      <c r="E121" s="1">
        <v>156380</v>
      </c>
      <c r="F121" s="1">
        <v>96</v>
      </c>
      <c r="G121" s="1">
        <v>620</v>
      </c>
      <c r="H121" s="1" t="str">
        <f>"96/11/24"</f>
        <v>96/11/24</v>
      </c>
      <c r="I121" s="1" t="str">
        <f>"كيلوگرم"</f>
        <v>كيلوگرم</v>
      </c>
      <c r="J121" s="1" t="str">
        <f>"0000000076"</f>
        <v>0000000076</v>
      </c>
      <c r="K121" s="1" t="str">
        <f>"قير 60/70 - فله"</f>
        <v>قير 60/70 - فله</v>
      </c>
      <c r="L121" s="1">
        <v>100</v>
      </c>
      <c r="M121" s="1" t="str">
        <f>"مخازن قير اصفهان"</f>
        <v>مخازن قير اصفهان</v>
      </c>
      <c r="N121" s="1">
        <v>8903</v>
      </c>
      <c r="O121" s="1">
        <v>50038508</v>
      </c>
      <c r="P121" s="1" t="str">
        <f>"  بنيادمسكن انقلاب اسلامي مازندران"</f>
        <v xml:space="preserve">  بنيادمسكن انقلاب اسلامي مازندران</v>
      </c>
      <c r="Q121" s="1">
        <v>62</v>
      </c>
      <c r="R121" s="1" t="str">
        <f>"فروش داخلي - سازمان بنيادمسكن انقلاب اسلامي"</f>
        <v>فروش داخلي - سازمان بنيادمسكن انقلاب اسلامي</v>
      </c>
      <c r="S121" s="1" t="str">
        <f>"قرارداد فروش"</f>
        <v>قرارداد فروش</v>
      </c>
      <c r="T121" s="1" t="str">
        <f>"ندارد"</f>
        <v>ندارد</v>
      </c>
      <c r="U121" s="1" t="str">
        <f>"شيشه بر كريم(1841016)"</f>
        <v>شيشه بر كريم(1841016)</v>
      </c>
      <c r="V121" s="1">
        <v>966200580</v>
      </c>
      <c r="W121" s="1">
        <v>966200580</v>
      </c>
      <c r="X121" s="1" t="str">
        <f>"1396547682"</f>
        <v>1396547682</v>
      </c>
      <c r="Y121" s="1" t="str">
        <f>"96/11/24"</f>
        <v>96/11/24</v>
      </c>
      <c r="Z121" s="1" t="str">
        <f>"52931/د"</f>
        <v>52931/د</v>
      </c>
      <c r="AA121" s="1" t="str">
        <f>"بنيادمسكن انقلاب اسلامي"</f>
        <v>بنيادمسكن انقلاب اسلامي</v>
      </c>
      <c r="AB121" s="1" t="str">
        <f>"96/11/24"</f>
        <v>96/11/24</v>
      </c>
      <c r="AC121" s="1" t="str">
        <f>"استان مازندران"</f>
        <v>استان مازندران</v>
      </c>
      <c r="AD121" s="1" t="str">
        <f>"96/11/24"</f>
        <v>96/11/24</v>
      </c>
      <c r="AE121" s="1" t="str">
        <f>"اختتام"</f>
        <v>اختتام</v>
      </c>
      <c r="AF121" s="1" t="str">
        <f>""</f>
        <v/>
      </c>
      <c r="AG121" s="1" t="str">
        <f>""</f>
        <v/>
      </c>
      <c r="AH121" s="1" t="str">
        <f>""</f>
        <v/>
      </c>
      <c r="AI121" s="1" t="str">
        <f>""</f>
        <v/>
      </c>
      <c r="AJ121" s="1" t="str">
        <f>""</f>
        <v/>
      </c>
      <c r="AK121" s="1" t="str">
        <f>""</f>
        <v/>
      </c>
    </row>
    <row r="122" spans="1:37">
      <c r="A122" s="1">
        <v>25000</v>
      </c>
      <c r="B122" s="1">
        <v>966200636</v>
      </c>
      <c r="C122" s="1" t="str">
        <f>"تخليه - مازندران-مرزن آباد -ا.. بيجار-کارخانه آسفالت ديبا راه سپهر"</f>
        <v>تخليه - مازندران-مرزن آباد -ا.. بيجار-کارخانه آسفالت ديبا راه سپهر</v>
      </c>
      <c r="D122" s="1">
        <v>13350</v>
      </c>
      <c r="E122" s="1">
        <v>24160</v>
      </c>
      <c r="F122" s="1">
        <v>96</v>
      </c>
      <c r="G122" s="1">
        <v>840</v>
      </c>
      <c r="H122" s="1" t="str">
        <f>"96/12/14"</f>
        <v>96/12/14</v>
      </c>
      <c r="I122" s="1" t="str">
        <f>"كيلوگرم"</f>
        <v>كيلوگرم</v>
      </c>
      <c r="J122" s="1" t="str">
        <f>"0000000076"</f>
        <v>0000000076</v>
      </c>
      <c r="K122" s="1" t="str">
        <f>"قير 60/70 - فله"</f>
        <v>قير 60/70 - فله</v>
      </c>
      <c r="L122" s="1">
        <v>100</v>
      </c>
      <c r="M122" s="1" t="str">
        <f>"مخازن قير اصفهان"</f>
        <v>مخازن قير اصفهان</v>
      </c>
      <c r="N122" s="1">
        <v>8903</v>
      </c>
      <c r="O122" s="1">
        <v>50038757</v>
      </c>
      <c r="P122" s="1" t="str">
        <f>"  بنيادمسكن انقلاب اسلامي مازندران"</f>
        <v xml:space="preserve">  بنيادمسكن انقلاب اسلامي مازندران</v>
      </c>
      <c r="Q122" s="1">
        <v>62</v>
      </c>
      <c r="R122" s="1" t="str">
        <f>"فروش داخلي - سازمان بنيادمسكن انقلاب اسلامي"</f>
        <v>فروش داخلي - سازمان بنيادمسكن انقلاب اسلامي</v>
      </c>
      <c r="S122" s="1" t="str">
        <f>"قرارداد فروش"</f>
        <v>قرارداد فروش</v>
      </c>
      <c r="T122" s="1" t="str">
        <f>"ندارد"</f>
        <v>ندارد</v>
      </c>
      <c r="U122" s="1" t="str">
        <f>"شيشه بر كريم(1841016)"</f>
        <v>شيشه بر كريم(1841016)</v>
      </c>
      <c r="V122" s="1">
        <v>966200636</v>
      </c>
      <c r="W122" s="1">
        <v>966200636</v>
      </c>
      <c r="X122" s="1" t="str">
        <f>"1396552261"</f>
        <v>1396552261</v>
      </c>
      <c r="Y122" s="1" t="str">
        <f>"96/12/14"</f>
        <v>96/12/14</v>
      </c>
      <c r="Z122" s="1" t="str">
        <f>"56659/د"</f>
        <v>56659/د</v>
      </c>
      <c r="AA122" s="1" t="str">
        <f>"بنيادمسكن انقلاب اسلامي"</f>
        <v>بنيادمسكن انقلاب اسلامي</v>
      </c>
      <c r="AB122" s="1" t="str">
        <f>"96/12/13"</f>
        <v>96/12/13</v>
      </c>
      <c r="AC122" s="1" t="str">
        <f>"استان مازندران"</f>
        <v>استان مازندران</v>
      </c>
      <c r="AD122" s="1" t="str">
        <f>"96/12/14"</f>
        <v>96/12/14</v>
      </c>
      <c r="AE122" s="1" t="str">
        <f>"اختتام"</f>
        <v>اختتام</v>
      </c>
      <c r="AF122" s="1" t="str">
        <f>""</f>
        <v/>
      </c>
      <c r="AG122" s="1" t="str">
        <f>""</f>
        <v/>
      </c>
      <c r="AH122" s="1" t="str">
        <f>""</f>
        <v/>
      </c>
      <c r="AI122" s="1" t="str">
        <f>""</f>
        <v/>
      </c>
      <c r="AJ122" s="1" t="str">
        <f>""</f>
        <v/>
      </c>
      <c r="AK122" s="1" t="str">
        <f>""</f>
        <v/>
      </c>
    </row>
    <row r="123" spans="1:37">
      <c r="A123" s="1">
        <v>244000</v>
      </c>
      <c r="B123" s="1">
        <v>966200349</v>
      </c>
      <c r="C123" s="1" t="str">
        <f>"تخليه -لرستان -شهرسلسله فيروزآباد"</f>
        <v>تخليه -لرستان -شهرسلسله فيروزآباد</v>
      </c>
      <c r="D123" s="1">
        <v>9113</v>
      </c>
      <c r="E123" s="1">
        <v>240440</v>
      </c>
      <c r="F123" s="1">
        <v>96</v>
      </c>
      <c r="G123" s="1">
        <v>3560</v>
      </c>
      <c r="H123" s="1" t="str">
        <f>"96/07/29"</f>
        <v>96/07/29</v>
      </c>
      <c r="I123" s="1" t="str">
        <f>"كيلوگرم"</f>
        <v>كيلوگرم</v>
      </c>
      <c r="J123" s="1" t="str">
        <f>"0000000076"</f>
        <v>0000000076</v>
      </c>
      <c r="K123" s="1" t="str">
        <f>"قير 60/70 - فله"</f>
        <v>قير 60/70 - فله</v>
      </c>
      <c r="L123" s="1">
        <v>100</v>
      </c>
      <c r="M123" s="1" t="str">
        <f>"مخازن قير اصفهان"</f>
        <v>مخازن قير اصفهان</v>
      </c>
      <c r="N123" s="1">
        <v>8147</v>
      </c>
      <c r="O123" s="1">
        <v>50036847</v>
      </c>
      <c r="P123" s="1" t="str">
        <f>"  زاگرس راه نصر"</f>
        <v xml:space="preserve">  زاگرس راه نصر</v>
      </c>
      <c r="Q123" s="1">
        <v>62</v>
      </c>
      <c r="R123" s="1" t="str">
        <f>"فروش داخلي - سازمان بنيادمسكن انقلاب اسلامي"</f>
        <v>فروش داخلي - سازمان بنيادمسكن انقلاب اسلامي</v>
      </c>
      <c r="S123" s="1" t="str">
        <f>"قرارداد فروش"</f>
        <v>قرارداد فروش</v>
      </c>
      <c r="T123" s="1" t="str">
        <f>"ندارد"</f>
        <v>ندارد</v>
      </c>
      <c r="U123" s="1" t="str">
        <f>"عظيمي محمد(2842015)"</f>
        <v>عظيمي محمد(2842015)</v>
      </c>
      <c r="V123" s="1">
        <v>966200349</v>
      </c>
      <c r="W123" s="1">
        <v>966200349</v>
      </c>
      <c r="X123" s="1" t="str">
        <f>"1396520117"</f>
        <v>1396520117</v>
      </c>
      <c r="Y123" s="1" t="str">
        <f>"96/07/29"</f>
        <v>96/07/29</v>
      </c>
      <c r="Z123" s="1" t="str">
        <f>"33241/د"</f>
        <v>33241/د</v>
      </c>
      <c r="AA123" s="1" t="str">
        <f>"بنيادمسكن انقلاب اسلامي"</f>
        <v>بنيادمسكن انقلاب اسلامي</v>
      </c>
      <c r="AB123" s="1" t="str">
        <f>"96/07/25"</f>
        <v>96/07/25</v>
      </c>
      <c r="AC123" s="1" t="str">
        <f>"لرستان"</f>
        <v>لرستان</v>
      </c>
      <c r="AD123" s="1" t="str">
        <f>"96/07/29"</f>
        <v>96/07/29</v>
      </c>
      <c r="AE123" s="1" t="str">
        <f>"اختتام"</f>
        <v>اختتام</v>
      </c>
      <c r="AF123" s="1" t="str">
        <f>""</f>
        <v/>
      </c>
      <c r="AG123" s="1" t="str">
        <f>""</f>
        <v/>
      </c>
      <c r="AH123" s="1" t="str">
        <f>""</f>
        <v/>
      </c>
      <c r="AI123" s="1" t="str">
        <f>""</f>
        <v/>
      </c>
      <c r="AJ123" s="1" t="str">
        <f>""</f>
        <v/>
      </c>
      <c r="AK123" s="1" t="str">
        <f>""</f>
        <v/>
      </c>
    </row>
    <row r="124" spans="1:37">
      <c r="A124" s="1">
        <v>90000</v>
      </c>
      <c r="B124" s="1">
        <v>966200057</v>
      </c>
      <c r="C124" s="1" t="str">
        <f>"تخليه-محور نجف آباد -تيران- پشت شهرک صنعتي تيران"</f>
        <v>تخليه-محور نجف آباد -تيران- پشت شهرک صنعتي تيران</v>
      </c>
      <c r="D124" s="1">
        <v>8918</v>
      </c>
      <c r="E124" s="1">
        <v>88600</v>
      </c>
      <c r="F124" s="1">
        <v>96</v>
      </c>
      <c r="G124" s="1">
        <v>1400</v>
      </c>
      <c r="H124" s="1" t="str">
        <f>"96/02/13"</f>
        <v>96/02/13</v>
      </c>
      <c r="I124" s="1" t="str">
        <f>"كيلوگرم"</f>
        <v>كيلوگرم</v>
      </c>
      <c r="J124" s="1" t="str">
        <f>"0000000076"</f>
        <v>0000000076</v>
      </c>
      <c r="K124" s="1" t="str">
        <f>"قير 60/70 - فله"</f>
        <v>قير 60/70 - فله</v>
      </c>
      <c r="L124" s="1">
        <v>100</v>
      </c>
      <c r="M124" s="1" t="str">
        <f>"مخازن قير اصفهان"</f>
        <v>مخازن قير اصفهان</v>
      </c>
      <c r="N124" s="1">
        <v>8643</v>
      </c>
      <c r="O124" s="1">
        <v>50034752</v>
      </c>
      <c r="P124" s="1" t="str">
        <f>"  ميلاد راه سپاهان"</f>
        <v xml:space="preserve">  ميلاد راه سپاهان</v>
      </c>
      <c r="Q124" s="1">
        <v>62</v>
      </c>
      <c r="R124" s="1" t="str">
        <f>"فروش داخلي - سازمان بنيادمسكن انقلاب اسلامي"</f>
        <v>فروش داخلي - سازمان بنيادمسكن انقلاب اسلامي</v>
      </c>
      <c r="S124" s="1" t="str">
        <f>"قرارداد فروش"</f>
        <v>قرارداد فروش</v>
      </c>
      <c r="T124" s="1" t="str">
        <f>"ندارد"</f>
        <v>ندارد</v>
      </c>
      <c r="U124" s="1" t="str">
        <f>"مرادي نجاتعلي(1020ج89)"</f>
        <v>مرادي نجاتعلي(1020ج89)</v>
      </c>
      <c r="V124" s="1">
        <v>966200057</v>
      </c>
      <c r="W124" s="1">
        <v>966200057</v>
      </c>
      <c r="X124" s="1" t="str">
        <f>"1396477992"</f>
        <v>1396477992</v>
      </c>
      <c r="Y124" s="1" t="str">
        <f>"96/02/13"</f>
        <v>96/02/13</v>
      </c>
      <c r="Z124" s="1" t="str">
        <f>"4516/د"</f>
        <v>4516/د</v>
      </c>
      <c r="AA124" s="1" t="str">
        <f>"بنيادمسكن انقلاب اسلامي"</f>
        <v>بنيادمسكن انقلاب اسلامي</v>
      </c>
      <c r="AB124" s="1" t="str">
        <f>"96/02/11"</f>
        <v>96/02/11</v>
      </c>
      <c r="AC124" s="1" t="str">
        <f>"استان اصفهان"</f>
        <v>استان اصفهان</v>
      </c>
      <c r="AD124" s="1" t="str">
        <f>"96/02/12"</f>
        <v>96/02/12</v>
      </c>
      <c r="AE124" s="1" t="str">
        <f>"اختتام"</f>
        <v>اختتام</v>
      </c>
      <c r="AF124" s="1" t="str">
        <f>""</f>
        <v/>
      </c>
      <c r="AG124" s="1" t="str">
        <f>""</f>
        <v/>
      </c>
      <c r="AH124" s="1" t="str">
        <f>""</f>
        <v/>
      </c>
      <c r="AI124" s="1" t="str">
        <f>""</f>
        <v/>
      </c>
      <c r="AJ124" s="1" t="str">
        <f>""</f>
        <v/>
      </c>
      <c r="AK124" s="1" t="str">
        <f>""</f>
        <v/>
      </c>
    </row>
    <row r="125" spans="1:37">
      <c r="A125" s="1">
        <v>22000</v>
      </c>
      <c r="B125" s="1">
        <v>966300051</v>
      </c>
      <c r="C125" s="1" t="str">
        <f>"تخليه -اصفهان خميني شهر- منطقه صنعتي دوشاخ-شرکت برقسا"</f>
        <v>تخليه -اصفهان خميني شهر- منطقه صنعتي دوشاخ-شرکت برقسا</v>
      </c>
      <c r="D125" s="1">
        <v>12850</v>
      </c>
      <c r="E125" s="1">
        <v>18880</v>
      </c>
      <c r="F125" s="1">
        <v>96</v>
      </c>
      <c r="G125" s="1">
        <v>3120</v>
      </c>
      <c r="H125" s="1" t="str">
        <f>"96/10/11"</f>
        <v>96/10/11</v>
      </c>
      <c r="I125" s="1" t="str">
        <f>"كيلوگرم"</f>
        <v>كيلوگرم</v>
      </c>
      <c r="J125" s="1" t="str">
        <f>"0000000076"</f>
        <v>0000000076</v>
      </c>
      <c r="K125" s="1" t="str">
        <f>"قير 60/70 - فله"</f>
        <v>قير 60/70 - فله</v>
      </c>
      <c r="L125" s="1">
        <v>100</v>
      </c>
      <c r="M125" s="1" t="str">
        <f>"مخازن قير اصفهان"</f>
        <v>مخازن قير اصفهان</v>
      </c>
      <c r="N125" s="1">
        <v>7027</v>
      </c>
      <c r="O125" s="1">
        <v>50038024</v>
      </c>
      <c r="P125" s="1" t="str">
        <f>"  برقسا"</f>
        <v xml:space="preserve">  برقسا</v>
      </c>
      <c r="Q125" s="1">
        <v>63</v>
      </c>
      <c r="R125" s="1" t="str">
        <f>"سازمان نوسازي،توسعه و تجهيز مدارس كشور"</f>
        <v>سازمان نوسازي،توسعه و تجهيز مدارس كشور</v>
      </c>
      <c r="S125" s="1" t="str">
        <f>"قرارداد فروش"</f>
        <v>قرارداد فروش</v>
      </c>
      <c r="T125" s="1" t="str">
        <f>"ندارد"</f>
        <v>ندارد</v>
      </c>
      <c r="U125" s="1" t="str">
        <f>"عزيزي صفر(1006ج 89)"</f>
        <v>عزيزي صفر(1006ج 89)</v>
      </c>
      <c r="V125" s="1">
        <v>966300051</v>
      </c>
      <c r="W125" s="1">
        <v>966300051</v>
      </c>
      <c r="X125" s="1" t="str">
        <f>"1396536278"</f>
        <v>1396536278</v>
      </c>
      <c r="Y125" s="1" t="str">
        <f>"96/10/11"</f>
        <v>96/10/11</v>
      </c>
      <c r="Z125" s="1" t="str">
        <f>"3-96/422-26785"</f>
        <v>3-96/422-26785</v>
      </c>
      <c r="AA125" s="1" t="str">
        <f>"سازمان نوسازي توسعه وتجهيزمدارس كشور"</f>
        <v>سازمان نوسازي توسعه وتجهيزمدارس كشور</v>
      </c>
      <c r="AB125" s="1" t="str">
        <f>"96/10/04"</f>
        <v>96/10/04</v>
      </c>
      <c r="AC125" s="1" t="str">
        <f>"استان اصفهان"</f>
        <v>استان اصفهان</v>
      </c>
      <c r="AD125" s="1" t="str">
        <f>"96/10/10"</f>
        <v>96/10/10</v>
      </c>
      <c r="AE125" s="1" t="str">
        <f>"اختتام"</f>
        <v>اختتام</v>
      </c>
      <c r="AF125" s="1" t="str">
        <f>""</f>
        <v/>
      </c>
      <c r="AG125" s="1" t="str">
        <f>""</f>
        <v/>
      </c>
      <c r="AH125" s="1" t="str">
        <f>""</f>
        <v/>
      </c>
      <c r="AI125" s="1" t="str">
        <f>""</f>
        <v/>
      </c>
      <c r="AJ125" s="1" t="str">
        <f>""</f>
        <v/>
      </c>
      <c r="AK125" s="1" t="str">
        <f>""</f>
        <v/>
      </c>
    </row>
    <row r="126" spans="1:37">
      <c r="A126" s="1">
        <v>84287</v>
      </c>
      <c r="B126" s="1">
        <v>962000249</v>
      </c>
      <c r="C126" s="1" t="str">
        <f>"تخليه -خراسان جنوبي -شهرستان بشرويه کارخانه آسفالت شهرداري"</f>
        <v>تخليه -خراسان جنوبي -شهرستان بشرويه کارخانه آسفالت شهرداري</v>
      </c>
      <c r="D126" s="1">
        <v>9113</v>
      </c>
      <c r="E126" s="1">
        <v>83226</v>
      </c>
      <c r="F126" s="1">
        <v>96</v>
      </c>
      <c r="G126" s="1">
        <v>1061</v>
      </c>
      <c r="H126" s="1" t="str">
        <f>"96/09/08"</f>
        <v>96/09/08</v>
      </c>
      <c r="I126" s="1" t="str">
        <f>"كيلوگرم"</f>
        <v>كيلوگرم</v>
      </c>
      <c r="J126" s="1" t="str">
        <f>"0000000076"</f>
        <v>0000000076</v>
      </c>
      <c r="K126" s="1" t="str">
        <f>"قير 60/70 - فله"</f>
        <v>قير 60/70 - فله</v>
      </c>
      <c r="L126" s="1">
        <v>100</v>
      </c>
      <c r="M126" s="1" t="str">
        <f>"مخازن قير اصفهان"</f>
        <v>مخازن قير اصفهان</v>
      </c>
      <c r="N126" s="1">
        <v>8284</v>
      </c>
      <c r="O126" s="1">
        <v>50037377</v>
      </c>
      <c r="P126" s="1" t="str">
        <f>"  شهرداري بشرويه"</f>
        <v xml:space="preserve">  شهرداري بشرويه</v>
      </c>
      <c r="Q126" s="1">
        <v>20</v>
      </c>
      <c r="R126" s="1" t="str">
        <f>"فروش داخلي - سازمان شهرداري ها و دهياري هاي كشور"</f>
        <v>فروش داخلي - سازمان شهرداري ها و دهياري هاي كشور</v>
      </c>
      <c r="S126" s="1" t="str">
        <f>"قرارداد فروش"</f>
        <v>قرارداد فروش</v>
      </c>
      <c r="T126" s="1" t="str">
        <f>"ندارد"</f>
        <v>ندارد</v>
      </c>
      <c r="U126" s="1" t="str">
        <f>"تعاوني جم گستر (1001 ج 89)"</f>
        <v>تعاوني جم گستر (1001 ج 89)</v>
      </c>
      <c r="V126" s="1">
        <v>962000249</v>
      </c>
      <c r="W126" s="1">
        <v>962000249</v>
      </c>
      <c r="X126" s="1" t="str">
        <f>"1396514467"</f>
        <v>1396514467</v>
      </c>
      <c r="Y126" s="1" t="str">
        <f>"96/09/08"</f>
        <v>96/09/08</v>
      </c>
      <c r="Z126" s="1" t="str">
        <f>"37089مرحله دوم"</f>
        <v>37089مرحله دوم</v>
      </c>
      <c r="AA126" s="1" t="str">
        <f>"شهرداريها"</f>
        <v>شهرداريها</v>
      </c>
      <c r="AB126" s="1" t="str">
        <f>"96/09/04"</f>
        <v>96/09/04</v>
      </c>
      <c r="AC126" s="1" t="str">
        <f>"خراسان جنوبي"</f>
        <v>خراسان جنوبي</v>
      </c>
      <c r="AD126" s="1" t="str">
        <f>"96/07/03"</f>
        <v>96/07/03</v>
      </c>
      <c r="AE126" s="1" t="str">
        <f>"اختتام"</f>
        <v>اختتام</v>
      </c>
      <c r="AF126" s="1" t="str">
        <f>""</f>
        <v/>
      </c>
      <c r="AG126" s="1" t="str">
        <f>""</f>
        <v/>
      </c>
      <c r="AH126" s="1" t="str">
        <f>""</f>
        <v/>
      </c>
      <c r="AI126" s="1" t="str">
        <f>""</f>
        <v/>
      </c>
      <c r="AJ126" s="1" t="str">
        <f>""</f>
        <v/>
      </c>
      <c r="AK126" s="1" t="str">
        <f>""</f>
        <v/>
      </c>
    </row>
    <row r="127" spans="1:37">
      <c r="A127" s="1">
        <v>100000</v>
      </c>
      <c r="B127" s="1">
        <v>961100086</v>
      </c>
      <c r="C127" s="1" t="str">
        <f>"تخليه -اصفهان - گلپايگان - كيلومتر 5 جاده خوانسار"</f>
        <v>تخليه -اصفهان - گلپايگان - كيلومتر 5 جاده خوانسار</v>
      </c>
      <c r="D127" s="1">
        <v>9416</v>
      </c>
      <c r="E127" s="1">
        <v>100000</v>
      </c>
      <c r="F127" s="1">
        <v>96</v>
      </c>
      <c r="G127" s="1">
        <v>0</v>
      </c>
      <c r="H127" s="1" t="str">
        <f>"96/08/08"</f>
        <v>96/08/08</v>
      </c>
      <c r="I127" s="1" t="str">
        <f>"كيلوگرم"</f>
        <v>كيلوگرم</v>
      </c>
      <c r="J127" s="1" t="str">
        <f>"0000000076"</f>
        <v>0000000076</v>
      </c>
      <c r="K127" s="1" t="str">
        <f>"قير 60/70 - فله"</f>
        <v>قير 60/70 - فله</v>
      </c>
      <c r="L127" s="1">
        <v>100</v>
      </c>
      <c r="M127" s="1" t="str">
        <f>"مخازن قير اصفهان"</f>
        <v>مخازن قير اصفهان</v>
      </c>
      <c r="N127" s="1">
        <v>9043</v>
      </c>
      <c r="O127" s="1">
        <v>50036951</v>
      </c>
      <c r="P127" s="1" t="str">
        <f>"  مهندسي صنعت راه گلپايگان"</f>
        <v xml:space="preserve">  مهندسي صنعت راه گلپايگان</v>
      </c>
      <c r="Q127" s="1">
        <v>11</v>
      </c>
      <c r="R127" s="1" t="str">
        <f>"فروش داخلي تهران - بورس"</f>
        <v>فروش داخلي تهران - بورس</v>
      </c>
      <c r="S127" s="1" t="str">
        <f>"قرارداد فروش"</f>
        <v>قرارداد فروش</v>
      </c>
      <c r="T127" s="1" t="str">
        <f>"ندارد"</f>
        <v>ندارد</v>
      </c>
      <c r="U127" s="1" t="str">
        <f>"شهبازي محمدرضا(1029ج89)"</f>
        <v>شهبازي محمدرضا(1029ج89)</v>
      </c>
      <c r="V127" s="1">
        <v>961100086</v>
      </c>
      <c r="W127" s="1">
        <v>961100086</v>
      </c>
      <c r="X127" s="1" t="str">
        <f>"1396521490"</f>
        <v>1396521490</v>
      </c>
      <c r="Y127" s="1" t="str">
        <f>"96/08/07"</f>
        <v>96/08/07</v>
      </c>
      <c r="Z127" s="1" t="str">
        <f>"96-36461"</f>
        <v>96-36461</v>
      </c>
      <c r="AA127" s="1" t="str">
        <f>"راه سازي"</f>
        <v>راه سازي</v>
      </c>
      <c r="AB127" s="1" t="str">
        <f>"96/08/07"</f>
        <v>96/08/07</v>
      </c>
      <c r="AC127" s="1" t="str">
        <f>"استان اصفهان"</f>
        <v>استان اصفهان</v>
      </c>
      <c r="AD127" s="1" t="str">
        <f>"96/08/03"</f>
        <v>96/08/03</v>
      </c>
      <c r="AE127" s="1" t="str">
        <f>"اختتام"</f>
        <v>اختتام</v>
      </c>
      <c r="AF127" s="1" t="str">
        <f>""</f>
        <v/>
      </c>
      <c r="AG127" s="1" t="str">
        <f>""</f>
        <v/>
      </c>
      <c r="AH127" s="1" t="str">
        <f>""</f>
        <v/>
      </c>
      <c r="AI127" s="1" t="str">
        <f>""</f>
        <v/>
      </c>
      <c r="AJ127" s="1" t="str">
        <f>""</f>
        <v/>
      </c>
      <c r="AK127" s="1" t="str">
        <f>""</f>
        <v/>
      </c>
    </row>
    <row r="128" spans="1:37">
      <c r="A128" s="1">
        <v>239000</v>
      </c>
      <c r="B128" s="1">
        <v>966200329</v>
      </c>
      <c r="C128" s="1" t="str">
        <f>"تخليه-دماوند-معدن اسب چران-کارخانه کنوان پارس 1"</f>
        <v>تخليه-دماوند-معدن اسب چران-کارخانه کنوان پارس 1</v>
      </c>
      <c r="D128" s="1">
        <v>9113</v>
      </c>
      <c r="E128" s="1">
        <v>237840</v>
      </c>
      <c r="F128" s="1">
        <v>96</v>
      </c>
      <c r="G128" s="1">
        <v>1160</v>
      </c>
      <c r="H128" s="1" t="str">
        <f>"96/07/24"</f>
        <v>96/07/24</v>
      </c>
      <c r="I128" s="1" t="str">
        <f>"كيلوگرم"</f>
        <v>كيلوگرم</v>
      </c>
      <c r="J128" s="1" t="str">
        <f>"0000000076"</f>
        <v>0000000076</v>
      </c>
      <c r="K128" s="1" t="str">
        <f>"قير 60/70 - فله"</f>
        <v>قير 60/70 - فله</v>
      </c>
      <c r="L128" s="1">
        <v>100</v>
      </c>
      <c r="M128" s="1" t="str">
        <f>"مخازن قير اصفهان"</f>
        <v>مخازن قير اصفهان</v>
      </c>
      <c r="N128" s="1">
        <v>8766</v>
      </c>
      <c r="O128" s="1">
        <v>50036759</v>
      </c>
      <c r="P128" s="1" t="str">
        <f>"  آرمه سازسارويه"</f>
        <v xml:space="preserve">  آرمه سازسارويه</v>
      </c>
      <c r="Q128" s="1">
        <v>62</v>
      </c>
      <c r="R128" s="1" t="str">
        <f>"فروش داخلي - سازمان بنيادمسكن انقلاب اسلامي"</f>
        <v>فروش داخلي - سازمان بنيادمسكن انقلاب اسلامي</v>
      </c>
      <c r="S128" s="1" t="str">
        <f>"قرارداد فروش"</f>
        <v>قرارداد فروش</v>
      </c>
      <c r="T128" s="1" t="str">
        <f>"ندارد"</f>
        <v>ندارد</v>
      </c>
      <c r="U128" s="1" t="str">
        <f>"خوش نيت مجتبي(1841021)"</f>
        <v>خوش نيت مجتبي(1841021)</v>
      </c>
      <c r="V128" s="1">
        <v>966200329</v>
      </c>
      <c r="W128" s="1">
        <v>966200329</v>
      </c>
      <c r="X128" s="1" t="str">
        <f>"1396518902"</f>
        <v>1396518902</v>
      </c>
      <c r="Y128" s="1" t="str">
        <f>"96/07/24"</f>
        <v>96/07/24</v>
      </c>
      <c r="Z128" s="1" t="str">
        <f>"32911/د"</f>
        <v>32911/د</v>
      </c>
      <c r="AA128" s="1" t="str">
        <f>"بنيادمسكن انقلاب اسلامي"</f>
        <v>بنيادمسكن انقلاب اسلامي</v>
      </c>
      <c r="AB128" s="1" t="str">
        <f>"96/07/24"</f>
        <v>96/07/24</v>
      </c>
      <c r="AC128" s="1" t="str">
        <f>"استان تهران"</f>
        <v>استان تهران</v>
      </c>
      <c r="AD128" s="1" t="str">
        <f>"96/07/24"</f>
        <v>96/07/24</v>
      </c>
      <c r="AE128" s="1" t="str">
        <f>"اختتام"</f>
        <v>اختتام</v>
      </c>
      <c r="AF128" s="1" t="str">
        <f>""</f>
        <v/>
      </c>
      <c r="AG128" s="1" t="str">
        <f>""</f>
        <v/>
      </c>
      <c r="AH128" s="1" t="str">
        <f>""</f>
        <v/>
      </c>
      <c r="AI128" s="1" t="str">
        <f>""</f>
        <v/>
      </c>
      <c r="AJ128" s="1" t="str">
        <f>""</f>
        <v/>
      </c>
      <c r="AK128" s="1" t="str">
        <f>""</f>
        <v/>
      </c>
    </row>
    <row r="129" spans="1:37">
      <c r="A129" s="1">
        <v>25000</v>
      </c>
      <c r="B129" s="1">
        <v>961100116</v>
      </c>
      <c r="C129" s="1" t="str">
        <f>"تخليه - كيلومتر 35جاده اصفهان نائين شهرك صنعتي سگزي پشت کارخانه ايران استيرال فرعي7"</f>
        <v>تخليه - كيلومتر 35جاده اصفهان نائين شهرك صنعتي سگزي پشت کارخانه ايران استيرال فرعي7</v>
      </c>
      <c r="D129" s="1">
        <v>13200</v>
      </c>
      <c r="E129" s="1">
        <v>24080</v>
      </c>
      <c r="F129" s="1">
        <v>96</v>
      </c>
      <c r="G129" s="1">
        <v>920</v>
      </c>
      <c r="H129" s="1" t="str">
        <f>"96/11/09"</f>
        <v>96/11/09</v>
      </c>
      <c r="I129" s="1" t="str">
        <f>"كيلوگرم"</f>
        <v>كيلوگرم</v>
      </c>
      <c r="J129" s="1" t="str">
        <f>"0000000076"</f>
        <v>0000000076</v>
      </c>
      <c r="K129" s="1" t="str">
        <f>"قير 60/70 - فله"</f>
        <v>قير 60/70 - فله</v>
      </c>
      <c r="L129" s="1">
        <v>100</v>
      </c>
      <c r="M129" s="1" t="str">
        <f>"مخازن قير اصفهان"</f>
        <v>مخازن قير اصفهان</v>
      </c>
      <c r="N129" s="1">
        <v>8246</v>
      </c>
      <c r="O129" s="1">
        <v>50038317</v>
      </c>
      <c r="P129" s="1" t="str">
        <f>"  نيك محضراسپادانا"</f>
        <v xml:space="preserve">  نيك محضراسپادانا</v>
      </c>
      <c r="Q129" s="1">
        <v>11</v>
      </c>
      <c r="R129" s="1" t="str">
        <f>"فروش داخلي تهران - بورس"</f>
        <v>فروش داخلي تهران - بورس</v>
      </c>
      <c r="S129" s="1" t="str">
        <f>"قرارداد فروش"</f>
        <v>قرارداد فروش</v>
      </c>
      <c r="T129" s="1" t="str">
        <f>"ندارد"</f>
        <v>ندارد</v>
      </c>
      <c r="U129" s="1" t="str">
        <f>"عزيزي صفر(1006ج 89)"</f>
        <v>عزيزي صفر(1006ج 89)</v>
      </c>
      <c r="V129" s="1">
        <v>961100116</v>
      </c>
      <c r="W129" s="1">
        <v>961100116</v>
      </c>
      <c r="X129" s="1" t="str">
        <f>"1396542491"</f>
        <v>1396542491</v>
      </c>
      <c r="Y129" s="1" t="str">
        <f>"96/11/07"</f>
        <v>96/11/07</v>
      </c>
      <c r="Z129" s="1" t="str">
        <f>"96-37036"</f>
        <v>96-37036</v>
      </c>
      <c r="AA129" s="1" t="str">
        <f>"شهرداريها"</f>
        <v>شهرداريها</v>
      </c>
      <c r="AB129" s="1" t="str">
        <f>"96/11/07"</f>
        <v>96/11/07</v>
      </c>
      <c r="AC129" s="1" t="str">
        <f>"استان اصفهان"</f>
        <v>استان اصفهان</v>
      </c>
      <c r="AD129" s="1" t="str">
        <f>"96/11/03"</f>
        <v>96/11/03</v>
      </c>
      <c r="AE129" s="1" t="str">
        <f>"اختتام"</f>
        <v>اختتام</v>
      </c>
      <c r="AF129" s="1" t="str">
        <f>""</f>
        <v/>
      </c>
      <c r="AG129" s="1" t="str">
        <f>""</f>
        <v/>
      </c>
      <c r="AH129" s="1" t="str">
        <f>""</f>
        <v/>
      </c>
      <c r="AI129" s="1" t="str">
        <f>""</f>
        <v/>
      </c>
      <c r="AJ129" s="1" t="str">
        <f>""</f>
        <v/>
      </c>
      <c r="AK129" s="1" t="str">
        <f>""</f>
        <v/>
      </c>
    </row>
    <row r="130" spans="1:37">
      <c r="A130" s="1">
        <v>113286</v>
      </c>
      <c r="B130" s="1">
        <v>962000183</v>
      </c>
      <c r="C130" s="1" t="str">
        <f>"تخليه -خراسان رضوي -گناباد-كاخك -كارخانه آسفالت شهرداري كاخك"</f>
        <v>تخليه -خراسان رضوي -گناباد-كاخك -كارخانه آسفالت شهرداري كاخك</v>
      </c>
      <c r="D130" s="1">
        <v>9113</v>
      </c>
      <c r="E130" s="1">
        <v>113286</v>
      </c>
      <c r="F130" s="1">
        <v>96</v>
      </c>
      <c r="G130" s="1">
        <v>0</v>
      </c>
      <c r="H130" s="1" t="str">
        <f>"96/07/03"</f>
        <v>96/07/03</v>
      </c>
      <c r="I130" s="1" t="str">
        <f>"كيلوگرم"</f>
        <v>كيلوگرم</v>
      </c>
      <c r="J130" s="1" t="str">
        <f>"0000000076"</f>
        <v>0000000076</v>
      </c>
      <c r="K130" s="1" t="str">
        <f>"قير 60/70 - فله"</f>
        <v>قير 60/70 - فله</v>
      </c>
      <c r="L130" s="1">
        <v>100</v>
      </c>
      <c r="M130" s="1" t="str">
        <f>"مخازن قير اصفهان"</f>
        <v>مخازن قير اصفهان</v>
      </c>
      <c r="N130" s="1">
        <v>8902</v>
      </c>
      <c r="O130" s="1">
        <v>50036388</v>
      </c>
      <c r="P130" s="1" t="str">
        <f>"  شهرداري كاخك"</f>
        <v xml:space="preserve">  شهرداري كاخك</v>
      </c>
      <c r="Q130" s="1">
        <v>20</v>
      </c>
      <c r="R130" s="1" t="str">
        <f>"فروش داخلي - سازمان شهرداري ها و دهياري هاي كشور"</f>
        <v>فروش داخلي - سازمان شهرداري ها و دهياري هاي كشور</v>
      </c>
      <c r="S130" s="1" t="str">
        <f>"قرارداد فروش"</f>
        <v>قرارداد فروش</v>
      </c>
      <c r="T130" s="1" t="str">
        <f>"ندارد"</f>
        <v>ندارد</v>
      </c>
      <c r="U130" s="1" t="str">
        <f>"تعاوني جم گستر (1001 ج 89)"</f>
        <v>تعاوني جم گستر (1001 ج 89)</v>
      </c>
      <c r="V130" s="1">
        <v>962000183</v>
      </c>
      <c r="W130" s="1">
        <v>962000183</v>
      </c>
      <c r="X130" s="1" t="str">
        <f>"1396514467"</f>
        <v>1396514467</v>
      </c>
      <c r="Y130" s="1" t="str">
        <f>"96/07/03"</f>
        <v>96/07/03</v>
      </c>
      <c r="Z130" s="1" t="str">
        <f>"26687مرحله اول"</f>
        <v>26687مرحله اول</v>
      </c>
      <c r="AA130" s="1" t="str">
        <f>"شهرداريها"</f>
        <v>شهرداريها</v>
      </c>
      <c r="AB130" s="1" t="str">
        <f>"96/06/29"</f>
        <v>96/06/29</v>
      </c>
      <c r="AC130" s="1" t="str">
        <f>"خراسان رضوي"</f>
        <v>خراسان رضوي</v>
      </c>
      <c r="AD130" s="1" t="str">
        <f>"96/07/03"</f>
        <v>96/07/03</v>
      </c>
      <c r="AE130" s="1" t="str">
        <f>"اختتام"</f>
        <v>اختتام</v>
      </c>
      <c r="AF130" s="1" t="str">
        <f>""</f>
        <v/>
      </c>
      <c r="AG130" s="1" t="str">
        <f>""</f>
        <v/>
      </c>
      <c r="AH130" s="1" t="str">
        <f>""</f>
        <v/>
      </c>
      <c r="AI130" s="1" t="str">
        <f>""</f>
        <v/>
      </c>
      <c r="AJ130" s="1" t="str">
        <f>""</f>
        <v/>
      </c>
      <c r="AK130" s="1" t="str">
        <f>""</f>
        <v/>
      </c>
    </row>
    <row r="131" spans="1:37">
      <c r="A131" s="1">
        <v>15000</v>
      </c>
      <c r="B131" s="1">
        <v>966200107</v>
      </c>
      <c r="C131" s="1" t="str">
        <f>"تخليه-مازندران-کيلومتر 10 جاده آمل محمود آباد-پشت شهرک صنعتي تشبندان-کارخانه آسفالت ارجمنديان"</f>
        <v>تخليه-مازندران-کيلومتر 10 جاده آمل محمود آباد-پشت شهرک صنعتي تشبندان-کارخانه آسفالت ارجمنديان</v>
      </c>
      <c r="D131" s="1">
        <v>9204</v>
      </c>
      <c r="E131" s="1">
        <v>14480</v>
      </c>
      <c r="F131" s="1">
        <v>96</v>
      </c>
      <c r="G131" s="1">
        <v>520</v>
      </c>
      <c r="H131" s="1" t="str">
        <f>"96/03/09"</f>
        <v>96/03/09</v>
      </c>
      <c r="I131" s="1" t="str">
        <f>"كيلوگرم"</f>
        <v>كيلوگرم</v>
      </c>
      <c r="J131" s="1" t="str">
        <f>"0000000076"</f>
        <v>0000000076</v>
      </c>
      <c r="K131" s="1" t="str">
        <f>"قير 60/70 - فله"</f>
        <v>قير 60/70 - فله</v>
      </c>
      <c r="L131" s="1">
        <v>100</v>
      </c>
      <c r="M131" s="1" t="str">
        <f>"مخازن قير اصفهان"</f>
        <v>مخازن قير اصفهان</v>
      </c>
      <c r="N131" s="1">
        <v>8903</v>
      </c>
      <c r="O131" s="1">
        <v>50034919</v>
      </c>
      <c r="P131" s="1" t="str">
        <f>"  بنيادمسكن انقلاب اسلامي مازندران"</f>
        <v xml:space="preserve">  بنيادمسكن انقلاب اسلامي مازندران</v>
      </c>
      <c r="Q131" s="1">
        <v>62</v>
      </c>
      <c r="R131" s="1" t="str">
        <f>"فروش داخلي - سازمان بنيادمسكن انقلاب اسلامي"</f>
        <v>فروش داخلي - سازمان بنيادمسكن انقلاب اسلامي</v>
      </c>
      <c r="S131" s="1" t="str">
        <f>"قرارداد فروش"</f>
        <v>قرارداد فروش</v>
      </c>
      <c r="T131" s="1" t="str">
        <f>"ندارد"</f>
        <v>ندارد</v>
      </c>
      <c r="U131" s="1" t="str">
        <f>"شيشه بر كريم(1841016)"</f>
        <v>شيشه بر كريم(1841016)</v>
      </c>
      <c r="V131" s="1">
        <v>966200107</v>
      </c>
      <c r="W131" s="1">
        <v>966200107</v>
      </c>
      <c r="X131" s="1" t="str">
        <f>"1396484354"</f>
        <v>1396484354</v>
      </c>
      <c r="Y131" s="1" t="str">
        <f>"96/03/09"</f>
        <v>96/03/09</v>
      </c>
      <c r="Z131" s="1" t="str">
        <f>"8577/د"</f>
        <v>8577/د</v>
      </c>
      <c r="AA131" s="1" t="str">
        <f>"بنيادمسكن انقلاب اسلامي"</f>
        <v>بنيادمسكن انقلاب اسلامي</v>
      </c>
      <c r="AB131" s="1" t="str">
        <f>"96/03/06"</f>
        <v>96/03/06</v>
      </c>
      <c r="AC131" s="1" t="str">
        <f>"استان مازندران"</f>
        <v>استان مازندران</v>
      </c>
      <c r="AD131" s="1" t="str">
        <f>"96/03/09"</f>
        <v>96/03/09</v>
      </c>
      <c r="AE131" s="1" t="str">
        <f>"اختتام"</f>
        <v>اختتام</v>
      </c>
      <c r="AF131" s="1" t="str">
        <f>""</f>
        <v/>
      </c>
      <c r="AG131" s="1" t="str">
        <f>""</f>
        <v/>
      </c>
      <c r="AH131" s="1" t="str">
        <f>""</f>
        <v/>
      </c>
      <c r="AI131" s="1" t="str">
        <f>""</f>
        <v/>
      </c>
      <c r="AJ131" s="1" t="str">
        <f>""</f>
        <v/>
      </c>
      <c r="AK131" s="1" t="str">
        <f>""</f>
        <v/>
      </c>
    </row>
    <row r="132" spans="1:37">
      <c r="A132" s="1">
        <v>56000</v>
      </c>
      <c r="B132" s="1">
        <v>966200175</v>
      </c>
      <c r="C132" s="1" t="str">
        <f>"تخليه-مازندران-کيلومتر 10 جاده آمل محمود آباد-پشت شهرک صنعتي تشبندان-کارخانه آسفالت ارجمنديان"</f>
        <v>تخليه-مازندران-کيلومتر 10 جاده آمل محمود آباد-پشت شهرک صنعتي تشبندان-کارخانه آسفالت ارجمنديان</v>
      </c>
      <c r="D132" s="1">
        <v>8704</v>
      </c>
      <c r="E132" s="1">
        <v>46760</v>
      </c>
      <c r="F132" s="1">
        <v>96</v>
      </c>
      <c r="G132" s="1">
        <v>9240</v>
      </c>
      <c r="H132" s="1" t="str">
        <f>"96/05/15"</f>
        <v>96/05/15</v>
      </c>
      <c r="I132" s="1" t="str">
        <f>"كيلوگرم"</f>
        <v>كيلوگرم</v>
      </c>
      <c r="J132" s="1" t="str">
        <f>"0000000076"</f>
        <v>0000000076</v>
      </c>
      <c r="K132" s="1" t="str">
        <f>"قير 60/70 - فله"</f>
        <v>قير 60/70 - فله</v>
      </c>
      <c r="L132" s="1">
        <v>100</v>
      </c>
      <c r="M132" s="1" t="str">
        <f>"مخازن قير اصفهان"</f>
        <v>مخازن قير اصفهان</v>
      </c>
      <c r="N132" s="1">
        <v>8903</v>
      </c>
      <c r="O132" s="1">
        <v>50035530</v>
      </c>
      <c r="P132" s="1" t="str">
        <f>"  بنيادمسكن انقلاب اسلامي مازندران"</f>
        <v xml:space="preserve">  بنيادمسكن انقلاب اسلامي مازندران</v>
      </c>
      <c r="Q132" s="1">
        <v>62</v>
      </c>
      <c r="R132" s="1" t="str">
        <f>"فروش داخلي - سازمان بنيادمسكن انقلاب اسلامي"</f>
        <v>فروش داخلي - سازمان بنيادمسكن انقلاب اسلامي</v>
      </c>
      <c r="S132" s="1" t="str">
        <f>"قرارداد فروش"</f>
        <v>قرارداد فروش</v>
      </c>
      <c r="T132" s="1" t="str">
        <f>"ندارد"</f>
        <v>ندارد</v>
      </c>
      <c r="U132" s="1" t="str">
        <f>"شيشه بر كريم(1841016)"</f>
        <v>شيشه بر كريم(1841016)</v>
      </c>
      <c r="V132" s="1">
        <v>966200175</v>
      </c>
      <c r="W132" s="1">
        <v>966200175</v>
      </c>
      <c r="X132" s="1" t="str">
        <f>"1396502842"</f>
        <v>1396502842</v>
      </c>
      <c r="Y132" s="1" t="str">
        <f>"96/05/15"</f>
        <v>96/05/15</v>
      </c>
      <c r="Z132" s="1" t="str">
        <f>"19676/د"</f>
        <v>19676/د</v>
      </c>
      <c r="AA132" s="1" t="str">
        <f>"بنيادمسكن انقلاب اسلامي"</f>
        <v>بنيادمسكن انقلاب اسلامي</v>
      </c>
      <c r="AB132" s="1" t="str">
        <f>"96/05/11"</f>
        <v>96/05/11</v>
      </c>
      <c r="AC132" s="1" t="str">
        <f>"استان مازندران"</f>
        <v>استان مازندران</v>
      </c>
      <c r="AD132" s="1" t="str">
        <f>"96/05/15"</f>
        <v>96/05/15</v>
      </c>
      <c r="AE132" s="1" t="str">
        <f>"اختتام"</f>
        <v>اختتام</v>
      </c>
      <c r="AF132" s="1" t="str">
        <f>""</f>
        <v/>
      </c>
      <c r="AG132" s="1" t="str">
        <f>""</f>
        <v/>
      </c>
      <c r="AH132" s="1" t="str">
        <f>""</f>
        <v/>
      </c>
      <c r="AI132" s="1" t="str">
        <f>""</f>
        <v/>
      </c>
      <c r="AJ132" s="1" t="str">
        <f>""</f>
        <v/>
      </c>
      <c r="AK132" s="1" t="str">
        <f>""</f>
        <v/>
      </c>
    </row>
    <row r="133" spans="1:37">
      <c r="A133" s="1">
        <v>192000</v>
      </c>
      <c r="B133" s="1">
        <v>966200434</v>
      </c>
      <c r="C133" s="1" t="str">
        <f>"تخليه - خراسان جنوبي - نهبندان-جاده روستايي سه فرسخ-کارخانه آسفالت شرکت گيتي گستر خاوران"</f>
        <v>تخليه - خراسان جنوبي - نهبندان-جاده روستايي سه فرسخ-کارخانه آسفالت شرکت گيتي گستر خاوران</v>
      </c>
      <c r="D133" s="1">
        <v>12820</v>
      </c>
      <c r="E133" s="1">
        <v>190320</v>
      </c>
      <c r="F133" s="1">
        <v>96</v>
      </c>
      <c r="G133" s="1">
        <v>1680</v>
      </c>
      <c r="H133" s="1" t="str">
        <f>"96/09/18"</f>
        <v>96/09/18</v>
      </c>
      <c r="I133" s="1" t="str">
        <f>"كيلوگرم"</f>
        <v>كيلوگرم</v>
      </c>
      <c r="J133" s="1" t="str">
        <f>"0000000076"</f>
        <v>0000000076</v>
      </c>
      <c r="K133" s="1" t="str">
        <f>"قير 60/70 - فله"</f>
        <v>قير 60/70 - فله</v>
      </c>
      <c r="L133" s="1">
        <v>100</v>
      </c>
      <c r="M133" s="1" t="str">
        <f>"مخازن قير اصفهان"</f>
        <v>مخازن قير اصفهان</v>
      </c>
      <c r="N133" s="1">
        <v>8333</v>
      </c>
      <c r="O133" s="1">
        <v>50037563</v>
      </c>
      <c r="P133" s="1" t="str">
        <f>"  گيتي گسترخاوران"</f>
        <v xml:space="preserve">  گيتي گسترخاوران</v>
      </c>
      <c r="Q133" s="1">
        <v>62</v>
      </c>
      <c r="R133" s="1" t="str">
        <f>"فروش داخلي - سازمان بنيادمسكن انقلاب اسلامي"</f>
        <v>فروش داخلي - سازمان بنيادمسكن انقلاب اسلامي</v>
      </c>
      <c r="S133" s="1" t="str">
        <f>"قرارداد فروش"</f>
        <v>قرارداد فروش</v>
      </c>
      <c r="T133" s="1" t="str">
        <f>"ندارد"</f>
        <v>ندارد</v>
      </c>
      <c r="U133" s="1" t="str">
        <f>"عزيزي صفر(1006ج 89)"</f>
        <v>عزيزي صفر(1006ج 89)</v>
      </c>
      <c r="V133" s="1">
        <v>966200434</v>
      </c>
      <c r="W133" s="1">
        <v>966200434</v>
      </c>
      <c r="X133" s="1" t="str">
        <f>"1396531057"</f>
        <v>1396531057</v>
      </c>
      <c r="Y133" s="1" t="str">
        <f>"96/09/18"</f>
        <v>96/09/18</v>
      </c>
      <c r="Z133" s="1" t="str">
        <f>"40621/د"</f>
        <v>40621/د</v>
      </c>
      <c r="AA133" s="1" t="str">
        <f>"بنيادمسكن انقلاب اسلامي"</f>
        <v>بنيادمسكن انقلاب اسلامي</v>
      </c>
      <c r="AB133" s="1" t="str">
        <f>"96/09/14"</f>
        <v>96/09/14</v>
      </c>
      <c r="AC133" s="1" t="str">
        <f>"خراسان جنوبي"</f>
        <v>خراسان جنوبي</v>
      </c>
      <c r="AD133" s="1" t="str">
        <f>"96/09/18"</f>
        <v>96/09/18</v>
      </c>
      <c r="AE133" s="1" t="str">
        <f>"اختتام"</f>
        <v>اختتام</v>
      </c>
      <c r="AF133" s="1" t="str">
        <f>""</f>
        <v/>
      </c>
      <c r="AG133" s="1" t="str">
        <f>""</f>
        <v/>
      </c>
      <c r="AH133" s="1" t="str">
        <f>""</f>
        <v/>
      </c>
      <c r="AI133" s="1" t="str">
        <f>""</f>
        <v/>
      </c>
      <c r="AJ133" s="1" t="str">
        <f>""</f>
        <v/>
      </c>
      <c r="AK133" s="1" t="str">
        <f>""</f>
        <v/>
      </c>
    </row>
    <row r="134" spans="1:37">
      <c r="A134" s="1">
        <v>300000</v>
      </c>
      <c r="B134" s="1">
        <v>961100102</v>
      </c>
      <c r="C134" s="1" t="str">
        <f>"تخليه - اصفهان-نايين-کيلومتر 15 جاده نايين-اصفهان-باند برگشت-کارخانه آسفالت پليمر راه هشت بهشت"</f>
        <v>تخليه - اصفهان-نايين-کيلومتر 15 جاده نايين-اصفهان-باند برگشت-کارخانه آسفالت پليمر راه هشت بهشت</v>
      </c>
      <c r="D134" s="1">
        <v>12820</v>
      </c>
      <c r="E134" s="1">
        <v>298500</v>
      </c>
      <c r="F134" s="1">
        <v>96</v>
      </c>
      <c r="G134" s="1">
        <v>1500</v>
      </c>
      <c r="H134" s="1" t="str">
        <f>"96/09/19"</f>
        <v>96/09/19</v>
      </c>
      <c r="I134" s="1" t="str">
        <f>"كيلوگرم"</f>
        <v>كيلوگرم</v>
      </c>
      <c r="J134" s="1" t="str">
        <f>"0000000076"</f>
        <v>0000000076</v>
      </c>
      <c r="K134" s="1" t="str">
        <f>"قير 60/70 - فله"</f>
        <v>قير 60/70 - فله</v>
      </c>
      <c r="L134" s="1">
        <v>100</v>
      </c>
      <c r="M134" s="1" t="str">
        <f>"مخازن قير اصفهان"</f>
        <v>مخازن قير اصفهان</v>
      </c>
      <c r="N134" s="1">
        <v>8391</v>
      </c>
      <c r="O134" s="1">
        <v>50037578</v>
      </c>
      <c r="P134" s="1" t="str">
        <f>"  جهاد نصر لرستان"</f>
        <v xml:space="preserve">  جهاد نصر لرستان</v>
      </c>
      <c r="Q134" s="1">
        <v>11</v>
      </c>
      <c r="R134" s="1" t="str">
        <f>"فروش داخلي تهران - بورس"</f>
        <v>فروش داخلي تهران - بورس</v>
      </c>
      <c r="S134" s="1" t="str">
        <f>"قرارداد فروش"</f>
        <v>قرارداد فروش</v>
      </c>
      <c r="T134" s="1" t="str">
        <f>"ندارد"</f>
        <v>ندارد</v>
      </c>
      <c r="U134" s="1" t="str">
        <f>"ريسماني حسن(1007ج89)"</f>
        <v>ريسماني حسن(1007ج89)</v>
      </c>
      <c r="V134" s="1">
        <v>961100102</v>
      </c>
      <c r="W134" s="1">
        <v>961100102</v>
      </c>
      <c r="X134" s="1" t="str">
        <f>"1396529403"</f>
        <v>1396529403</v>
      </c>
      <c r="Y134" s="1" t="str">
        <f>"96/09/14"</f>
        <v>96/09/14</v>
      </c>
      <c r="Z134" s="1" t="str">
        <f>"96-36760"</f>
        <v>96-36760</v>
      </c>
      <c r="AA134" s="1" t="str">
        <f>"راه سازي"</f>
        <v>راه سازي</v>
      </c>
      <c r="AB134" s="1" t="str">
        <f>"96/09/14"</f>
        <v>96/09/14</v>
      </c>
      <c r="AC134" s="1" t="str">
        <f>"لرستان"</f>
        <v>لرستان</v>
      </c>
      <c r="AD134" s="1" t="str">
        <f>"96/09/11"</f>
        <v>96/09/11</v>
      </c>
      <c r="AE134" s="1" t="str">
        <f>"اختتام"</f>
        <v>اختتام</v>
      </c>
      <c r="AF134" s="1" t="str">
        <f>""</f>
        <v/>
      </c>
      <c r="AG134" s="1" t="str">
        <f>""</f>
        <v/>
      </c>
      <c r="AH134" s="1" t="str">
        <f>""</f>
        <v/>
      </c>
      <c r="AI134" s="1" t="str">
        <f>""</f>
        <v/>
      </c>
      <c r="AJ134" s="1" t="str">
        <f>""</f>
        <v/>
      </c>
      <c r="AK134" s="1" t="str">
        <f>""</f>
        <v/>
      </c>
    </row>
    <row r="135" spans="1:37">
      <c r="A135" s="1">
        <v>200000</v>
      </c>
      <c r="B135" s="1">
        <v>961100138</v>
      </c>
      <c r="C135" s="1" t="str">
        <f>"تخليه - اصفهان-نايين-کيلومتر 15 جاده نايين-اصفهان-باند برگشت-کارخانه آسفالت پليمر راه هشت بهشت"</f>
        <v>تخليه - اصفهان-نايين-کيلومتر 15 جاده نايين-اصفهان-باند برگشت-کارخانه آسفالت پليمر راه هشت بهشت</v>
      </c>
      <c r="D135" s="1">
        <v>13350</v>
      </c>
      <c r="E135" s="1">
        <v>200000</v>
      </c>
      <c r="F135" s="1">
        <v>96</v>
      </c>
      <c r="G135" s="1">
        <v>0</v>
      </c>
      <c r="H135" s="1" t="str">
        <f>"96/12/27"</f>
        <v>96/12/27</v>
      </c>
      <c r="I135" s="1" t="str">
        <f>"كيلوگرم"</f>
        <v>كيلوگرم</v>
      </c>
      <c r="J135" s="1" t="str">
        <f>"0000000076"</f>
        <v>0000000076</v>
      </c>
      <c r="K135" s="1" t="str">
        <f>"قير 60/70 - فله"</f>
        <v>قير 60/70 - فله</v>
      </c>
      <c r="L135" s="1">
        <v>100</v>
      </c>
      <c r="M135" s="1" t="str">
        <f>"مخازن قير اصفهان"</f>
        <v>مخازن قير اصفهان</v>
      </c>
      <c r="N135" s="1">
        <v>8391</v>
      </c>
      <c r="O135" s="1">
        <v>50039136</v>
      </c>
      <c r="P135" s="1" t="str">
        <f>"  جهاد نصر لرستان"</f>
        <v xml:space="preserve">  جهاد نصر لرستان</v>
      </c>
      <c r="Q135" s="1">
        <v>11</v>
      </c>
      <c r="R135" s="1" t="str">
        <f>"فروش داخلي تهران - بورس"</f>
        <v>فروش داخلي تهران - بورس</v>
      </c>
      <c r="S135" s="1" t="str">
        <f>"قرارداد فروش"</f>
        <v>قرارداد فروش</v>
      </c>
      <c r="T135" s="1" t="str">
        <f>"ندارد"</f>
        <v>ندارد</v>
      </c>
      <c r="U135" s="1" t="str">
        <f>"ريسماني حسن(1007ج89)"</f>
        <v>ريسماني حسن(1007ج89)</v>
      </c>
      <c r="V135" s="1">
        <v>961100138</v>
      </c>
      <c r="W135" s="1">
        <v>961100138</v>
      </c>
      <c r="X135" s="1" t="str">
        <f>"1396554547"</f>
        <v>1396554547</v>
      </c>
      <c r="Y135" s="1" t="str">
        <f>"96/12/26"</f>
        <v>96/12/26</v>
      </c>
      <c r="Z135" s="1" t="str">
        <f>"96-37504"</f>
        <v>96-37504</v>
      </c>
      <c r="AA135" s="1" t="str">
        <f>"راه سازي"</f>
        <v>راه سازي</v>
      </c>
      <c r="AB135" s="1" t="str">
        <f>"96/12/26"</f>
        <v>96/12/26</v>
      </c>
      <c r="AC135" s="1" t="str">
        <f>"استان اصفهان"</f>
        <v>استان اصفهان</v>
      </c>
      <c r="AD135" s="1" t="str">
        <f>"96/12/22"</f>
        <v>96/12/22</v>
      </c>
      <c r="AE135" s="1" t="str">
        <f>"اختتام"</f>
        <v>اختتام</v>
      </c>
      <c r="AF135" s="1" t="str">
        <f>""</f>
        <v/>
      </c>
      <c r="AG135" s="1" t="str">
        <f>""</f>
        <v/>
      </c>
      <c r="AH135" s="1" t="str">
        <f>""</f>
        <v/>
      </c>
      <c r="AI135" s="1" t="str">
        <f>""</f>
        <v/>
      </c>
      <c r="AJ135" s="1" t="str">
        <f>""</f>
        <v/>
      </c>
      <c r="AK135" s="1" t="str">
        <f>""</f>
        <v/>
      </c>
    </row>
    <row r="136" spans="1:37">
      <c r="A136" s="1">
        <v>150000</v>
      </c>
      <c r="B136" s="1">
        <v>961100033</v>
      </c>
      <c r="C136" s="1" t="str">
        <f>"تخليه - کاشان کيلومتر 17قمصر شركت بتن آسفالت مهر"</f>
        <v>تخليه - کاشان کيلومتر 17قمصر شركت بتن آسفالت مهر</v>
      </c>
      <c r="D136" s="1">
        <v>8704</v>
      </c>
      <c r="E136" s="1">
        <v>149320</v>
      </c>
      <c r="F136" s="1">
        <v>96</v>
      </c>
      <c r="G136" s="1">
        <v>680</v>
      </c>
      <c r="H136" s="1" t="str">
        <f>"96/04/13"</f>
        <v>96/04/13</v>
      </c>
      <c r="I136" s="1" t="str">
        <f>"كيلوگرم"</f>
        <v>كيلوگرم</v>
      </c>
      <c r="J136" s="1" t="str">
        <f>"0000000076"</f>
        <v>0000000076</v>
      </c>
      <c r="K136" s="1" t="str">
        <f>"قير 60/70 - فله"</f>
        <v>قير 60/70 - فله</v>
      </c>
      <c r="L136" s="1">
        <v>100</v>
      </c>
      <c r="M136" s="1" t="str">
        <f>"مخازن قير اصفهان"</f>
        <v>مخازن قير اصفهان</v>
      </c>
      <c r="N136" s="1">
        <v>9268</v>
      </c>
      <c r="O136" s="1">
        <v>50035108</v>
      </c>
      <c r="P136" s="1" t="str">
        <f>"  بتن آسفالت مهر"</f>
        <v xml:space="preserve">  بتن آسفالت مهر</v>
      </c>
      <c r="Q136" s="1">
        <v>11</v>
      </c>
      <c r="R136" s="1" t="str">
        <f>"فروش داخلي تهران - بورس"</f>
        <v>فروش داخلي تهران - بورس</v>
      </c>
      <c r="S136" s="1" t="str">
        <f>"قرارداد فروش"</f>
        <v>قرارداد فروش</v>
      </c>
      <c r="T136" s="1" t="str">
        <f>"ندارد"</f>
        <v>ندارد</v>
      </c>
      <c r="U136" s="1" t="str">
        <f>"شهبازي محمدرضا(1029ج89)"</f>
        <v>شهبازي محمدرضا(1029ج89)</v>
      </c>
      <c r="V136" s="1">
        <v>961100033</v>
      </c>
      <c r="W136" s="1">
        <v>961100033</v>
      </c>
      <c r="X136" s="1" t="str">
        <f>"1396492620"</f>
        <v>1396492620</v>
      </c>
      <c r="Y136" s="1" t="str">
        <f>"96/04/13"</f>
        <v>96/04/13</v>
      </c>
      <c r="Z136" s="1" t="str">
        <f>"96-35745"</f>
        <v>96-35745</v>
      </c>
      <c r="AA136" s="1" t="str">
        <f>"آسفالت سازان"</f>
        <v>آسفالت سازان</v>
      </c>
      <c r="AB136" s="1" t="str">
        <f>"96/04/13"</f>
        <v>96/04/13</v>
      </c>
      <c r="AC136" s="1" t="str">
        <f>"استان اصفهان"</f>
        <v>استان اصفهان</v>
      </c>
      <c r="AD136" s="1" t="str">
        <f>"96/04/12"</f>
        <v>96/04/12</v>
      </c>
      <c r="AE136" s="1" t="str">
        <f>"اختتام"</f>
        <v>اختتام</v>
      </c>
      <c r="AF136" s="1" t="str">
        <f>""</f>
        <v/>
      </c>
      <c r="AG136" s="1" t="str">
        <f>""</f>
        <v/>
      </c>
      <c r="AH136" s="1" t="str">
        <f>""</f>
        <v/>
      </c>
      <c r="AI136" s="1" t="str">
        <f>""</f>
        <v/>
      </c>
      <c r="AJ136" s="1" t="str">
        <f>""</f>
        <v/>
      </c>
      <c r="AK136" s="1" t="str">
        <f>""</f>
        <v/>
      </c>
    </row>
    <row r="137" spans="1:37">
      <c r="A137" s="1">
        <v>200000</v>
      </c>
      <c r="B137" s="1">
        <v>961100043</v>
      </c>
      <c r="C137" s="1" t="str">
        <f>"تهران -جاده امام رضا-نرسيده به شريف آباد-شركت بازيافت وابنيه تهران"</f>
        <v>تهران -جاده امام رضا-نرسيده به شريف آباد-شركت بازيافت وابنيه تهران</v>
      </c>
      <c r="D137" s="1">
        <v>8704</v>
      </c>
      <c r="E137" s="1">
        <v>200000</v>
      </c>
      <c r="F137" s="1">
        <v>96</v>
      </c>
      <c r="G137" s="1">
        <v>0</v>
      </c>
      <c r="H137" s="1" t="str">
        <f>"96/05/08"</f>
        <v>96/05/08</v>
      </c>
      <c r="I137" s="1" t="str">
        <f>"كيلوگرم"</f>
        <v>كيلوگرم</v>
      </c>
      <c r="J137" s="1" t="str">
        <f>"0000000076"</f>
        <v>0000000076</v>
      </c>
      <c r="K137" s="1" t="str">
        <f>"قير 60/70 - فله"</f>
        <v>قير 60/70 - فله</v>
      </c>
      <c r="L137" s="1">
        <v>100</v>
      </c>
      <c r="M137" s="1" t="str">
        <f>"مخازن قير اصفهان"</f>
        <v>مخازن قير اصفهان</v>
      </c>
      <c r="N137" s="1">
        <v>8725</v>
      </c>
      <c r="O137" s="1">
        <v>50035402</v>
      </c>
      <c r="P137" s="1" t="str">
        <f>"  بازيافت وابنيه تهران"</f>
        <v xml:space="preserve">  بازيافت وابنيه تهران</v>
      </c>
      <c r="Q137" s="1">
        <v>11</v>
      </c>
      <c r="R137" s="1" t="str">
        <f>"فروش داخلي تهران - بورس"</f>
        <v>فروش داخلي تهران - بورس</v>
      </c>
      <c r="S137" s="1" t="str">
        <f>"قرارداد فروش"</f>
        <v>قرارداد فروش</v>
      </c>
      <c r="T137" s="1" t="str">
        <f>"ندارد"</f>
        <v>ندارد</v>
      </c>
      <c r="U137" s="1" t="str">
        <f>"حاج صادقي باقر(1841027)"</f>
        <v>حاج صادقي باقر(1841027)</v>
      </c>
      <c r="V137" s="1">
        <v>961100043</v>
      </c>
      <c r="W137" s="1">
        <v>961100043</v>
      </c>
      <c r="X137" s="1" t="str">
        <f>"1396500982"</f>
        <v>1396500982</v>
      </c>
      <c r="Y137" s="1" t="str">
        <f>"96/05/08"</f>
        <v>96/05/08</v>
      </c>
      <c r="Z137" s="1" t="str">
        <f>"6249"</f>
        <v>6249</v>
      </c>
      <c r="AA137" s="1" t="str">
        <f>"وزارت راه و ترابري-استانها"</f>
        <v>وزارت راه و ترابري-استانها</v>
      </c>
      <c r="AB137" s="1" t="str">
        <f>"96/05/05"</f>
        <v>96/05/05</v>
      </c>
      <c r="AC137" s="1" t="str">
        <f>"استان تهران"</f>
        <v>استان تهران</v>
      </c>
      <c r="AD137" s="1" t="str">
        <f>"96/05/08"</f>
        <v>96/05/08</v>
      </c>
      <c r="AE137" s="1" t="str">
        <f>"اختتام"</f>
        <v>اختتام</v>
      </c>
      <c r="AF137" s="1" t="str">
        <f>""</f>
        <v/>
      </c>
      <c r="AG137" s="1" t="str">
        <f>""</f>
        <v/>
      </c>
      <c r="AH137" s="1" t="str">
        <f>""</f>
        <v/>
      </c>
      <c r="AI137" s="1" t="str">
        <f>""</f>
        <v/>
      </c>
      <c r="AJ137" s="1" t="str">
        <f>""</f>
        <v/>
      </c>
      <c r="AK137" s="1" t="str">
        <f>""</f>
        <v/>
      </c>
    </row>
    <row r="138" spans="1:37">
      <c r="A138" s="1">
        <v>102741</v>
      </c>
      <c r="B138" s="1">
        <v>962000032</v>
      </c>
      <c r="C138" s="1" t="str">
        <f>"تخليه -اصفهان -نطنزكيلومتر5جاده گل آبادمقابل راه آهن -واحدتوليدآسفالت گرم ايران مترو"</f>
        <v>تخليه -اصفهان -نطنزكيلومتر5جاده گل آبادمقابل راه آهن -واحدتوليدآسفالت گرم ايران مترو</v>
      </c>
      <c r="D138" s="1">
        <v>9113</v>
      </c>
      <c r="E138" s="1">
        <v>102741</v>
      </c>
      <c r="F138" s="1">
        <v>96</v>
      </c>
      <c r="G138" s="1">
        <v>0</v>
      </c>
      <c r="H138" s="1" t="str">
        <f>"96/07/03"</f>
        <v>96/07/03</v>
      </c>
      <c r="I138" s="1" t="str">
        <f>"كيلوگرم"</f>
        <v>كيلوگرم</v>
      </c>
      <c r="J138" s="1" t="str">
        <f>"0000000076"</f>
        <v>0000000076</v>
      </c>
      <c r="K138" s="1" t="str">
        <f>"قير 60/70 - فله"</f>
        <v>قير 60/70 - فله</v>
      </c>
      <c r="L138" s="1">
        <v>100</v>
      </c>
      <c r="M138" s="1" t="str">
        <f>"مخازن قير اصفهان"</f>
        <v>مخازن قير اصفهان</v>
      </c>
      <c r="N138" s="1">
        <v>9321</v>
      </c>
      <c r="O138" s="1">
        <v>50036177</v>
      </c>
      <c r="P138" s="1" t="str">
        <f>"  شهرداري خالدآباد"</f>
        <v xml:space="preserve">  شهرداري خالدآباد</v>
      </c>
      <c r="Q138" s="1">
        <v>20</v>
      </c>
      <c r="R138" s="1" t="str">
        <f>"فروش داخلي - سازمان شهرداري ها و دهياري هاي كشور"</f>
        <v>فروش داخلي - سازمان شهرداري ها و دهياري هاي كشور</v>
      </c>
      <c r="S138" s="1" t="str">
        <f>"قرارداد فروش"</f>
        <v>قرارداد فروش</v>
      </c>
      <c r="T138" s="1" t="str">
        <f>"ندارد"</f>
        <v>ندارد</v>
      </c>
      <c r="U138" s="1" t="str">
        <f>"تعاوني جم گستر (1001 ج 89)"</f>
        <v>تعاوني جم گستر (1001 ج 89)</v>
      </c>
      <c r="V138" s="1">
        <v>962000032</v>
      </c>
      <c r="W138" s="1">
        <v>962000032</v>
      </c>
      <c r="X138" s="1" t="str">
        <f>"1396514467"</f>
        <v>1396514467</v>
      </c>
      <c r="Y138" s="1" t="str">
        <f>"96/07/03"</f>
        <v>96/07/03</v>
      </c>
      <c r="Z138" s="1" t="str">
        <f>"26836مرحله اول"</f>
        <v>26836مرحله اول</v>
      </c>
      <c r="AA138" s="1" t="str">
        <f>"شهرداريها"</f>
        <v>شهرداريها</v>
      </c>
      <c r="AB138" s="1" t="str">
        <f>"96/06/29"</f>
        <v>96/06/29</v>
      </c>
      <c r="AC138" s="1" t="str">
        <f>"استان اصفهان"</f>
        <v>استان اصفهان</v>
      </c>
      <c r="AD138" s="1" t="str">
        <f>"96/07/03"</f>
        <v>96/07/03</v>
      </c>
      <c r="AE138" s="1" t="str">
        <f>"اختتام"</f>
        <v>اختتام</v>
      </c>
      <c r="AF138" s="1" t="str">
        <f>""</f>
        <v/>
      </c>
      <c r="AG138" s="1" t="str">
        <f>""</f>
        <v/>
      </c>
      <c r="AH138" s="1" t="str">
        <f>""</f>
        <v/>
      </c>
      <c r="AI138" s="1" t="str">
        <f>""</f>
        <v/>
      </c>
      <c r="AJ138" s="1" t="str">
        <f>""</f>
        <v/>
      </c>
      <c r="AK138" s="1" t="str">
        <f>""</f>
        <v/>
      </c>
    </row>
    <row r="139" spans="1:37">
      <c r="A139" s="1">
        <v>650000</v>
      </c>
      <c r="B139" s="1">
        <v>966200239</v>
      </c>
      <c r="C139" s="1" t="str">
        <f>"تخليه -کيلومتر13جاده گنابادفردوس -کارخانه آسفالت کيهان راه شرق"</f>
        <v>تخليه -کيلومتر13جاده گنابادفردوس -کارخانه آسفالت کيهان راه شرق</v>
      </c>
      <c r="D139" s="1">
        <v>8954</v>
      </c>
      <c r="E139" s="1">
        <v>646840</v>
      </c>
      <c r="F139" s="1">
        <v>96</v>
      </c>
      <c r="G139" s="1">
        <v>3160</v>
      </c>
      <c r="H139" s="1" t="str">
        <f>"96/06/21"</f>
        <v>96/06/21</v>
      </c>
      <c r="I139" s="1" t="str">
        <f>"كيلوگرم"</f>
        <v>كيلوگرم</v>
      </c>
      <c r="J139" s="1" t="str">
        <f>"0000000076"</f>
        <v>0000000076</v>
      </c>
      <c r="K139" s="1" t="str">
        <f>"قير 60/70 - فله"</f>
        <v>قير 60/70 - فله</v>
      </c>
      <c r="L139" s="1">
        <v>100</v>
      </c>
      <c r="M139" s="1" t="str">
        <f>"مخازن قير اصفهان"</f>
        <v>مخازن قير اصفهان</v>
      </c>
      <c r="N139" s="1">
        <v>8679</v>
      </c>
      <c r="O139" s="1">
        <v>50035998</v>
      </c>
      <c r="P139" s="1" t="str">
        <f>"  ساختماني راهسازي كيهان راه شرق"</f>
        <v xml:space="preserve">  ساختماني راهسازي كيهان راه شرق</v>
      </c>
      <c r="Q139" s="1">
        <v>62</v>
      </c>
      <c r="R139" s="1" t="str">
        <f>"فروش داخلي - سازمان بنيادمسكن انقلاب اسلامي"</f>
        <v>فروش داخلي - سازمان بنيادمسكن انقلاب اسلامي</v>
      </c>
      <c r="S139" s="1" t="str">
        <f>"قرارداد فروش"</f>
        <v>قرارداد فروش</v>
      </c>
      <c r="T139" s="1" t="str">
        <f>"ندارد"</f>
        <v>ندارد</v>
      </c>
      <c r="U139" s="1" t="str">
        <f>"نظام دوست امين (1911102)"</f>
        <v>نظام دوست امين (1911102)</v>
      </c>
      <c r="V139" s="1">
        <v>966200239</v>
      </c>
      <c r="W139" s="1">
        <v>966200239</v>
      </c>
      <c r="X139" s="1" t="str">
        <f>"1396511620"</f>
        <v>1396511620</v>
      </c>
      <c r="Y139" s="1" t="str">
        <f>"96/06/21"</f>
        <v>96/06/21</v>
      </c>
      <c r="Z139" s="1" t="str">
        <f>"26737/د"</f>
        <v>26737/د</v>
      </c>
      <c r="AA139" s="1" t="str">
        <f>"بنيادمسكن انقلاب اسلامي"</f>
        <v>بنيادمسكن انقلاب اسلامي</v>
      </c>
      <c r="AB139" s="1" t="str">
        <f>"96/06/19"</f>
        <v>96/06/19</v>
      </c>
      <c r="AC139" s="1" t="str">
        <f>"خراسان رضوي"</f>
        <v>خراسان رضوي</v>
      </c>
      <c r="AD139" s="1" t="str">
        <f>"96/06/21"</f>
        <v>96/06/21</v>
      </c>
      <c r="AE139" s="1" t="str">
        <f>"اختتام"</f>
        <v>اختتام</v>
      </c>
      <c r="AF139" s="1" t="str">
        <f>""</f>
        <v/>
      </c>
      <c r="AG139" s="1" t="str">
        <f>""</f>
        <v/>
      </c>
      <c r="AH139" s="1" t="str">
        <f>""</f>
        <v/>
      </c>
      <c r="AI139" s="1" t="str">
        <f>""</f>
        <v/>
      </c>
      <c r="AJ139" s="1" t="str">
        <f>""</f>
        <v/>
      </c>
      <c r="AK139" s="1" t="str">
        <f>""</f>
        <v/>
      </c>
    </row>
    <row r="140" spans="1:37">
      <c r="A140" s="1">
        <v>120000</v>
      </c>
      <c r="B140" s="1">
        <v>961100056</v>
      </c>
      <c r="C140" s="1" t="str">
        <f>"تهران -جاده امام رضا-نرسيده به شريف آباد-شركت بازيافت وابنيه تهران"</f>
        <v>تهران -جاده امام رضا-نرسيده به شريف آباد-شركت بازيافت وابنيه تهران</v>
      </c>
      <c r="D140" s="1">
        <v>8954</v>
      </c>
      <c r="E140" s="1">
        <v>118340</v>
      </c>
      <c r="F140" s="1">
        <v>96</v>
      </c>
      <c r="G140" s="1">
        <v>1660</v>
      </c>
      <c r="H140" s="1" t="str">
        <f>"96/06/05"</f>
        <v>96/06/05</v>
      </c>
      <c r="I140" s="1" t="str">
        <f>"كيلوگرم"</f>
        <v>كيلوگرم</v>
      </c>
      <c r="J140" s="1" t="str">
        <f>"0000000076"</f>
        <v>0000000076</v>
      </c>
      <c r="K140" s="1" t="str">
        <f>"قير 60/70 - فله"</f>
        <v>قير 60/70 - فله</v>
      </c>
      <c r="L140" s="1">
        <v>100</v>
      </c>
      <c r="M140" s="1" t="str">
        <f>"مخازن قير اصفهان"</f>
        <v>مخازن قير اصفهان</v>
      </c>
      <c r="N140" s="1">
        <v>8725</v>
      </c>
      <c r="O140" s="1">
        <v>50035815</v>
      </c>
      <c r="P140" s="1" t="str">
        <f>"  بازيافت وابنيه تهران"</f>
        <v xml:space="preserve">  بازيافت وابنيه تهران</v>
      </c>
      <c r="Q140" s="1">
        <v>11</v>
      </c>
      <c r="R140" s="1" t="str">
        <f>"فروش داخلي تهران - بورس"</f>
        <v>فروش داخلي تهران - بورس</v>
      </c>
      <c r="S140" s="1" t="str">
        <f>"قرارداد فروش"</f>
        <v>قرارداد فروش</v>
      </c>
      <c r="T140" s="1" t="str">
        <f>"ندارد"</f>
        <v>ندارد</v>
      </c>
      <c r="U140" s="1" t="str">
        <f>"حاج صادقي باقر(1841027)"</f>
        <v>حاج صادقي باقر(1841027)</v>
      </c>
      <c r="V140" s="1">
        <v>961100056</v>
      </c>
      <c r="W140" s="1">
        <v>961100056</v>
      </c>
      <c r="X140" s="1" t="str">
        <f>"1396508151"</f>
        <v>1396508151</v>
      </c>
      <c r="Y140" s="1" t="str">
        <f>"96/06/05"</f>
        <v>96/06/05</v>
      </c>
      <c r="Z140" s="1" t="str">
        <f>"6277"</f>
        <v>6277</v>
      </c>
      <c r="AA140" s="1" t="str">
        <f>"وزارت راه و ترابري-استانها"</f>
        <v>وزارت راه و ترابري-استانها</v>
      </c>
      <c r="AB140" s="1" t="str">
        <f>"96/05/31"</f>
        <v>96/05/31</v>
      </c>
      <c r="AC140" s="1" t="str">
        <f>"استان تهران"</f>
        <v>استان تهران</v>
      </c>
      <c r="AD140" s="1" t="str">
        <f>"96/06/05"</f>
        <v>96/06/05</v>
      </c>
      <c r="AE140" s="1" t="str">
        <f>"اختتام"</f>
        <v>اختتام</v>
      </c>
      <c r="AF140" s="1" t="str">
        <f>""</f>
        <v/>
      </c>
      <c r="AG140" s="1" t="str">
        <f>""</f>
        <v/>
      </c>
      <c r="AH140" s="1" t="str">
        <f>""</f>
        <v/>
      </c>
      <c r="AI140" s="1" t="str">
        <f>""</f>
        <v/>
      </c>
      <c r="AJ140" s="1" t="str">
        <f>""</f>
        <v/>
      </c>
      <c r="AK140" s="1" t="str">
        <f>""</f>
        <v/>
      </c>
    </row>
    <row r="141" spans="1:37">
      <c r="A141" s="1">
        <v>56643</v>
      </c>
      <c r="B141" s="1">
        <v>962000327</v>
      </c>
      <c r="C141" s="1" t="str">
        <f>"تخليه -خراسان رضوي -گناباد-كاخك -كارخانه آسفالت شهرداري كاخك"</f>
        <v>تخليه -خراسان رضوي -گناباد-كاخك -كارخانه آسفالت شهرداري كاخك</v>
      </c>
      <c r="D141" s="1">
        <v>9113</v>
      </c>
      <c r="E141" s="1">
        <v>56234</v>
      </c>
      <c r="F141" s="1">
        <v>96</v>
      </c>
      <c r="G141" s="1">
        <v>409</v>
      </c>
      <c r="H141" s="1" t="str">
        <f>"96/09/13"</f>
        <v>96/09/13</v>
      </c>
      <c r="I141" s="1" t="str">
        <f>"كيلوگرم"</f>
        <v>كيلوگرم</v>
      </c>
      <c r="J141" s="1" t="str">
        <f>"0000000076"</f>
        <v>0000000076</v>
      </c>
      <c r="K141" s="1" t="str">
        <f>"قير 60/70 - فله"</f>
        <v>قير 60/70 - فله</v>
      </c>
      <c r="L141" s="1">
        <v>100</v>
      </c>
      <c r="M141" s="1" t="str">
        <f>"مخازن قير اصفهان"</f>
        <v>مخازن قير اصفهان</v>
      </c>
      <c r="N141" s="1">
        <v>8902</v>
      </c>
      <c r="O141" s="1">
        <v>50037534</v>
      </c>
      <c r="P141" s="1" t="str">
        <f>"  شهرداري كاخك"</f>
        <v xml:space="preserve">  شهرداري كاخك</v>
      </c>
      <c r="Q141" s="1">
        <v>20</v>
      </c>
      <c r="R141" s="1" t="str">
        <f>"فروش داخلي - سازمان شهرداري ها و دهياري هاي كشور"</f>
        <v>فروش داخلي - سازمان شهرداري ها و دهياري هاي كشور</v>
      </c>
      <c r="S141" s="1" t="str">
        <f>"قرارداد فروش"</f>
        <v>قرارداد فروش</v>
      </c>
      <c r="T141" s="1" t="str">
        <f>"ندارد"</f>
        <v>ندارد</v>
      </c>
      <c r="U141" s="1" t="str">
        <f>"تعاوني جم گستر (1001 ج 89)"</f>
        <v>تعاوني جم گستر (1001 ج 89)</v>
      </c>
      <c r="V141" s="1">
        <v>962000327</v>
      </c>
      <c r="W141" s="1">
        <v>962000327</v>
      </c>
      <c r="X141" s="1" t="str">
        <f>"1396514467"</f>
        <v>1396514467</v>
      </c>
      <c r="Y141" s="1" t="str">
        <f>"96/09/12"</f>
        <v>96/09/12</v>
      </c>
      <c r="Z141" s="1" t="str">
        <f>"37050مرحله دوم"</f>
        <v>37050مرحله دوم</v>
      </c>
      <c r="AA141" s="1" t="str">
        <f>"شهرداريها"</f>
        <v>شهرداريها</v>
      </c>
      <c r="AB141" s="1" t="str">
        <f>"96/09/04"</f>
        <v>96/09/04</v>
      </c>
      <c r="AC141" s="1" t="str">
        <f>"خراسان رضوي"</f>
        <v>خراسان رضوي</v>
      </c>
      <c r="AD141" s="1" t="str">
        <f>"96/07/03"</f>
        <v>96/07/03</v>
      </c>
      <c r="AE141" s="1" t="str">
        <f>"اختتام"</f>
        <v>اختتام</v>
      </c>
      <c r="AF141" s="1" t="str">
        <f>""</f>
        <v/>
      </c>
      <c r="AG141" s="1" t="str">
        <f>""</f>
        <v/>
      </c>
      <c r="AH141" s="1" t="str">
        <f>""</f>
        <v/>
      </c>
      <c r="AI141" s="1" t="str">
        <f>""</f>
        <v/>
      </c>
      <c r="AJ141" s="1" t="str">
        <f>""</f>
        <v/>
      </c>
      <c r="AK141" s="1" t="str">
        <f>""</f>
        <v/>
      </c>
    </row>
    <row r="142" spans="1:37">
      <c r="A142" s="1">
        <v>324000</v>
      </c>
      <c r="B142" s="1">
        <v>966200230</v>
      </c>
      <c r="C142" s="1" t="str">
        <f>"تخليه - مازندران-کمربندي نکا- روستاي چاله پل-کارخانه آسفالت سليم بهرامي"</f>
        <v>تخليه - مازندران-کمربندي نکا- روستاي چاله پل-کارخانه آسفالت سليم بهرامي</v>
      </c>
      <c r="D142" s="1">
        <v>8954</v>
      </c>
      <c r="E142" s="1">
        <v>323160</v>
      </c>
      <c r="F142" s="1">
        <v>96</v>
      </c>
      <c r="G142" s="1">
        <v>840</v>
      </c>
      <c r="H142" s="1" t="str">
        <f>"96/06/21"</f>
        <v>96/06/21</v>
      </c>
      <c r="I142" s="1" t="str">
        <f>"كيلوگرم"</f>
        <v>كيلوگرم</v>
      </c>
      <c r="J142" s="1" t="str">
        <f>"0000000076"</f>
        <v>0000000076</v>
      </c>
      <c r="K142" s="1" t="str">
        <f>"قير 60/70 - فله"</f>
        <v>قير 60/70 - فله</v>
      </c>
      <c r="L142" s="1">
        <v>100</v>
      </c>
      <c r="M142" s="1" t="str">
        <f>"مخازن قير اصفهان"</f>
        <v>مخازن قير اصفهان</v>
      </c>
      <c r="N142" s="1">
        <v>8903</v>
      </c>
      <c r="O142" s="1">
        <v>50035979</v>
      </c>
      <c r="P142" s="1" t="str">
        <f>"  بنيادمسكن انقلاب اسلامي مازندران"</f>
        <v xml:space="preserve">  بنيادمسكن انقلاب اسلامي مازندران</v>
      </c>
      <c r="Q142" s="1">
        <v>62</v>
      </c>
      <c r="R142" s="1" t="str">
        <f>"فروش داخلي - سازمان بنيادمسكن انقلاب اسلامي"</f>
        <v>فروش داخلي - سازمان بنيادمسكن انقلاب اسلامي</v>
      </c>
      <c r="S142" s="1" t="str">
        <f>"قرارداد فروش"</f>
        <v>قرارداد فروش</v>
      </c>
      <c r="T142" s="1" t="str">
        <f>"ندارد"</f>
        <v>ندارد</v>
      </c>
      <c r="U142" s="1" t="str">
        <f>"شيشه بر كريم(1841016)"</f>
        <v>شيشه بر كريم(1841016)</v>
      </c>
      <c r="V142" s="1">
        <v>966200230</v>
      </c>
      <c r="W142" s="1">
        <v>966200230</v>
      </c>
      <c r="X142" s="1" t="str">
        <f>"1396511620"</f>
        <v>1396511620</v>
      </c>
      <c r="Y142" s="1" t="str">
        <f>"96/06/21"</f>
        <v>96/06/21</v>
      </c>
      <c r="Z142" s="1" t="str">
        <f>"26380/د"</f>
        <v>26380/د</v>
      </c>
      <c r="AA142" s="1" t="str">
        <f>"بنيادمسكن انقلاب اسلامي"</f>
        <v>بنيادمسكن انقلاب اسلامي</v>
      </c>
      <c r="AB142" s="1" t="str">
        <f>"96/06/15"</f>
        <v>96/06/15</v>
      </c>
      <c r="AC142" s="1" t="str">
        <f>"استان مازندران"</f>
        <v>استان مازندران</v>
      </c>
      <c r="AD142" s="1" t="str">
        <f>"96/06/21"</f>
        <v>96/06/21</v>
      </c>
      <c r="AE142" s="1" t="str">
        <f>"اختتام"</f>
        <v>اختتام</v>
      </c>
      <c r="AF142" s="1" t="str">
        <f>""</f>
        <v/>
      </c>
      <c r="AG142" s="1" t="str">
        <f>""</f>
        <v/>
      </c>
      <c r="AH142" s="1" t="str">
        <f>""</f>
        <v/>
      </c>
      <c r="AI142" s="1" t="str">
        <f>""</f>
        <v/>
      </c>
      <c r="AJ142" s="1" t="str">
        <f>""</f>
        <v/>
      </c>
      <c r="AK142" s="1" t="str">
        <f>""</f>
        <v/>
      </c>
    </row>
    <row r="143" spans="1:37">
      <c r="A143" s="1">
        <v>62000</v>
      </c>
      <c r="B143" s="1">
        <v>966200488</v>
      </c>
      <c r="C143" s="1" t="str">
        <f>"تخليه - مازندران - بهشهر-بندراميرآباد-کارخانه آسفالت سامان محيط"</f>
        <v>تخليه - مازندران - بهشهر-بندراميرآباد-کارخانه آسفالت سامان محيط</v>
      </c>
      <c r="D143" s="1">
        <v>12850</v>
      </c>
      <c r="E143" s="1">
        <v>62000</v>
      </c>
      <c r="F143" s="1">
        <v>96</v>
      </c>
      <c r="G143" s="1">
        <v>0</v>
      </c>
      <c r="H143" s="1" t="str">
        <f>"96/10/05"</f>
        <v>96/10/05</v>
      </c>
      <c r="I143" s="1" t="str">
        <f>"كيلوگرم"</f>
        <v>كيلوگرم</v>
      </c>
      <c r="J143" s="1" t="str">
        <f>"0000000076"</f>
        <v>0000000076</v>
      </c>
      <c r="K143" s="1" t="str">
        <f>"قير 60/70 - فله"</f>
        <v>قير 60/70 - فله</v>
      </c>
      <c r="L143" s="1">
        <v>100</v>
      </c>
      <c r="M143" s="1" t="str">
        <f>"مخازن قير اصفهان"</f>
        <v>مخازن قير اصفهان</v>
      </c>
      <c r="N143" s="1">
        <v>8903</v>
      </c>
      <c r="O143" s="1">
        <v>50037970</v>
      </c>
      <c r="P143" s="1" t="str">
        <f>"  بنيادمسكن انقلاب اسلامي مازندران"</f>
        <v xml:space="preserve">  بنيادمسكن انقلاب اسلامي مازندران</v>
      </c>
      <c r="Q143" s="1">
        <v>62</v>
      </c>
      <c r="R143" s="1" t="str">
        <f>"فروش داخلي - سازمان بنيادمسكن انقلاب اسلامي"</f>
        <v>فروش داخلي - سازمان بنيادمسكن انقلاب اسلامي</v>
      </c>
      <c r="S143" s="1" t="str">
        <f>"قرارداد فروش"</f>
        <v>قرارداد فروش</v>
      </c>
      <c r="T143" s="1" t="str">
        <f>"ندارد"</f>
        <v>ندارد</v>
      </c>
      <c r="U143" s="1" t="str">
        <f>"شيشه بر كريم(1841016)"</f>
        <v>شيشه بر كريم(1841016)</v>
      </c>
      <c r="V143" s="1">
        <v>966200488</v>
      </c>
      <c r="W143" s="1">
        <v>966200488</v>
      </c>
      <c r="X143" s="1" t="str">
        <f>"1396535037"</f>
        <v>1396535037</v>
      </c>
      <c r="Y143" s="1" t="str">
        <f>"96/10/05"</f>
        <v>96/10/05</v>
      </c>
      <c r="Z143" s="1" t="str">
        <f>"43944/د"</f>
        <v>43944/د</v>
      </c>
      <c r="AA143" s="1" t="str">
        <f>"بنيادمسكن انقلاب اسلامي"</f>
        <v>بنيادمسكن انقلاب اسلامي</v>
      </c>
      <c r="AB143" s="1" t="str">
        <f>"96/10/04"</f>
        <v>96/10/04</v>
      </c>
      <c r="AC143" s="1" t="str">
        <f>"استان مازندران"</f>
        <v>استان مازندران</v>
      </c>
      <c r="AD143" s="1" t="str">
        <f>"96/10/05"</f>
        <v>96/10/05</v>
      </c>
      <c r="AE143" s="1" t="str">
        <f>"اختتام"</f>
        <v>اختتام</v>
      </c>
      <c r="AF143" s="1" t="str">
        <f>""</f>
        <v/>
      </c>
      <c r="AG143" s="1" t="str">
        <f>""</f>
        <v/>
      </c>
      <c r="AH143" s="1" t="str">
        <f>""</f>
        <v/>
      </c>
      <c r="AI143" s="1" t="str">
        <f>""</f>
        <v/>
      </c>
      <c r="AJ143" s="1" t="str">
        <f>""</f>
        <v/>
      </c>
      <c r="AK143" s="1" t="str">
        <f>""</f>
        <v/>
      </c>
    </row>
    <row r="144" spans="1:37">
      <c r="A144" s="1">
        <v>39175</v>
      </c>
      <c r="B144" s="1">
        <v>962000468</v>
      </c>
      <c r="C144" s="1" t="str">
        <f>"تخليه - اصفهان - شهرک صنعتي اشترجان -انتهاي خيابان 11 شرکت ماژين چگاد"</f>
        <v>تخليه - اصفهان - شهرک صنعتي اشترجان -انتهاي خيابان 11 شرکت ماژين چگاد</v>
      </c>
      <c r="D144" s="1">
        <v>12820</v>
      </c>
      <c r="E144" s="1">
        <v>39175</v>
      </c>
      <c r="F144" s="1">
        <v>96</v>
      </c>
      <c r="G144" s="1">
        <v>0</v>
      </c>
      <c r="H144" s="1" t="str">
        <f>"96/09/20"</f>
        <v>96/09/20</v>
      </c>
      <c r="I144" s="1" t="str">
        <f>"كيلوگرم"</f>
        <v>كيلوگرم</v>
      </c>
      <c r="J144" s="1" t="str">
        <f>"0000000076"</f>
        <v>0000000076</v>
      </c>
      <c r="K144" s="1" t="str">
        <f>"قير 60/70 - فله"</f>
        <v>قير 60/70 - فله</v>
      </c>
      <c r="L144" s="1">
        <v>100</v>
      </c>
      <c r="M144" s="1" t="str">
        <f>"مخازن قير اصفهان"</f>
        <v>مخازن قير اصفهان</v>
      </c>
      <c r="N144" s="1">
        <v>9294</v>
      </c>
      <c r="O144" s="1">
        <v>50037790</v>
      </c>
      <c r="P144" s="1" t="str">
        <f>"  شهرداري چمگردان"</f>
        <v xml:space="preserve">  شهرداري چمگردان</v>
      </c>
      <c r="Q144" s="1">
        <v>20</v>
      </c>
      <c r="R144" s="1" t="str">
        <f>"فروش داخلي - سازمان شهرداري ها و دهياري هاي كشور"</f>
        <v>فروش داخلي - سازمان شهرداري ها و دهياري هاي كشور</v>
      </c>
      <c r="S144" s="1" t="str">
        <f>"قرارداد فروش"</f>
        <v>قرارداد فروش</v>
      </c>
      <c r="T144" s="1" t="str">
        <f>"ندارد"</f>
        <v>ندارد</v>
      </c>
      <c r="U144" s="1" t="str">
        <f>"تعاوني جم گستر (1001 ج 89)"</f>
        <v>تعاوني جم گستر (1001 ج 89)</v>
      </c>
      <c r="V144" s="1">
        <v>962000468</v>
      </c>
      <c r="W144" s="1">
        <v>962000468</v>
      </c>
      <c r="X144" s="1" t="str">
        <f>"1396529711"</f>
        <v>1396529711</v>
      </c>
      <c r="Y144" s="1" t="str">
        <f>"96/09/20"</f>
        <v>96/09/20</v>
      </c>
      <c r="Z144" s="1" t="str">
        <f>"37123مرحله دوم"</f>
        <v>37123مرحله دوم</v>
      </c>
      <c r="AA144" s="1" t="str">
        <f>"شهرداريها"</f>
        <v>شهرداريها</v>
      </c>
      <c r="AB144" s="1" t="str">
        <f>"96/09/04"</f>
        <v>96/09/04</v>
      </c>
      <c r="AC144" s="1" t="str">
        <f>"استان اصفهان"</f>
        <v>استان اصفهان</v>
      </c>
      <c r="AD144" s="1" t="str">
        <f>"96/09/13"</f>
        <v>96/09/13</v>
      </c>
      <c r="AE144" s="1" t="str">
        <f>"اختتام"</f>
        <v>اختتام</v>
      </c>
      <c r="AF144" s="1" t="str">
        <f>""</f>
        <v/>
      </c>
      <c r="AG144" s="1" t="str">
        <f>""</f>
        <v/>
      </c>
      <c r="AH144" s="1" t="str">
        <f>""</f>
        <v/>
      </c>
      <c r="AI144" s="1" t="str">
        <f>""</f>
        <v/>
      </c>
      <c r="AJ144" s="1" t="str">
        <f>""</f>
        <v/>
      </c>
      <c r="AK144" s="1" t="str">
        <f>""</f>
        <v/>
      </c>
    </row>
    <row r="145" spans="1:37">
      <c r="A145" s="1">
        <v>36248</v>
      </c>
      <c r="B145" s="1">
        <v>962000446</v>
      </c>
      <c r="C145" s="1" t="str">
        <f>"تخليه اصفهان فريدن دامنه كيلومتر6جاده گاوداري عبداللهي شركت اعتمادبتن پرتيكان"</f>
        <v>تخليه اصفهان فريدن دامنه كيلومتر6جاده گاوداري عبداللهي شركت اعتمادبتن پرتيكان</v>
      </c>
      <c r="D145" s="1">
        <v>12820</v>
      </c>
      <c r="E145" s="1">
        <v>36248</v>
      </c>
      <c r="F145" s="1">
        <v>96</v>
      </c>
      <c r="G145" s="1">
        <v>0</v>
      </c>
      <c r="H145" s="1" t="str">
        <f>"96/09/20"</f>
        <v>96/09/20</v>
      </c>
      <c r="I145" s="1" t="str">
        <f>"كيلوگرم"</f>
        <v>كيلوگرم</v>
      </c>
      <c r="J145" s="1" t="str">
        <f>"0000000076"</f>
        <v>0000000076</v>
      </c>
      <c r="K145" s="1" t="str">
        <f>"قير 60/70 - فله"</f>
        <v>قير 60/70 - فله</v>
      </c>
      <c r="L145" s="1">
        <v>100</v>
      </c>
      <c r="M145" s="1" t="str">
        <f>"مخازن قير اصفهان"</f>
        <v>مخازن قير اصفهان</v>
      </c>
      <c r="N145" s="1">
        <v>9308</v>
      </c>
      <c r="O145" s="1">
        <v>50037768</v>
      </c>
      <c r="P145" s="1" t="str">
        <f>"  شهرداري دامنه"</f>
        <v xml:space="preserve">  شهرداري دامنه</v>
      </c>
      <c r="Q145" s="1">
        <v>20</v>
      </c>
      <c r="R145" s="1" t="str">
        <f>"فروش داخلي - سازمان شهرداري ها و دهياري هاي كشور"</f>
        <v>فروش داخلي - سازمان شهرداري ها و دهياري هاي كشور</v>
      </c>
      <c r="S145" s="1" t="str">
        <f>"قرارداد فروش"</f>
        <v>قرارداد فروش</v>
      </c>
      <c r="T145" s="1" t="str">
        <f>"ندارد"</f>
        <v>ندارد</v>
      </c>
      <c r="U145" s="1" t="str">
        <f>"تعاوني جم گستر (1001 ج 89)"</f>
        <v>تعاوني جم گستر (1001 ج 89)</v>
      </c>
      <c r="V145" s="1">
        <v>962000446</v>
      </c>
      <c r="W145" s="1">
        <v>962000446</v>
      </c>
      <c r="X145" s="1" t="str">
        <f>"1396529711"</f>
        <v>1396529711</v>
      </c>
      <c r="Y145" s="1" t="str">
        <f>"96/09/20"</f>
        <v>96/09/20</v>
      </c>
      <c r="Z145" s="1" t="str">
        <f>"37133مرحله دوم"</f>
        <v>37133مرحله دوم</v>
      </c>
      <c r="AA145" s="1" t="str">
        <f>"شهرداريها"</f>
        <v>شهرداريها</v>
      </c>
      <c r="AB145" s="1" t="str">
        <f>"96/09/05"</f>
        <v>96/09/05</v>
      </c>
      <c r="AC145" s="1" t="str">
        <f>"استان اصفهان"</f>
        <v>استان اصفهان</v>
      </c>
      <c r="AD145" s="1" t="str">
        <f>"96/09/13"</f>
        <v>96/09/13</v>
      </c>
      <c r="AE145" s="1" t="str">
        <f>"تاييدشده"</f>
        <v>تاييدشده</v>
      </c>
      <c r="AF145" s="1" t="str">
        <f>""</f>
        <v/>
      </c>
      <c r="AG145" s="1" t="str">
        <f>""</f>
        <v/>
      </c>
      <c r="AH145" s="1" t="str">
        <f>""</f>
        <v/>
      </c>
      <c r="AI145" s="1" t="str">
        <f>""</f>
        <v/>
      </c>
      <c r="AJ145" s="1" t="str">
        <f>""</f>
        <v/>
      </c>
      <c r="AK145" s="1" t="str">
        <f>""</f>
        <v/>
      </c>
    </row>
    <row r="146" spans="1:37">
      <c r="A146" s="1">
        <v>132000</v>
      </c>
      <c r="B146" s="1">
        <v>966200592</v>
      </c>
      <c r="C146" s="1" t="str">
        <f>"تخليه-لرستان -دورودكيلومتر12جاده دورود-بروجرد-كارخانه آسفالت راه گستراحسان بروجرد"</f>
        <v>تخليه-لرستان -دورودكيلومتر12جاده دورود-بروجرد-كارخانه آسفالت راه گستراحسان بروجرد</v>
      </c>
      <c r="D146" s="1">
        <v>13350</v>
      </c>
      <c r="E146" s="1">
        <v>130500</v>
      </c>
      <c r="F146" s="1">
        <v>96</v>
      </c>
      <c r="G146" s="1">
        <v>1500</v>
      </c>
      <c r="H146" s="1" t="str">
        <f>"96/12/08"</f>
        <v>96/12/08</v>
      </c>
      <c r="I146" s="1" t="str">
        <f>"كيلوگرم"</f>
        <v>كيلوگرم</v>
      </c>
      <c r="J146" s="1" t="str">
        <f>"0000000076"</f>
        <v>0000000076</v>
      </c>
      <c r="K146" s="1" t="str">
        <f>"قير 60/70 - فله"</f>
        <v>قير 60/70 - فله</v>
      </c>
      <c r="L146" s="1">
        <v>100</v>
      </c>
      <c r="M146" s="1" t="str">
        <f>"مخازن قير اصفهان"</f>
        <v>مخازن قير اصفهان</v>
      </c>
      <c r="N146" s="1">
        <v>9480</v>
      </c>
      <c r="O146" s="1">
        <v>50038638</v>
      </c>
      <c r="P146" s="1" t="str">
        <f>"  راه گستراحسان بروجرد"</f>
        <v xml:space="preserve">  راه گستراحسان بروجرد</v>
      </c>
      <c r="Q146" s="1">
        <v>62</v>
      </c>
      <c r="R146" s="1" t="str">
        <f>"فروش داخلي - سازمان بنيادمسكن انقلاب اسلامي"</f>
        <v>فروش داخلي - سازمان بنيادمسكن انقلاب اسلامي</v>
      </c>
      <c r="S146" s="1" t="str">
        <f>"قرارداد فروش"</f>
        <v>قرارداد فروش</v>
      </c>
      <c r="T146" s="1" t="str">
        <f>"ندارد"</f>
        <v>ندارد</v>
      </c>
      <c r="U146" s="1" t="str">
        <f>"ريسماني حسن(1007ج89)"</f>
        <v>ريسماني حسن(1007ج89)</v>
      </c>
      <c r="V146" s="1">
        <v>966200592</v>
      </c>
      <c r="W146" s="1">
        <v>966200592</v>
      </c>
      <c r="X146" s="1" t="str">
        <f>"1396551022"</f>
        <v>1396551022</v>
      </c>
      <c r="Y146" s="1" t="str">
        <f>"96/12/08"</f>
        <v>96/12/08</v>
      </c>
      <c r="Z146" s="1" t="str">
        <f>"55338/د"</f>
        <v>55338/د</v>
      </c>
      <c r="AA146" s="1" t="str">
        <f>"بنيادمسكن انقلاب اسلامي"</f>
        <v>بنيادمسكن انقلاب اسلامي</v>
      </c>
      <c r="AB146" s="1" t="str">
        <f>"96/12/07"</f>
        <v>96/12/07</v>
      </c>
      <c r="AC146" s="1" t="str">
        <f>"لرستان"</f>
        <v>لرستان</v>
      </c>
      <c r="AD146" s="1" t="str">
        <f>"96/12/08"</f>
        <v>96/12/08</v>
      </c>
      <c r="AE146" s="1" t="str">
        <f>"اختتام"</f>
        <v>اختتام</v>
      </c>
      <c r="AF146" s="1" t="str">
        <f>""</f>
        <v/>
      </c>
      <c r="AG146" s="1" t="str">
        <f>""</f>
        <v/>
      </c>
      <c r="AH146" s="1" t="str">
        <f>""</f>
        <v/>
      </c>
      <c r="AI146" s="1" t="str">
        <f>""</f>
        <v/>
      </c>
      <c r="AJ146" s="1" t="str">
        <f>""</f>
        <v/>
      </c>
      <c r="AK146" s="1" t="str">
        <f>""</f>
        <v/>
      </c>
    </row>
    <row r="147" spans="1:37">
      <c r="A147" s="1">
        <v>36516</v>
      </c>
      <c r="B147" s="1">
        <v>962000486</v>
      </c>
      <c r="C147" s="1" t="str">
        <f>"تخليه -اصفهان -نطنزكيلومتر5جاده گل آبادمقابل راه آهن -واحدتوليدآسفالت گرم ايران مترو"</f>
        <v>تخليه -اصفهان -نطنزكيلومتر5جاده گل آبادمقابل راه آهن -واحدتوليدآسفالت گرم ايران مترو</v>
      </c>
      <c r="D147" s="1">
        <v>12820</v>
      </c>
      <c r="E147" s="1">
        <v>36516</v>
      </c>
      <c r="F147" s="1">
        <v>96</v>
      </c>
      <c r="G147" s="1">
        <v>0</v>
      </c>
      <c r="H147" s="1" t="str">
        <f>"96/09/20"</f>
        <v>96/09/20</v>
      </c>
      <c r="I147" s="1" t="str">
        <f>"كيلوگرم"</f>
        <v>كيلوگرم</v>
      </c>
      <c r="J147" s="1" t="str">
        <f>"0000000076"</f>
        <v>0000000076</v>
      </c>
      <c r="K147" s="1" t="str">
        <f>"قير 60/70 - فله"</f>
        <v>قير 60/70 - فله</v>
      </c>
      <c r="L147" s="1">
        <v>100</v>
      </c>
      <c r="M147" s="1" t="str">
        <f>"مخازن قير اصفهان"</f>
        <v>مخازن قير اصفهان</v>
      </c>
      <c r="N147" s="1">
        <v>9321</v>
      </c>
      <c r="O147" s="1">
        <v>50037808</v>
      </c>
      <c r="P147" s="1" t="str">
        <f>"  شهرداري خالدآباد"</f>
        <v xml:space="preserve">  شهرداري خالدآباد</v>
      </c>
      <c r="Q147" s="1">
        <v>20</v>
      </c>
      <c r="R147" s="1" t="str">
        <f>"فروش داخلي - سازمان شهرداري ها و دهياري هاي كشور"</f>
        <v>فروش داخلي - سازمان شهرداري ها و دهياري هاي كشور</v>
      </c>
      <c r="S147" s="1" t="str">
        <f>"قرارداد فروش"</f>
        <v>قرارداد فروش</v>
      </c>
      <c r="T147" s="1" t="str">
        <f>"ندارد"</f>
        <v>ندارد</v>
      </c>
      <c r="U147" s="1" t="str">
        <f>"تعاوني جم گستر (1001 ج 89)"</f>
        <v>تعاوني جم گستر (1001 ج 89)</v>
      </c>
      <c r="V147" s="1">
        <v>962000486</v>
      </c>
      <c r="W147" s="1">
        <v>962000486</v>
      </c>
      <c r="X147" s="1" t="str">
        <f>"1396529711"</f>
        <v>1396529711</v>
      </c>
      <c r="Y147" s="1" t="str">
        <f>"96/09/20"</f>
        <v>96/09/20</v>
      </c>
      <c r="Z147" s="1" t="str">
        <f>"37127مرحله دوم"</f>
        <v>37127مرحله دوم</v>
      </c>
      <c r="AA147" s="1" t="str">
        <f>"شهرداريها"</f>
        <v>شهرداريها</v>
      </c>
      <c r="AB147" s="1" t="str">
        <f>"96/09/04"</f>
        <v>96/09/04</v>
      </c>
      <c r="AC147" s="1" t="str">
        <f>"استان اصفهان"</f>
        <v>استان اصفهان</v>
      </c>
      <c r="AD147" s="1" t="str">
        <f>"96/09/13"</f>
        <v>96/09/13</v>
      </c>
      <c r="AE147" s="1" t="str">
        <f>"اختتام"</f>
        <v>اختتام</v>
      </c>
      <c r="AF147" s="1" t="str">
        <f>""</f>
        <v/>
      </c>
      <c r="AG147" s="1" t="str">
        <f>""</f>
        <v/>
      </c>
      <c r="AH147" s="1" t="str">
        <f>""</f>
        <v/>
      </c>
      <c r="AI147" s="1" t="str">
        <f>""</f>
        <v/>
      </c>
      <c r="AJ147" s="1" t="str">
        <f>""</f>
        <v/>
      </c>
      <c r="AK147" s="1" t="str">
        <f>""</f>
        <v/>
      </c>
    </row>
    <row r="148" spans="1:37">
      <c r="A148" s="1">
        <v>136000</v>
      </c>
      <c r="B148" s="1">
        <v>966200219</v>
      </c>
      <c r="C148" s="1" t="str">
        <f>"تخليه- خراسان رضوي-کيلومتر 100مشهد-کلات-دوراهي سررود-کارخانه شرکت ريوند ره آريا"</f>
        <v>تخليه- خراسان رضوي-کيلومتر 100مشهد-کلات-دوراهي سررود-کارخانه شرکت ريوند ره آريا</v>
      </c>
      <c r="D148" s="1">
        <v>8954</v>
      </c>
      <c r="E148" s="1">
        <v>132760</v>
      </c>
      <c r="F148" s="1">
        <v>96</v>
      </c>
      <c r="G148" s="1">
        <v>3240</v>
      </c>
      <c r="H148" s="1" t="str">
        <f>"96/06/07"</f>
        <v>96/06/07</v>
      </c>
      <c r="I148" s="1" t="str">
        <f>"كيلوگرم"</f>
        <v>كيلوگرم</v>
      </c>
      <c r="J148" s="1" t="str">
        <f>"0000000076"</f>
        <v>0000000076</v>
      </c>
      <c r="K148" s="1" t="str">
        <f>"قير 60/70 - فله"</f>
        <v>قير 60/70 - فله</v>
      </c>
      <c r="L148" s="1">
        <v>100</v>
      </c>
      <c r="M148" s="1" t="str">
        <f>"مخازن قير اصفهان"</f>
        <v>مخازن قير اصفهان</v>
      </c>
      <c r="N148" s="1">
        <v>9326</v>
      </c>
      <c r="O148" s="1">
        <v>50035850</v>
      </c>
      <c r="P148" s="1" t="str">
        <f>"  كوه پل طوس"</f>
        <v xml:space="preserve">  كوه پل طوس</v>
      </c>
      <c r="Q148" s="1">
        <v>62</v>
      </c>
      <c r="R148" s="1" t="str">
        <f>"فروش داخلي - سازمان بنيادمسكن انقلاب اسلامي"</f>
        <v>فروش داخلي - سازمان بنيادمسكن انقلاب اسلامي</v>
      </c>
      <c r="S148" s="1" t="str">
        <f>"قرارداد فروش"</f>
        <v>قرارداد فروش</v>
      </c>
      <c r="T148" s="1" t="str">
        <f>"ندارد"</f>
        <v>ندارد</v>
      </c>
      <c r="U148" s="1" t="str">
        <f>"بابامحمدي عنايت اله(4844000)"</f>
        <v>بابامحمدي عنايت اله(4844000)</v>
      </c>
      <c r="V148" s="1">
        <v>966200219</v>
      </c>
      <c r="W148" s="1">
        <v>966200219</v>
      </c>
      <c r="X148" s="1" t="str">
        <f>"1396508616"</f>
        <v>1396508616</v>
      </c>
      <c r="Y148" s="1" t="str">
        <f>"96/06/07"</f>
        <v>96/06/07</v>
      </c>
      <c r="Z148" s="1" t="str">
        <f>"24581/د"</f>
        <v>24581/د</v>
      </c>
      <c r="AA148" s="1" t="str">
        <f>"بنيادمسكن انقلاب اسلامي"</f>
        <v>بنيادمسكن انقلاب اسلامي</v>
      </c>
      <c r="AB148" s="1" t="str">
        <f>"96/06/06"</f>
        <v>96/06/06</v>
      </c>
      <c r="AC148" s="1" t="str">
        <f>"خراسان رضوي"</f>
        <v>خراسان رضوي</v>
      </c>
      <c r="AD148" s="1" t="str">
        <f>"96/06/07"</f>
        <v>96/06/07</v>
      </c>
      <c r="AE148" s="1" t="str">
        <f>"اختتام"</f>
        <v>اختتام</v>
      </c>
      <c r="AF148" s="1" t="str">
        <f>""</f>
        <v/>
      </c>
      <c r="AG148" s="1" t="str">
        <f>""</f>
        <v/>
      </c>
      <c r="AH148" s="1" t="str">
        <f>""</f>
        <v/>
      </c>
      <c r="AI148" s="1" t="str">
        <f>""</f>
        <v/>
      </c>
      <c r="AJ148" s="1" t="str">
        <f>""</f>
        <v/>
      </c>
      <c r="AK148" s="1" t="str">
        <f>""</f>
        <v/>
      </c>
    </row>
    <row r="149" spans="1:37">
      <c r="A149" s="1">
        <v>125790</v>
      </c>
      <c r="B149" s="1">
        <v>962000004</v>
      </c>
      <c r="C149" s="1" t="str">
        <f>"تخليه -اصفهان -جاده سيمان سپاهان -منطقه صنعتي اشترجان كارخانه آسفالت راه آژند"</f>
        <v>تخليه -اصفهان -جاده سيمان سپاهان -منطقه صنعتي اشترجان كارخانه آسفالت راه آژند</v>
      </c>
      <c r="D149" s="1">
        <v>9113</v>
      </c>
      <c r="E149" s="1">
        <v>125790</v>
      </c>
      <c r="F149" s="1">
        <v>96</v>
      </c>
      <c r="G149" s="1">
        <v>0</v>
      </c>
      <c r="H149" s="1" t="str">
        <f>"96/07/03"</f>
        <v>96/07/03</v>
      </c>
      <c r="I149" s="1" t="str">
        <f>"كيلوگرم"</f>
        <v>كيلوگرم</v>
      </c>
      <c r="J149" s="1" t="str">
        <f>"0000000076"</f>
        <v>0000000076</v>
      </c>
      <c r="K149" s="1" t="str">
        <f>"قير 60/70 - فله"</f>
        <v>قير 60/70 - فله</v>
      </c>
      <c r="L149" s="1">
        <v>100</v>
      </c>
      <c r="M149" s="1" t="str">
        <f>"مخازن قير اصفهان"</f>
        <v>مخازن قير اصفهان</v>
      </c>
      <c r="N149" s="1">
        <v>9526</v>
      </c>
      <c r="O149" s="1">
        <v>50036143</v>
      </c>
      <c r="P149" s="1" t="str">
        <f>"  شهرداري ابريشم"</f>
        <v xml:space="preserve">  شهرداري ابريشم</v>
      </c>
      <c r="Q149" s="1">
        <v>20</v>
      </c>
      <c r="R149" s="1" t="str">
        <f>"فروش داخلي - سازمان شهرداري ها و دهياري هاي كشور"</f>
        <v>فروش داخلي - سازمان شهرداري ها و دهياري هاي كشور</v>
      </c>
      <c r="S149" s="1" t="str">
        <f>"قرارداد فروش"</f>
        <v>قرارداد فروش</v>
      </c>
      <c r="T149" s="1" t="str">
        <f>"ندارد"</f>
        <v>ندارد</v>
      </c>
      <c r="U149" s="1" t="str">
        <f>"تعاوني جم گستر (1001 ج 89)"</f>
        <v>تعاوني جم گستر (1001 ج 89)</v>
      </c>
      <c r="V149" s="1">
        <v>962000004</v>
      </c>
      <c r="W149" s="1">
        <v>962000004</v>
      </c>
      <c r="X149" s="1" t="str">
        <f>"1396514467"</f>
        <v>1396514467</v>
      </c>
      <c r="Y149" s="1" t="str">
        <f>"96/07/03"</f>
        <v>96/07/03</v>
      </c>
      <c r="Z149" s="1" t="str">
        <f>"26863مرحله اول"</f>
        <v>26863مرحله اول</v>
      </c>
      <c r="AA149" s="1" t="str">
        <f>"شهرداريها"</f>
        <v>شهرداريها</v>
      </c>
      <c r="AB149" s="1" t="str">
        <f>"96/06/29"</f>
        <v>96/06/29</v>
      </c>
      <c r="AC149" s="1" t="str">
        <f>"استان اصفهان"</f>
        <v>استان اصفهان</v>
      </c>
      <c r="AD149" s="1" t="str">
        <f>"96/07/03"</f>
        <v>96/07/03</v>
      </c>
      <c r="AE149" s="1" t="str">
        <f>"اختتام"</f>
        <v>اختتام</v>
      </c>
      <c r="AF149" s="1" t="str">
        <f>""</f>
        <v/>
      </c>
      <c r="AG149" s="1" t="str">
        <f>""</f>
        <v/>
      </c>
      <c r="AH149" s="1" t="str">
        <f>""</f>
        <v/>
      </c>
      <c r="AI149" s="1" t="str">
        <f>""</f>
        <v/>
      </c>
      <c r="AJ149" s="1" t="str">
        <f>""</f>
        <v/>
      </c>
      <c r="AK149" s="1" t="str">
        <f>""</f>
        <v/>
      </c>
    </row>
    <row r="150" spans="1:37">
      <c r="A150" s="1">
        <v>59879</v>
      </c>
      <c r="B150" s="1">
        <v>962000426</v>
      </c>
      <c r="C150" s="1" t="str">
        <f>"تخليه -اصفهان جاده اصفهان مباركه جنب كارخانه پلي اكريل دره چشمه علي باباعبدالله كارخانه آسفالت بتون راه-شرکت شهيربناي ايرانيان"</f>
        <v>تخليه -اصفهان جاده اصفهان مباركه جنب كارخانه پلي اكريل دره چشمه علي باباعبدالله كارخانه آسفالت بتون راه-شرکت شهيربناي ايرانيان</v>
      </c>
      <c r="D150" s="1">
        <v>12820</v>
      </c>
      <c r="E150" s="1">
        <v>59879</v>
      </c>
      <c r="F150" s="1">
        <v>96</v>
      </c>
      <c r="G150" s="1">
        <v>0</v>
      </c>
      <c r="H150" s="1" t="str">
        <f>"96/09/20"</f>
        <v>96/09/20</v>
      </c>
      <c r="I150" s="1" t="str">
        <f>"كيلوگرم"</f>
        <v>كيلوگرم</v>
      </c>
      <c r="J150" s="1" t="str">
        <f>"0000000076"</f>
        <v>0000000076</v>
      </c>
      <c r="K150" s="1" t="str">
        <f>"قير 60/70 - فله"</f>
        <v>قير 60/70 - فله</v>
      </c>
      <c r="L150" s="1">
        <v>100</v>
      </c>
      <c r="M150" s="1" t="str">
        <f>"مخازن قير اصفهان"</f>
        <v>مخازن قير اصفهان</v>
      </c>
      <c r="N150" s="1">
        <v>9370</v>
      </c>
      <c r="O150" s="1">
        <v>50037745</v>
      </c>
      <c r="P150" s="1" t="str">
        <f>"  شهرداري درچه پياز"</f>
        <v xml:space="preserve">  شهرداري درچه پياز</v>
      </c>
      <c r="Q150" s="1">
        <v>20</v>
      </c>
      <c r="R150" s="1" t="str">
        <f>"فروش داخلي - سازمان شهرداري ها و دهياري هاي كشور"</f>
        <v>فروش داخلي - سازمان شهرداري ها و دهياري هاي كشور</v>
      </c>
      <c r="S150" s="1" t="str">
        <f>"قرارداد فروش"</f>
        <v>قرارداد فروش</v>
      </c>
      <c r="T150" s="1" t="str">
        <f>"ندارد"</f>
        <v>ندارد</v>
      </c>
      <c r="U150" s="1" t="str">
        <f>"تعاوني جم گستر (1001 ج 89)"</f>
        <v>تعاوني جم گستر (1001 ج 89)</v>
      </c>
      <c r="V150" s="1">
        <v>962000426</v>
      </c>
      <c r="W150" s="1">
        <v>962000426</v>
      </c>
      <c r="X150" s="1" t="str">
        <f>"1396529711"</f>
        <v>1396529711</v>
      </c>
      <c r="Y150" s="1" t="str">
        <f>"96/09/20"</f>
        <v>96/09/20</v>
      </c>
      <c r="Z150" s="1" t="str">
        <f>"37134مرحله دوم"</f>
        <v>37134مرحله دوم</v>
      </c>
      <c r="AA150" s="1" t="str">
        <f>"شهرداريها"</f>
        <v>شهرداريها</v>
      </c>
      <c r="AB150" s="1" t="str">
        <f>"96/09/05"</f>
        <v>96/09/05</v>
      </c>
      <c r="AC150" s="1" t="str">
        <f>"استان اصفهان"</f>
        <v>استان اصفهان</v>
      </c>
      <c r="AD150" s="1" t="str">
        <f>"96/09/13"</f>
        <v>96/09/13</v>
      </c>
      <c r="AE150" s="1" t="str">
        <f>"اختتام"</f>
        <v>اختتام</v>
      </c>
      <c r="AF150" s="1" t="str">
        <f>""</f>
        <v/>
      </c>
      <c r="AG150" s="1" t="str">
        <f>""</f>
        <v/>
      </c>
      <c r="AH150" s="1" t="str">
        <f>""</f>
        <v/>
      </c>
      <c r="AI150" s="1" t="str">
        <f>""</f>
        <v/>
      </c>
      <c r="AJ150" s="1" t="str">
        <f>""</f>
        <v/>
      </c>
      <c r="AK150" s="1" t="str">
        <f>""</f>
        <v/>
      </c>
    </row>
    <row r="151" spans="1:37">
      <c r="A151" s="1">
        <v>95510</v>
      </c>
      <c r="B151" s="1">
        <v>962000075</v>
      </c>
      <c r="C151" s="1" t="str">
        <f>"تخليه - اصفهان-پليس راه شاهين شهر-کيلومتر12 جاده علويجه-کارخانه آسفالت اصفهان مترو"</f>
        <v>تخليه - اصفهان-پليس راه شاهين شهر-کيلومتر12 جاده علويجه-کارخانه آسفالت اصفهان مترو</v>
      </c>
      <c r="D151" s="1">
        <v>9113</v>
      </c>
      <c r="E151" s="1">
        <v>95510</v>
      </c>
      <c r="F151" s="1">
        <v>96</v>
      </c>
      <c r="G151" s="1">
        <v>0</v>
      </c>
      <c r="H151" s="1" t="str">
        <f>"96/07/03"</f>
        <v>96/07/03</v>
      </c>
      <c r="I151" s="1" t="str">
        <f>"كيلوگرم"</f>
        <v>كيلوگرم</v>
      </c>
      <c r="J151" s="1" t="str">
        <f>"0000000076"</f>
        <v>0000000076</v>
      </c>
      <c r="K151" s="1" t="str">
        <f>"قير 60/70 - فله"</f>
        <v>قير 60/70 - فله</v>
      </c>
      <c r="L151" s="1">
        <v>100</v>
      </c>
      <c r="M151" s="1" t="str">
        <f>"مخازن قير اصفهان"</f>
        <v>مخازن قير اصفهان</v>
      </c>
      <c r="N151" s="1">
        <v>9375</v>
      </c>
      <c r="O151" s="1">
        <v>50036228</v>
      </c>
      <c r="P151" s="1" t="str">
        <f>"  شهرداري گرگاب"</f>
        <v xml:space="preserve">  شهرداري گرگاب</v>
      </c>
      <c r="Q151" s="1">
        <v>20</v>
      </c>
      <c r="R151" s="1" t="str">
        <f>"فروش داخلي - سازمان شهرداري ها و دهياري هاي كشور"</f>
        <v>فروش داخلي - سازمان شهرداري ها و دهياري هاي كشور</v>
      </c>
      <c r="S151" s="1" t="str">
        <f>"قرارداد فروش"</f>
        <v>قرارداد فروش</v>
      </c>
      <c r="T151" s="1" t="str">
        <f>"ندارد"</f>
        <v>ندارد</v>
      </c>
      <c r="U151" s="1" t="str">
        <f>"تعاوني جم گستر (1001 ج 89)"</f>
        <v>تعاوني جم گستر (1001 ج 89)</v>
      </c>
      <c r="V151" s="1">
        <v>962000075</v>
      </c>
      <c r="W151" s="1">
        <v>962000075</v>
      </c>
      <c r="X151" s="1" t="str">
        <f>"1396514467"</f>
        <v>1396514467</v>
      </c>
      <c r="Y151" s="1" t="str">
        <f>"96/07/03"</f>
        <v>96/07/03</v>
      </c>
      <c r="Z151" s="1" t="str">
        <f>"26678مرحله اول"</f>
        <v>26678مرحله اول</v>
      </c>
      <c r="AA151" s="1" t="str">
        <f>"شهرداريها"</f>
        <v>شهرداريها</v>
      </c>
      <c r="AB151" s="1" t="str">
        <f>"96/06/29"</f>
        <v>96/06/29</v>
      </c>
      <c r="AC151" s="1" t="str">
        <f>"استان اصفهان"</f>
        <v>استان اصفهان</v>
      </c>
      <c r="AD151" s="1" t="str">
        <f>"96/07/03"</f>
        <v>96/07/03</v>
      </c>
      <c r="AE151" s="1" t="str">
        <f>"تاييدشده"</f>
        <v>تاييدشده</v>
      </c>
      <c r="AF151" s="1" t="str">
        <f>""</f>
        <v/>
      </c>
      <c r="AG151" s="1" t="str">
        <f>""</f>
        <v/>
      </c>
      <c r="AH151" s="1" t="str">
        <f>""</f>
        <v/>
      </c>
      <c r="AI151" s="1" t="str">
        <f>""</f>
        <v/>
      </c>
      <c r="AJ151" s="1" t="str">
        <f>""</f>
        <v/>
      </c>
      <c r="AK151" s="1" t="str">
        <f>""</f>
        <v/>
      </c>
    </row>
    <row r="152" spans="1:37">
      <c r="A152" s="1">
        <v>134879</v>
      </c>
      <c r="B152" s="1">
        <v>962000069</v>
      </c>
      <c r="C152" s="1" t="str">
        <f>"تخليه اصفهان اتوبان ذوب آهن بعدازپليس راه شهركردمنطقه صنعتي اشترجان شركت ماژين سازه چكاد"</f>
        <v>تخليه اصفهان اتوبان ذوب آهن بعدازپليس راه شهركردمنطقه صنعتي اشترجان شركت ماژين سازه چكاد</v>
      </c>
      <c r="D152" s="1">
        <v>9113</v>
      </c>
      <c r="E152" s="1">
        <v>134879</v>
      </c>
      <c r="F152" s="1">
        <v>96</v>
      </c>
      <c r="G152" s="1">
        <v>0</v>
      </c>
      <c r="H152" s="1" t="str">
        <f>"96/07/03"</f>
        <v>96/07/03</v>
      </c>
      <c r="I152" s="1" t="str">
        <f>"كيلوگرم"</f>
        <v>كيلوگرم</v>
      </c>
      <c r="J152" s="1" t="str">
        <f>"0000000076"</f>
        <v>0000000076</v>
      </c>
      <c r="K152" s="1" t="str">
        <f>"قير 60/70 - فله"</f>
        <v>قير 60/70 - فله</v>
      </c>
      <c r="L152" s="1">
        <v>100</v>
      </c>
      <c r="M152" s="1" t="str">
        <f>"مخازن قير اصفهان"</f>
        <v>مخازن قير اصفهان</v>
      </c>
      <c r="N152" s="1">
        <v>9529</v>
      </c>
      <c r="O152" s="1">
        <v>50036218</v>
      </c>
      <c r="P152" s="1" t="str">
        <f>"  شهرداري كليشادوسودرجان"</f>
        <v xml:space="preserve">  شهرداري كليشادوسودرجان</v>
      </c>
      <c r="Q152" s="1">
        <v>20</v>
      </c>
      <c r="R152" s="1" t="str">
        <f>"فروش داخلي - سازمان شهرداري ها و دهياري هاي كشور"</f>
        <v>فروش داخلي - سازمان شهرداري ها و دهياري هاي كشور</v>
      </c>
      <c r="S152" s="1" t="str">
        <f>"قرارداد فروش"</f>
        <v>قرارداد فروش</v>
      </c>
      <c r="T152" s="1" t="str">
        <f>"ندارد"</f>
        <v>ندارد</v>
      </c>
      <c r="U152" s="1" t="str">
        <f>"تعاوني جم گستر (1001 ج 89)"</f>
        <v>تعاوني جم گستر (1001 ج 89)</v>
      </c>
      <c r="V152" s="1">
        <v>962000069</v>
      </c>
      <c r="W152" s="1">
        <v>962000069</v>
      </c>
      <c r="X152" s="1" t="str">
        <f>"1396514467"</f>
        <v>1396514467</v>
      </c>
      <c r="Y152" s="1" t="str">
        <f>"96/07/03"</f>
        <v>96/07/03</v>
      </c>
      <c r="Z152" s="1" t="str">
        <f>"26692مرحله اول"</f>
        <v>26692مرحله اول</v>
      </c>
      <c r="AA152" s="1" t="str">
        <f>"شهرداريها"</f>
        <v>شهرداريها</v>
      </c>
      <c r="AB152" s="1" t="str">
        <f>"96/06/29"</f>
        <v>96/06/29</v>
      </c>
      <c r="AC152" s="1" t="str">
        <f>"استان اصفهان"</f>
        <v>استان اصفهان</v>
      </c>
      <c r="AD152" s="1" t="str">
        <f>"96/07/03"</f>
        <v>96/07/03</v>
      </c>
      <c r="AE152" s="1" t="str">
        <f>"اختتام"</f>
        <v>اختتام</v>
      </c>
      <c r="AF152" s="1" t="str">
        <f>""</f>
        <v/>
      </c>
      <c r="AG152" s="1" t="str">
        <f>""</f>
        <v/>
      </c>
      <c r="AH152" s="1" t="str">
        <f>""</f>
        <v/>
      </c>
      <c r="AI152" s="1" t="str">
        <f>""</f>
        <v/>
      </c>
      <c r="AJ152" s="1" t="str">
        <f>""</f>
        <v/>
      </c>
      <c r="AK152" s="1" t="str">
        <f>""</f>
        <v/>
      </c>
    </row>
    <row r="153" spans="1:37">
      <c r="A153" s="1">
        <v>114893</v>
      </c>
      <c r="B153" s="1">
        <v>962000020</v>
      </c>
      <c r="C153" s="1" t="str">
        <f>"تخليه -اصفهان -جاده سيمان سپاهان -منطقه صنعتي اشترجان -راه آژند"</f>
        <v>تخليه -اصفهان -جاده سيمان سپاهان -منطقه صنعتي اشترجان -راه آژند</v>
      </c>
      <c r="D153" s="1">
        <v>9113</v>
      </c>
      <c r="E153" s="1">
        <v>114893</v>
      </c>
      <c r="F153" s="1">
        <v>96</v>
      </c>
      <c r="G153" s="1">
        <v>0</v>
      </c>
      <c r="H153" s="1" t="str">
        <f>"96/07/03"</f>
        <v>96/07/03</v>
      </c>
      <c r="I153" s="1" t="str">
        <f>"كيلوگرم"</f>
        <v>كيلوگرم</v>
      </c>
      <c r="J153" s="1" t="str">
        <f>"0000000076"</f>
        <v>0000000076</v>
      </c>
      <c r="K153" s="1" t="str">
        <f>"قير 60/70 - فله"</f>
        <v>قير 60/70 - فله</v>
      </c>
      <c r="L153" s="1">
        <v>100</v>
      </c>
      <c r="M153" s="1" t="str">
        <f>"مخازن قير اصفهان"</f>
        <v>مخازن قير اصفهان</v>
      </c>
      <c r="N153" s="1">
        <v>9537</v>
      </c>
      <c r="O153" s="1">
        <v>50036161</v>
      </c>
      <c r="P153" s="1" t="str">
        <f>"  شهرداري پيربكران"</f>
        <v xml:space="preserve">  شهرداري پيربكران</v>
      </c>
      <c r="Q153" s="1">
        <v>20</v>
      </c>
      <c r="R153" s="1" t="str">
        <f>"فروش داخلي - سازمان شهرداري ها و دهياري هاي كشور"</f>
        <v>فروش داخلي - سازمان شهرداري ها و دهياري هاي كشور</v>
      </c>
      <c r="S153" s="1" t="str">
        <f>"قرارداد فروش"</f>
        <v>قرارداد فروش</v>
      </c>
      <c r="T153" s="1" t="str">
        <f>"ندارد"</f>
        <v>ندارد</v>
      </c>
      <c r="U153" s="1" t="str">
        <f>"تعاوني جم گستر (1001 ج 89)"</f>
        <v>تعاوني جم گستر (1001 ج 89)</v>
      </c>
      <c r="V153" s="1">
        <v>962000020</v>
      </c>
      <c r="W153" s="1">
        <v>962000020</v>
      </c>
      <c r="X153" s="1" t="str">
        <f>"1396514467"</f>
        <v>1396514467</v>
      </c>
      <c r="Y153" s="1" t="str">
        <f>"96/07/03"</f>
        <v>96/07/03</v>
      </c>
      <c r="Z153" s="1" t="str">
        <f>"26843مرحله اول"</f>
        <v>26843مرحله اول</v>
      </c>
      <c r="AA153" s="1" t="str">
        <f>"شهرداريها"</f>
        <v>شهرداريها</v>
      </c>
      <c r="AB153" s="1" t="str">
        <f>"96/06/29"</f>
        <v>96/06/29</v>
      </c>
      <c r="AC153" s="1" t="str">
        <f>"استان اصفهان"</f>
        <v>استان اصفهان</v>
      </c>
      <c r="AD153" s="1" t="str">
        <f>"96/07/03"</f>
        <v>96/07/03</v>
      </c>
      <c r="AE153" s="1" t="str">
        <f>"اختتام"</f>
        <v>اختتام</v>
      </c>
      <c r="AF153" s="1" t="str">
        <f>""</f>
        <v/>
      </c>
      <c r="AG153" s="1" t="str">
        <f>""</f>
        <v/>
      </c>
      <c r="AH153" s="1" t="str">
        <f>""</f>
        <v/>
      </c>
      <c r="AI153" s="1" t="str">
        <f>""</f>
        <v/>
      </c>
      <c r="AJ153" s="1" t="str">
        <f>""</f>
        <v/>
      </c>
      <c r="AK153" s="1" t="str">
        <f>""</f>
        <v/>
      </c>
    </row>
    <row r="154" spans="1:37">
      <c r="A154" s="1">
        <v>205000</v>
      </c>
      <c r="B154" s="1">
        <v>966300001</v>
      </c>
      <c r="C154" s="1" t="str">
        <f>"تخليه -كيلومتر15محوربيرجندزاهدان -بعدارايست بازرسي"</f>
        <v>تخليه -كيلومتر15محوربيرجندزاهدان -بعدارايست بازرسي</v>
      </c>
      <c r="D154" s="1">
        <v>8954</v>
      </c>
      <c r="E154" s="1">
        <v>201520</v>
      </c>
      <c r="F154" s="1">
        <v>96</v>
      </c>
      <c r="G154" s="1">
        <v>3480</v>
      </c>
      <c r="H154" s="1" t="str">
        <f>"96/06/11"</f>
        <v>96/06/11</v>
      </c>
      <c r="I154" s="1" t="str">
        <f>"كيلوگرم"</f>
        <v>كيلوگرم</v>
      </c>
      <c r="J154" s="1" t="str">
        <f>"0000000076"</f>
        <v>0000000076</v>
      </c>
      <c r="K154" s="1" t="str">
        <f>"قير 60/70 - فله"</f>
        <v>قير 60/70 - فله</v>
      </c>
      <c r="L154" s="1">
        <v>100</v>
      </c>
      <c r="M154" s="1" t="str">
        <f>"مخازن قير اصفهان"</f>
        <v>مخازن قير اصفهان</v>
      </c>
      <c r="N154" s="1">
        <v>9573</v>
      </c>
      <c r="O154" s="1">
        <v>50035884</v>
      </c>
      <c r="P154" s="1" t="str">
        <f>"  سازمان عمران و بازآفريني فضاهاي شهري شهرداري بيرجند"</f>
        <v xml:space="preserve">  سازمان عمران و بازآفريني فضاهاي شهري شهرداري بيرجند</v>
      </c>
      <c r="Q154" s="1">
        <v>63</v>
      </c>
      <c r="R154" s="1" t="str">
        <f>"سازمان نوسازي،توسعه و تجهيز مدارس كشور"</f>
        <v>سازمان نوسازي،توسعه و تجهيز مدارس كشور</v>
      </c>
      <c r="S154" s="1" t="str">
        <f>"قرارداد فروش"</f>
        <v>قرارداد فروش</v>
      </c>
      <c r="T154" s="1" t="str">
        <f>"ندارد"</f>
        <v>ندارد</v>
      </c>
      <c r="U154" s="1" t="str">
        <f>"بابامحمدي عنايت اله(4844000)"</f>
        <v>بابامحمدي عنايت اله(4844000)</v>
      </c>
      <c r="V154" s="1">
        <v>966300001</v>
      </c>
      <c r="W154" s="1">
        <v>966300001</v>
      </c>
      <c r="X154" s="1" t="str">
        <f>"1396509605"</f>
        <v>1396509605</v>
      </c>
      <c r="Y154" s="1" t="str">
        <f>"96/06/11"</f>
        <v>96/06/11</v>
      </c>
      <c r="Z154" s="1" t="str">
        <f>"3096/19-4362"</f>
        <v>3096/19-4362</v>
      </c>
      <c r="AA154" s="1" t="str">
        <f>"سازمان نوسازي توسعه وتجهيزمدارس كشور"</f>
        <v>سازمان نوسازي توسعه وتجهيزمدارس كشور</v>
      </c>
      <c r="AB154" s="1" t="str">
        <f>"96/05/16"</f>
        <v>96/05/16</v>
      </c>
      <c r="AC154" s="1" t="str">
        <f>"خراسان جنوبي"</f>
        <v>خراسان جنوبي</v>
      </c>
      <c r="AD154" s="1" t="str">
        <f>"96/06/11"</f>
        <v>96/06/11</v>
      </c>
      <c r="AE154" s="1" t="str">
        <f>"اختتام"</f>
        <v>اختتام</v>
      </c>
      <c r="AF154" s="1" t="str">
        <f>""</f>
        <v/>
      </c>
      <c r="AG154" s="1" t="str">
        <f>""</f>
        <v/>
      </c>
      <c r="AH154" s="1" t="str">
        <f>""</f>
        <v/>
      </c>
      <c r="AI154" s="1" t="str">
        <f>""</f>
        <v/>
      </c>
      <c r="AJ154" s="1" t="str">
        <f>""</f>
        <v/>
      </c>
      <c r="AK154" s="1" t="str">
        <f>""</f>
        <v/>
      </c>
    </row>
    <row r="155" spans="1:37">
      <c r="A155" s="1">
        <v>88000</v>
      </c>
      <c r="B155" s="1">
        <v>966200156</v>
      </c>
      <c r="C155" s="1" t="str">
        <f>"تخليه-مازندران-کيلومتر 10 جاده آمل محمود آباد-پشت شهرک صنعتي تشبندان-کارخانه آسفالت ارجمنديان"</f>
        <v>تخليه-مازندران-کيلومتر 10 جاده آمل محمود آباد-پشت شهرک صنعتي تشبندان-کارخانه آسفالت ارجمنديان</v>
      </c>
      <c r="D155" s="1">
        <v>8704</v>
      </c>
      <c r="E155" s="1">
        <v>88000</v>
      </c>
      <c r="F155" s="1">
        <v>96</v>
      </c>
      <c r="G155" s="1">
        <v>0</v>
      </c>
      <c r="H155" s="1" t="str">
        <f>"96/05/08"</f>
        <v>96/05/08</v>
      </c>
      <c r="I155" s="1" t="str">
        <f>"كيلوگرم"</f>
        <v>كيلوگرم</v>
      </c>
      <c r="J155" s="1" t="str">
        <f>"0000000076"</f>
        <v>0000000076</v>
      </c>
      <c r="K155" s="1" t="str">
        <f>"قير 60/70 - فله"</f>
        <v>قير 60/70 - فله</v>
      </c>
      <c r="L155" s="1">
        <v>100</v>
      </c>
      <c r="M155" s="1" t="str">
        <f>"مخازن قير اصفهان"</f>
        <v>مخازن قير اصفهان</v>
      </c>
      <c r="N155" s="1">
        <v>8903</v>
      </c>
      <c r="O155" s="1">
        <v>50035393</v>
      </c>
      <c r="P155" s="1" t="str">
        <f>"  بنيادمسكن انقلاب اسلامي مازندران"</f>
        <v xml:space="preserve">  بنيادمسكن انقلاب اسلامي مازندران</v>
      </c>
      <c r="Q155" s="1">
        <v>62</v>
      </c>
      <c r="R155" s="1" t="str">
        <f>"فروش داخلي - سازمان بنيادمسكن انقلاب اسلامي"</f>
        <v>فروش داخلي - سازمان بنيادمسكن انقلاب اسلامي</v>
      </c>
      <c r="S155" s="1" t="str">
        <f>"قرارداد فروش"</f>
        <v>قرارداد فروش</v>
      </c>
      <c r="T155" s="1" t="str">
        <f>"ندارد"</f>
        <v>ندارد</v>
      </c>
      <c r="U155" s="1" t="str">
        <f>"شيشه بر كريم(1841016)"</f>
        <v>شيشه بر كريم(1841016)</v>
      </c>
      <c r="V155" s="1">
        <v>966200156</v>
      </c>
      <c r="W155" s="1">
        <v>966200156</v>
      </c>
      <c r="X155" s="1" t="str">
        <f>"1396500984"</f>
        <v>1396500984</v>
      </c>
      <c r="Y155" s="1" t="str">
        <f>"96/05/08"</f>
        <v>96/05/08</v>
      </c>
      <c r="Z155" s="1" t="str">
        <f>"18660/د"</f>
        <v>18660/د</v>
      </c>
      <c r="AA155" s="1" t="str">
        <f>"بنيادمسكن انقلاب اسلامي"</f>
        <v>بنيادمسكن انقلاب اسلامي</v>
      </c>
      <c r="AB155" s="1" t="str">
        <f>"96/05/07"</f>
        <v>96/05/07</v>
      </c>
      <c r="AC155" s="1" t="str">
        <f>"استان مازندران"</f>
        <v>استان مازندران</v>
      </c>
      <c r="AD155" s="1" t="str">
        <f>"96/05/08"</f>
        <v>96/05/08</v>
      </c>
      <c r="AE155" s="1" t="str">
        <f>"اختتام"</f>
        <v>اختتام</v>
      </c>
      <c r="AF155" s="1" t="str">
        <f>""</f>
        <v/>
      </c>
      <c r="AG155" s="1" t="str">
        <f>""</f>
        <v/>
      </c>
      <c r="AH155" s="1" t="str">
        <f>""</f>
        <v/>
      </c>
      <c r="AI155" s="1" t="str">
        <f>""</f>
        <v/>
      </c>
      <c r="AJ155" s="1" t="str">
        <f>""</f>
        <v/>
      </c>
      <c r="AK155" s="1" t="str">
        <f>""</f>
        <v/>
      </c>
    </row>
    <row r="156" spans="1:37">
      <c r="A156" s="1">
        <v>82000</v>
      </c>
      <c r="B156" s="1">
        <v>966200160</v>
      </c>
      <c r="C156" s="1" t="str">
        <f>"تخليه - مازندران-کمربندي نکا- روستاي چاله پل-کارخانه آسفالت سليم بهرامي"</f>
        <v>تخليه - مازندران-کمربندي نکا- روستاي چاله پل-کارخانه آسفالت سليم بهرامي</v>
      </c>
      <c r="D156" s="1">
        <v>8704</v>
      </c>
      <c r="E156" s="1">
        <v>82000</v>
      </c>
      <c r="F156" s="1">
        <v>96</v>
      </c>
      <c r="G156" s="1">
        <v>0</v>
      </c>
      <c r="H156" s="1" t="str">
        <f>"96/05/08"</f>
        <v>96/05/08</v>
      </c>
      <c r="I156" s="1" t="str">
        <f>"كيلوگرم"</f>
        <v>كيلوگرم</v>
      </c>
      <c r="J156" s="1" t="str">
        <f>"0000000076"</f>
        <v>0000000076</v>
      </c>
      <c r="K156" s="1" t="str">
        <f>"قير 60/70 - فله"</f>
        <v>قير 60/70 - فله</v>
      </c>
      <c r="L156" s="1">
        <v>100</v>
      </c>
      <c r="M156" s="1" t="str">
        <f>"مخازن قير اصفهان"</f>
        <v>مخازن قير اصفهان</v>
      </c>
      <c r="N156" s="1">
        <v>8903</v>
      </c>
      <c r="O156" s="1">
        <v>50035399</v>
      </c>
      <c r="P156" s="1" t="str">
        <f>"  بنيادمسكن انقلاب اسلامي مازندران"</f>
        <v xml:space="preserve">  بنيادمسكن انقلاب اسلامي مازندران</v>
      </c>
      <c r="Q156" s="1">
        <v>62</v>
      </c>
      <c r="R156" s="1" t="str">
        <f>"فروش داخلي - سازمان بنيادمسكن انقلاب اسلامي"</f>
        <v>فروش داخلي - سازمان بنيادمسكن انقلاب اسلامي</v>
      </c>
      <c r="S156" s="1" t="str">
        <f>"قرارداد فروش"</f>
        <v>قرارداد فروش</v>
      </c>
      <c r="T156" s="1" t="str">
        <f>"ندارد"</f>
        <v>ندارد</v>
      </c>
      <c r="U156" s="1" t="str">
        <f>"شيشه بر كريم(1841016)"</f>
        <v>شيشه بر كريم(1841016)</v>
      </c>
      <c r="V156" s="1">
        <v>966200160</v>
      </c>
      <c r="W156" s="1">
        <v>966200160</v>
      </c>
      <c r="X156" s="1" t="str">
        <f>"1396500984"</f>
        <v>1396500984</v>
      </c>
      <c r="Y156" s="1" t="str">
        <f>"96/05/08"</f>
        <v>96/05/08</v>
      </c>
      <c r="Z156" s="1" t="str">
        <f>"18667/د"</f>
        <v>18667/د</v>
      </c>
      <c r="AA156" s="1" t="str">
        <f>"بنيادمسكن انقلاب اسلامي"</f>
        <v>بنيادمسكن انقلاب اسلامي</v>
      </c>
      <c r="AB156" s="1" t="str">
        <f>"96/05/07"</f>
        <v>96/05/07</v>
      </c>
      <c r="AC156" s="1" t="str">
        <f>"استان مازندران"</f>
        <v>استان مازندران</v>
      </c>
      <c r="AD156" s="1" t="str">
        <f>"96/05/08"</f>
        <v>96/05/08</v>
      </c>
      <c r="AE156" s="1" t="str">
        <f>"اختتام"</f>
        <v>اختتام</v>
      </c>
      <c r="AF156" s="1" t="str">
        <f>""</f>
        <v/>
      </c>
      <c r="AG156" s="1" t="str">
        <f>""</f>
        <v/>
      </c>
      <c r="AH156" s="1" t="str">
        <f>""</f>
        <v/>
      </c>
      <c r="AI156" s="1" t="str">
        <f>""</f>
        <v/>
      </c>
      <c r="AJ156" s="1" t="str">
        <f>""</f>
        <v/>
      </c>
      <c r="AK156" s="1" t="str">
        <f>""</f>
        <v/>
      </c>
    </row>
    <row r="157" spans="1:37">
      <c r="A157" s="1">
        <v>119000</v>
      </c>
      <c r="B157" s="1">
        <v>966200170</v>
      </c>
      <c r="C157" s="1" t="str">
        <f>"تخليه - مازندران-کمربندي نکا- روستاي چاله پل-کارخانه آسفالت سليم بهرامي"</f>
        <v>تخليه - مازندران-کمربندي نکا- روستاي چاله پل-کارخانه آسفالت سليم بهرامي</v>
      </c>
      <c r="D157" s="1">
        <v>8704</v>
      </c>
      <c r="E157" s="1">
        <v>111140</v>
      </c>
      <c r="F157" s="1">
        <v>96</v>
      </c>
      <c r="G157" s="1">
        <v>7860</v>
      </c>
      <c r="H157" s="1" t="str">
        <f>"96/05/15"</f>
        <v>96/05/15</v>
      </c>
      <c r="I157" s="1" t="str">
        <f>"كيلوگرم"</f>
        <v>كيلوگرم</v>
      </c>
      <c r="J157" s="1" t="str">
        <f>"0000000076"</f>
        <v>0000000076</v>
      </c>
      <c r="K157" s="1" t="str">
        <f>"قير 60/70 - فله"</f>
        <v>قير 60/70 - فله</v>
      </c>
      <c r="L157" s="1">
        <v>100</v>
      </c>
      <c r="M157" s="1" t="str">
        <f>"مخازن قير اصفهان"</f>
        <v>مخازن قير اصفهان</v>
      </c>
      <c r="N157" s="1">
        <v>8903</v>
      </c>
      <c r="O157" s="1">
        <v>50035525</v>
      </c>
      <c r="P157" s="1" t="str">
        <f>"  بنيادمسكن انقلاب اسلامي مازندران"</f>
        <v xml:space="preserve">  بنيادمسكن انقلاب اسلامي مازندران</v>
      </c>
      <c r="Q157" s="1">
        <v>62</v>
      </c>
      <c r="R157" s="1" t="str">
        <f>"فروش داخلي - سازمان بنيادمسكن انقلاب اسلامي"</f>
        <v>فروش داخلي - سازمان بنيادمسكن انقلاب اسلامي</v>
      </c>
      <c r="S157" s="1" t="str">
        <f>"قرارداد فروش"</f>
        <v>قرارداد فروش</v>
      </c>
      <c r="T157" s="1" t="str">
        <f>"ندارد"</f>
        <v>ندارد</v>
      </c>
      <c r="U157" s="1" t="str">
        <f>"شيشه بر كريم(1841016)"</f>
        <v>شيشه بر كريم(1841016)</v>
      </c>
      <c r="V157" s="1">
        <v>966200170</v>
      </c>
      <c r="W157" s="1">
        <v>966200170</v>
      </c>
      <c r="X157" s="1" t="str">
        <f>"1396502842"</f>
        <v>1396502842</v>
      </c>
      <c r="Y157" s="1" t="str">
        <f>"96/05/15"</f>
        <v>96/05/15</v>
      </c>
      <c r="Z157" s="1" t="str">
        <f>"19672/د"</f>
        <v>19672/د</v>
      </c>
      <c r="AA157" s="1" t="str">
        <f>"بنيادمسكن انقلاب اسلامي"</f>
        <v>بنيادمسكن انقلاب اسلامي</v>
      </c>
      <c r="AB157" s="1" t="str">
        <f>"96/05/11"</f>
        <v>96/05/11</v>
      </c>
      <c r="AC157" s="1" t="str">
        <f>"استان مازندران"</f>
        <v>استان مازندران</v>
      </c>
      <c r="AD157" s="1" t="str">
        <f>"96/05/15"</f>
        <v>96/05/15</v>
      </c>
      <c r="AE157" s="1" t="str">
        <f>"اختتام"</f>
        <v>اختتام</v>
      </c>
      <c r="AF157" s="1" t="str">
        <f>""</f>
        <v/>
      </c>
      <c r="AG157" s="1" t="str">
        <f>""</f>
        <v/>
      </c>
      <c r="AH157" s="1" t="str">
        <f>""</f>
        <v/>
      </c>
      <c r="AI157" s="1" t="str">
        <f>""</f>
        <v/>
      </c>
      <c r="AJ157" s="1" t="str">
        <f>""</f>
        <v/>
      </c>
      <c r="AK157" s="1" t="str">
        <f>""</f>
        <v/>
      </c>
    </row>
    <row r="158" spans="1:37">
      <c r="A158" s="1">
        <v>64000</v>
      </c>
      <c r="B158" s="1">
        <v>966200489</v>
      </c>
      <c r="C158" s="1" t="str">
        <f>"تخليه-مازندران-کيلومتر 10 جاده آمل محمود آباد-پشت شهرک صنعتي تشبندان-کارخانه آسفالت ارجمنديان"</f>
        <v>تخليه-مازندران-کيلومتر 10 جاده آمل محمود آباد-پشت شهرک صنعتي تشبندان-کارخانه آسفالت ارجمنديان</v>
      </c>
      <c r="D158" s="1">
        <v>12850</v>
      </c>
      <c r="E158" s="1">
        <v>64000</v>
      </c>
      <c r="F158" s="1">
        <v>96</v>
      </c>
      <c r="G158" s="1">
        <v>0</v>
      </c>
      <c r="H158" s="1" t="str">
        <f>"96/10/05"</f>
        <v>96/10/05</v>
      </c>
      <c r="I158" s="1" t="str">
        <f>"كيلوگرم"</f>
        <v>كيلوگرم</v>
      </c>
      <c r="J158" s="1" t="str">
        <f>"0000000076"</f>
        <v>0000000076</v>
      </c>
      <c r="K158" s="1" t="str">
        <f>"قير 60/70 - فله"</f>
        <v>قير 60/70 - فله</v>
      </c>
      <c r="L158" s="1">
        <v>100</v>
      </c>
      <c r="M158" s="1" t="str">
        <f>"مخازن قير اصفهان"</f>
        <v>مخازن قير اصفهان</v>
      </c>
      <c r="N158" s="1">
        <v>8903</v>
      </c>
      <c r="O158" s="1">
        <v>50037972</v>
      </c>
      <c r="P158" s="1" t="str">
        <f>"  بنيادمسكن انقلاب اسلامي مازندران"</f>
        <v xml:space="preserve">  بنيادمسكن انقلاب اسلامي مازندران</v>
      </c>
      <c r="Q158" s="1">
        <v>62</v>
      </c>
      <c r="R158" s="1" t="str">
        <f>"فروش داخلي - سازمان بنيادمسكن انقلاب اسلامي"</f>
        <v>فروش داخلي - سازمان بنيادمسكن انقلاب اسلامي</v>
      </c>
      <c r="S158" s="1" t="str">
        <f>"قرارداد فروش"</f>
        <v>قرارداد فروش</v>
      </c>
      <c r="T158" s="1" t="str">
        <f>"ندارد"</f>
        <v>ندارد</v>
      </c>
      <c r="U158" s="1" t="str">
        <f>"شيشه بر كريم(1841016)"</f>
        <v>شيشه بر كريم(1841016)</v>
      </c>
      <c r="V158" s="1">
        <v>966200489</v>
      </c>
      <c r="W158" s="1">
        <v>966200489</v>
      </c>
      <c r="X158" s="1" t="str">
        <f>"1396535037"</f>
        <v>1396535037</v>
      </c>
      <c r="Y158" s="1" t="str">
        <f>"96/10/05"</f>
        <v>96/10/05</v>
      </c>
      <c r="Z158" s="1" t="str">
        <f>"43389/د"</f>
        <v>43389/د</v>
      </c>
      <c r="AA158" s="1" t="str">
        <f>"بنيادمسكن انقلاب اسلامي"</f>
        <v>بنيادمسكن انقلاب اسلامي</v>
      </c>
      <c r="AB158" s="1" t="str">
        <f>"96/10/02"</f>
        <v>96/10/02</v>
      </c>
      <c r="AC158" s="1" t="str">
        <f>"استان مازندران"</f>
        <v>استان مازندران</v>
      </c>
      <c r="AD158" s="1" t="str">
        <f>"96/10/05"</f>
        <v>96/10/05</v>
      </c>
      <c r="AE158" s="1" t="str">
        <f>"اختتام"</f>
        <v>اختتام</v>
      </c>
      <c r="AF158" s="1" t="str">
        <f>""</f>
        <v/>
      </c>
      <c r="AG158" s="1" t="str">
        <f>""</f>
        <v/>
      </c>
      <c r="AH158" s="1" t="str">
        <f>""</f>
        <v/>
      </c>
      <c r="AI158" s="1" t="str">
        <f>""</f>
        <v/>
      </c>
      <c r="AJ158" s="1" t="str">
        <f>""</f>
        <v/>
      </c>
      <c r="AK158" s="1" t="str">
        <f>""</f>
        <v/>
      </c>
    </row>
    <row r="159" spans="1:37">
      <c r="A159" s="1">
        <v>51897</v>
      </c>
      <c r="B159" s="1">
        <v>962000236</v>
      </c>
      <c r="C159" s="1" t="str">
        <f>"تخليه -يزد-روستاي چم -كارخانه آسفالت سازمان همياري شهرداري"</f>
        <v>تخليه -يزد-روستاي چم -كارخانه آسفالت سازمان همياري شهرداري</v>
      </c>
      <c r="D159" s="1">
        <v>9113</v>
      </c>
      <c r="E159" s="1">
        <v>51897</v>
      </c>
      <c r="F159" s="1">
        <v>96</v>
      </c>
      <c r="G159" s="1">
        <v>0</v>
      </c>
      <c r="H159" s="1" t="str">
        <f>"96/09/07"</f>
        <v>96/09/07</v>
      </c>
      <c r="I159" s="1" t="str">
        <f>"كيلوگرم"</f>
        <v>كيلوگرم</v>
      </c>
      <c r="J159" s="1" t="str">
        <f>"0000000076"</f>
        <v>0000000076</v>
      </c>
      <c r="K159" s="1" t="str">
        <f>"قير 60/70 - فله"</f>
        <v>قير 60/70 - فله</v>
      </c>
      <c r="L159" s="1">
        <v>100</v>
      </c>
      <c r="M159" s="1" t="str">
        <f>"مخازن قير اصفهان"</f>
        <v>مخازن قير اصفهان</v>
      </c>
      <c r="N159" s="1">
        <v>9654</v>
      </c>
      <c r="O159" s="1">
        <v>50037278</v>
      </c>
      <c r="P159" s="1" t="str">
        <f>"  شهرداري خضرآباد"</f>
        <v xml:space="preserve">  شهرداري خضرآباد</v>
      </c>
      <c r="Q159" s="1">
        <v>20</v>
      </c>
      <c r="R159" s="1" t="str">
        <f>"فروش داخلي - سازمان شهرداري ها و دهياري هاي كشور"</f>
        <v>فروش داخلي - سازمان شهرداري ها و دهياري هاي كشور</v>
      </c>
      <c r="S159" s="1" t="str">
        <f>"قرارداد فروش"</f>
        <v>قرارداد فروش</v>
      </c>
      <c r="T159" s="1" t="str">
        <f>"ندارد"</f>
        <v>ندارد</v>
      </c>
      <c r="U159" s="1" t="str">
        <f>"تعاوني جم گستر (1001 ج 89)"</f>
        <v>تعاوني جم گستر (1001 ج 89)</v>
      </c>
      <c r="V159" s="1">
        <v>962000236</v>
      </c>
      <c r="W159" s="1">
        <v>962000236</v>
      </c>
      <c r="X159" s="1" t="str">
        <f>"1396514467"</f>
        <v>1396514467</v>
      </c>
      <c r="Y159" s="1" t="str">
        <f>"96/09/07"</f>
        <v>96/09/07</v>
      </c>
      <c r="Z159" s="1" t="str">
        <f>"36645مرحله دوم"</f>
        <v>36645مرحله دوم</v>
      </c>
      <c r="AA159" s="1" t="str">
        <f>"شهرداريها"</f>
        <v>شهرداريها</v>
      </c>
      <c r="AB159" s="1" t="str">
        <f>"96/09/01"</f>
        <v>96/09/01</v>
      </c>
      <c r="AC159" s="1" t="str">
        <f>"استان يزد"</f>
        <v>استان يزد</v>
      </c>
      <c r="AD159" s="1" t="str">
        <f>"96/07/03"</f>
        <v>96/07/03</v>
      </c>
      <c r="AE159" s="1" t="str">
        <f>"اختتام"</f>
        <v>اختتام</v>
      </c>
      <c r="AF159" s="1" t="str">
        <f>""</f>
        <v/>
      </c>
      <c r="AG159" s="1" t="str">
        <f>""</f>
        <v/>
      </c>
      <c r="AH159" s="1" t="str">
        <f>""</f>
        <v/>
      </c>
      <c r="AI159" s="1" t="str">
        <f>""</f>
        <v/>
      </c>
      <c r="AJ159" s="1" t="str">
        <f>""</f>
        <v/>
      </c>
      <c r="AK159" s="1" t="str">
        <f>""</f>
        <v/>
      </c>
    </row>
    <row r="160" spans="1:37">
      <c r="A160" s="1">
        <v>97217</v>
      </c>
      <c r="B160" s="1">
        <v>962000092</v>
      </c>
      <c r="C160" s="1" t="str">
        <f>"تخليه اصفهان كيلومتركاشان جاده قمصر"</f>
        <v>تخليه اصفهان كيلومتركاشان جاده قمصر</v>
      </c>
      <c r="D160" s="1">
        <v>9113</v>
      </c>
      <c r="E160" s="1">
        <v>97217</v>
      </c>
      <c r="F160" s="1">
        <v>96</v>
      </c>
      <c r="G160" s="1">
        <v>0</v>
      </c>
      <c r="H160" s="1" t="str">
        <f>"96/07/03"</f>
        <v>96/07/03</v>
      </c>
      <c r="I160" s="1" t="str">
        <f>"كيلوگرم"</f>
        <v>كيلوگرم</v>
      </c>
      <c r="J160" s="1" t="str">
        <f>"0000000076"</f>
        <v>0000000076</v>
      </c>
      <c r="K160" s="1" t="str">
        <f>"قير 60/70 - فله"</f>
        <v>قير 60/70 - فله</v>
      </c>
      <c r="L160" s="1">
        <v>100</v>
      </c>
      <c r="M160" s="1" t="str">
        <f>"مخازن قير اصفهان"</f>
        <v>مخازن قير اصفهان</v>
      </c>
      <c r="N160" s="1">
        <v>9177</v>
      </c>
      <c r="O160" s="1">
        <v>50036246</v>
      </c>
      <c r="P160" s="1" t="str">
        <f>"  شهرداري نياسر"</f>
        <v xml:space="preserve">  شهرداري نياسر</v>
      </c>
      <c r="Q160" s="1">
        <v>20</v>
      </c>
      <c r="R160" s="1" t="str">
        <f>"فروش داخلي - سازمان شهرداري ها و دهياري هاي كشور"</f>
        <v>فروش داخلي - سازمان شهرداري ها و دهياري هاي كشور</v>
      </c>
      <c r="S160" s="1" t="str">
        <f>"قرارداد فروش"</f>
        <v>قرارداد فروش</v>
      </c>
      <c r="T160" s="1" t="str">
        <f>"ندارد"</f>
        <v>ندارد</v>
      </c>
      <c r="U160" s="1" t="str">
        <f>"تعاوني جم گستر (1001 ج 89)"</f>
        <v>تعاوني جم گستر (1001 ج 89)</v>
      </c>
      <c r="V160" s="1">
        <v>962000092</v>
      </c>
      <c r="W160" s="1">
        <v>962000092</v>
      </c>
      <c r="X160" s="1" t="str">
        <f>"1396514467"</f>
        <v>1396514467</v>
      </c>
      <c r="Y160" s="1" t="str">
        <f>"96/07/03"</f>
        <v>96/07/03</v>
      </c>
      <c r="Z160" s="1" t="str">
        <f>"26622مرحله اول"</f>
        <v>26622مرحله اول</v>
      </c>
      <c r="AA160" s="1" t="str">
        <f>"شهرداريها"</f>
        <v>شهرداريها</v>
      </c>
      <c r="AB160" s="1" t="str">
        <f>"96/06/29"</f>
        <v>96/06/29</v>
      </c>
      <c r="AC160" s="1" t="str">
        <f>"استان اصفهان"</f>
        <v>استان اصفهان</v>
      </c>
      <c r="AD160" s="1" t="str">
        <f>"96/07/03"</f>
        <v>96/07/03</v>
      </c>
      <c r="AE160" s="1" t="str">
        <f>"اختتام"</f>
        <v>اختتام</v>
      </c>
      <c r="AF160" s="1" t="str">
        <f>""</f>
        <v/>
      </c>
      <c r="AG160" s="1" t="str">
        <f>""</f>
        <v/>
      </c>
      <c r="AH160" s="1" t="str">
        <f>""</f>
        <v/>
      </c>
      <c r="AI160" s="1" t="str">
        <f>""</f>
        <v/>
      </c>
      <c r="AJ160" s="1" t="str">
        <f>""</f>
        <v/>
      </c>
      <c r="AK160" s="1" t="str">
        <f>""</f>
        <v/>
      </c>
    </row>
    <row r="161" spans="1:37">
      <c r="A161" s="1">
        <v>168000</v>
      </c>
      <c r="B161" s="1">
        <v>966200672</v>
      </c>
      <c r="C161" s="1" t="str">
        <f>"تخليه - کرمان-جيرفت-کيلومتر 12 جاده کهنوج کارخانه شرکت ره ياد سازه جنوب"</f>
        <v>تخليه - کرمان-جيرفت-کيلومتر 12 جاده کهنوج کارخانه شرکت ره ياد سازه جنوب</v>
      </c>
      <c r="D161" s="1">
        <v>13350</v>
      </c>
      <c r="E161" s="1">
        <v>165580</v>
      </c>
      <c r="F161" s="1">
        <v>96</v>
      </c>
      <c r="G161" s="1">
        <v>2420</v>
      </c>
      <c r="H161" s="1" t="str">
        <f>"96/12/16"</f>
        <v>96/12/16</v>
      </c>
      <c r="I161" s="1" t="str">
        <f>"كيلوگرم"</f>
        <v>كيلوگرم</v>
      </c>
      <c r="J161" s="1" t="str">
        <f>"0000000076"</f>
        <v>0000000076</v>
      </c>
      <c r="K161" s="1" t="str">
        <f>"قير 60/70 - فله"</f>
        <v>قير 60/70 - فله</v>
      </c>
      <c r="L161" s="1">
        <v>100</v>
      </c>
      <c r="M161" s="1" t="str">
        <f>"مخازن قير اصفهان"</f>
        <v>مخازن قير اصفهان</v>
      </c>
      <c r="N161" s="1">
        <v>9424</v>
      </c>
      <c r="O161" s="1">
        <v>50038827</v>
      </c>
      <c r="P161" s="1" t="str">
        <f>"  راه وساختمان ره يادسازه جنوب"</f>
        <v xml:space="preserve">  راه وساختمان ره يادسازه جنوب</v>
      </c>
      <c r="Q161" s="1">
        <v>62</v>
      </c>
      <c r="R161" s="1" t="str">
        <f>"فروش داخلي - سازمان بنيادمسكن انقلاب اسلامي"</f>
        <v>فروش داخلي - سازمان بنيادمسكن انقلاب اسلامي</v>
      </c>
      <c r="S161" s="1" t="str">
        <f>"قرارداد فروش"</f>
        <v>قرارداد فروش</v>
      </c>
      <c r="T161" s="1" t="str">
        <f>"ندارد"</f>
        <v>ندارد</v>
      </c>
      <c r="U161" s="1" t="str">
        <f>"حاصليان ترابرجنوب مرتضي حاصلي (4844006)"</f>
        <v>حاصليان ترابرجنوب مرتضي حاصلي (4844006)</v>
      </c>
      <c r="V161" s="1">
        <v>966200672</v>
      </c>
      <c r="W161" s="1">
        <v>966200672</v>
      </c>
      <c r="X161" s="1" t="str">
        <f>"1396553438"</f>
        <v>1396553438</v>
      </c>
      <c r="Y161" s="1" t="str">
        <f>"96/12/16"</f>
        <v>96/12/16</v>
      </c>
      <c r="Z161" s="1" t="str">
        <f>"57275/د"</f>
        <v>57275/د</v>
      </c>
      <c r="AA161" s="1" t="str">
        <f>"بنيادمسكن انقلاب اسلامي"</f>
        <v>بنيادمسكن انقلاب اسلامي</v>
      </c>
      <c r="AB161" s="1" t="str">
        <f>"96/12/15"</f>
        <v>96/12/15</v>
      </c>
      <c r="AC161" s="1" t="str">
        <f>"استان كرمان"</f>
        <v>استان كرمان</v>
      </c>
      <c r="AD161" s="1" t="str">
        <f>"96/12/16"</f>
        <v>96/12/16</v>
      </c>
      <c r="AE161" s="1" t="str">
        <f>"اختتام"</f>
        <v>اختتام</v>
      </c>
      <c r="AF161" s="1" t="str">
        <f>""</f>
        <v/>
      </c>
      <c r="AG161" s="1" t="str">
        <f>""</f>
        <v/>
      </c>
      <c r="AH161" s="1" t="str">
        <f>""</f>
        <v/>
      </c>
      <c r="AI161" s="1" t="str">
        <f>""</f>
        <v/>
      </c>
      <c r="AJ161" s="1" t="str">
        <f>""</f>
        <v/>
      </c>
      <c r="AK161" s="1" t="str">
        <f>""</f>
        <v/>
      </c>
    </row>
    <row r="162" spans="1:37">
      <c r="A162" s="1">
        <v>70000</v>
      </c>
      <c r="B162" s="1">
        <v>966200109</v>
      </c>
      <c r="C162" s="1" t="str">
        <f>"تخليه-نطنز- جاده گل آباد- مقابل ايستگاه راه آهن ابيازن"</f>
        <v>تخليه-نطنز- جاده گل آباد- مقابل ايستگاه راه آهن ابيازن</v>
      </c>
      <c r="D162" s="1">
        <v>9204</v>
      </c>
      <c r="E162" s="1">
        <v>69200</v>
      </c>
      <c r="F162" s="1">
        <v>96</v>
      </c>
      <c r="G162" s="1">
        <v>800</v>
      </c>
      <c r="H162" s="1" t="str">
        <f>"96/03/09"</f>
        <v>96/03/09</v>
      </c>
      <c r="I162" s="1" t="str">
        <f>"كيلوگرم"</f>
        <v>كيلوگرم</v>
      </c>
      <c r="J162" s="1" t="str">
        <f>"0000000076"</f>
        <v>0000000076</v>
      </c>
      <c r="K162" s="1" t="str">
        <f>"قير 60/70 - فله"</f>
        <v>قير 60/70 - فله</v>
      </c>
      <c r="L162" s="1">
        <v>100</v>
      </c>
      <c r="M162" s="1" t="str">
        <f>"مخازن قير اصفهان"</f>
        <v>مخازن قير اصفهان</v>
      </c>
      <c r="N162" s="1">
        <v>9450</v>
      </c>
      <c r="O162" s="1">
        <v>50034923</v>
      </c>
      <c r="P162" s="1" t="str">
        <f>"  ايران مترو"</f>
        <v xml:space="preserve">  ايران مترو</v>
      </c>
      <c r="Q162" s="1">
        <v>62</v>
      </c>
      <c r="R162" s="1" t="str">
        <f>"فروش داخلي - سازمان بنيادمسكن انقلاب اسلامي"</f>
        <v>فروش داخلي - سازمان بنيادمسكن انقلاب اسلامي</v>
      </c>
      <c r="S162" s="1" t="str">
        <f>"قرارداد فروش"</f>
        <v>قرارداد فروش</v>
      </c>
      <c r="T162" s="1" t="str">
        <f>"ندارد"</f>
        <v>ندارد</v>
      </c>
      <c r="U162" s="1" t="str">
        <f>"معماريان سعيد(1004ج89)"</f>
        <v>معماريان سعيد(1004ج89)</v>
      </c>
      <c r="V162" s="1">
        <v>966200109</v>
      </c>
      <c r="W162" s="1">
        <v>966200109</v>
      </c>
      <c r="X162" s="1" t="str">
        <f>"1396484354"</f>
        <v>1396484354</v>
      </c>
      <c r="Y162" s="1" t="str">
        <f>"96/03/09"</f>
        <v>96/03/09</v>
      </c>
      <c r="Z162" s="1" t="str">
        <f>"9186/د"</f>
        <v>9186/د</v>
      </c>
      <c r="AA162" s="1" t="str">
        <f>"بنيادمسكن انقلاب اسلامي"</f>
        <v>بنيادمسكن انقلاب اسلامي</v>
      </c>
      <c r="AB162" s="1" t="str">
        <f>"96/03/09"</f>
        <v>96/03/09</v>
      </c>
      <c r="AC162" s="1" t="str">
        <f>"استان اصفهان"</f>
        <v>استان اصفهان</v>
      </c>
      <c r="AD162" s="1" t="str">
        <f>"96/03/09"</f>
        <v>96/03/09</v>
      </c>
      <c r="AE162" s="1" t="str">
        <f>"اختتام"</f>
        <v>اختتام</v>
      </c>
      <c r="AF162" s="1" t="str">
        <f>""</f>
        <v/>
      </c>
      <c r="AG162" s="1" t="str">
        <f>""</f>
        <v/>
      </c>
      <c r="AH162" s="1" t="str">
        <f>""</f>
        <v/>
      </c>
      <c r="AI162" s="1" t="str">
        <f>""</f>
        <v/>
      </c>
      <c r="AJ162" s="1" t="str">
        <f>""</f>
        <v/>
      </c>
      <c r="AK162" s="1" t="str">
        <f>""</f>
        <v/>
      </c>
    </row>
    <row r="163" spans="1:37">
      <c r="A163" s="1">
        <v>70000</v>
      </c>
      <c r="B163" s="1">
        <v>966200021</v>
      </c>
      <c r="C163" s="1" t="str">
        <f>"تخليه - اصفهان كيلومتر12جاده علويجه- کارخانه آسفالت اصفهان مترو"</f>
        <v>تخليه - اصفهان كيلومتر12جاده علويجه- کارخانه آسفالت اصفهان مترو</v>
      </c>
      <c r="D163" s="1">
        <v>8198</v>
      </c>
      <c r="E163" s="1">
        <v>69700</v>
      </c>
      <c r="F163" s="1">
        <v>96</v>
      </c>
      <c r="G163" s="1">
        <v>300</v>
      </c>
      <c r="H163" s="1" t="str">
        <f>"96/01/23"</f>
        <v>96/01/23</v>
      </c>
      <c r="I163" s="1" t="str">
        <f>"كيلوگرم"</f>
        <v>كيلوگرم</v>
      </c>
      <c r="J163" s="1" t="str">
        <f>"0000000076"</f>
        <v>0000000076</v>
      </c>
      <c r="K163" s="1" t="str">
        <f>"قير 60/70 - فله"</f>
        <v>قير 60/70 - فله</v>
      </c>
      <c r="L163" s="1">
        <v>100</v>
      </c>
      <c r="M163" s="1" t="str">
        <f>"مخازن قير اصفهان"</f>
        <v>مخازن قير اصفهان</v>
      </c>
      <c r="N163" s="1">
        <v>7038</v>
      </c>
      <c r="O163" s="1">
        <v>50034531</v>
      </c>
      <c r="P163" s="1" t="str">
        <f>"  اصفهان مترو"</f>
        <v xml:space="preserve">  اصفهان مترو</v>
      </c>
      <c r="Q163" s="1">
        <v>62</v>
      </c>
      <c r="R163" s="1" t="str">
        <f>"فروش داخلي - سازمان بنيادمسكن انقلاب اسلامي"</f>
        <v>فروش داخلي - سازمان بنيادمسكن انقلاب اسلامي</v>
      </c>
      <c r="S163" s="1" t="str">
        <f>"قرارداد فروش"</f>
        <v>قرارداد فروش</v>
      </c>
      <c r="T163" s="1" t="str">
        <f>"ندارد"</f>
        <v>ندارد</v>
      </c>
      <c r="U163" s="1" t="str">
        <f>"عزيزي صفر(1006ج 89)"</f>
        <v>عزيزي صفر(1006ج 89)</v>
      </c>
      <c r="V163" s="1">
        <v>966200021</v>
      </c>
      <c r="W163" s="1">
        <v>966200021</v>
      </c>
      <c r="X163" s="1" t="str">
        <f>"1396474034"</f>
        <v>1396474034</v>
      </c>
      <c r="Y163" s="1" t="str">
        <f>"96/01/23"</f>
        <v>96/01/23</v>
      </c>
      <c r="Z163" s="1" t="str">
        <f>"1542/د"</f>
        <v>1542/د</v>
      </c>
      <c r="AA163" s="1" t="str">
        <f>"بنيادمسكن انقلاب اسلامي"</f>
        <v>بنيادمسكن انقلاب اسلامي</v>
      </c>
      <c r="AB163" s="1" t="str">
        <f>"96/01/23"</f>
        <v>96/01/23</v>
      </c>
      <c r="AC163" s="1" t="str">
        <f>"استان اصفهان"</f>
        <v>استان اصفهان</v>
      </c>
      <c r="AD163" s="1" t="str">
        <f>"96/01/23"</f>
        <v>96/01/23</v>
      </c>
      <c r="AE163" s="1" t="str">
        <f>"اختتام"</f>
        <v>اختتام</v>
      </c>
      <c r="AF163" s="1" t="str">
        <f>""</f>
        <v/>
      </c>
      <c r="AG163" s="1" t="str">
        <f>""</f>
        <v/>
      </c>
      <c r="AH163" s="1" t="str">
        <f>""</f>
        <v/>
      </c>
      <c r="AI163" s="1" t="str">
        <f>""</f>
        <v/>
      </c>
      <c r="AJ163" s="1" t="str">
        <f>""</f>
        <v/>
      </c>
      <c r="AK163" s="1" t="str">
        <f>""</f>
        <v/>
      </c>
    </row>
    <row r="164" spans="1:37">
      <c r="A164" s="1">
        <v>123329</v>
      </c>
      <c r="B164" s="1">
        <v>962000109</v>
      </c>
      <c r="C164" s="1" t="str">
        <f>"تخليه -بوشهر-اهرم كارخانه كلات اهرم"</f>
        <v>تخليه -بوشهر-اهرم كارخانه كلات اهرم</v>
      </c>
      <c r="D164" s="1">
        <v>9113</v>
      </c>
      <c r="E164" s="1">
        <v>123329</v>
      </c>
      <c r="F164" s="1">
        <v>96</v>
      </c>
      <c r="G164" s="1">
        <v>0</v>
      </c>
      <c r="H164" s="1" t="str">
        <f>"96/07/03"</f>
        <v>96/07/03</v>
      </c>
      <c r="I164" s="1" t="str">
        <f>"كيلوگرم"</f>
        <v>كيلوگرم</v>
      </c>
      <c r="J164" s="1" t="str">
        <f>"0000000076"</f>
        <v>0000000076</v>
      </c>
      <c r="K164" s="1" t="str">
        <f>"قير 60/70 - فله"</f>
        <v>قير 60/70 - فله</v>
      </c>
      <c r="L164" s="1">
        <v>100</v>
      </c>
      <c r="M164" s="1" t="str">
        <f>"مخازن قير اصفهان"</f>
        <v>مخازن قير اصفهان</v>
      </c>
      <c r="N164" s="1">
        <v>9762</v>
      </c>
      <c r="O164" s="1">
        <v>50036269</v>
      </c>
      <c r="P164" s="1" t="str">
        <f>"  شهرداري چغادك"</f>
        <v xml:space="preserve">  شهرداري چغادك</v>
      </c>
      <c r="Q164" s="1">
        <v>20</v>
      </c>
      <c r="R164" s="1" t="str">
        <f>"فروش داخلي - سازمان شهرداري ها و دهياري هاي كشور"</f>
        <v>فروش داخلي - سازمان شهرداري ها و دهياري هاي كشور</v>
      </c>
      <c r="S164" s="1" t="str">
        <f>"قرارداد فروش"</f>
        <v>قرارداد فروش</v>
      </c>
      <c r="T164" s="1" t="str">
        <f>"ندارد"</f>
        <v>ندارد</v>
      </c>
      <c r="U164" s="1" t="str">
        <f>"تعاوني جم گستر (1001 ج 89)"</f>
        <v>تعاوني جم گستر (1001 ج 89)</v>
      </c>
      <c r="V164" s="1">
        <v>962000109</v>
      </c>
      <c r="W164" s="1">
        <v>962000109</v>
      </c>
      <c r="X164" s="1" t="str">
        <f>"1396514467"</f>
        <v>1396514467</v>
      </c>
      <c r="Y164" s="1" t="str">
        <f>"96/07/03"</f>
        <v>96/07/03</v>
      </c>
      <c r="Z164" s="1" t="str">
        <f>"26856مرحله اول"</f>
        <v>26856مرحله اول</v>
      </c>
      <c r="AA164" s="1" t="str">
        <f>"شهرداريها"</f>
        <v>شهرداريها</v>
      </c>
      <c r="AB164" s="1" t="str">
        <f>"96/06/29"</f>
        <v>96/06/29</v>
      </c>
      <c r="AC164" s="1" t="str">
        <f>"بوشهر"</f>
        <v>بوشهر</v>
      </c>
      <c r="AD164" s="1" t="str">
        <f>"96/07/03"</f>
        <v>96/07/03</v>
      </c>
      <c r="AE164" s="1" t="str">
        <f>"تاييدشده"</f>
        <v>تاييدشده</v>
      </c>
      <c r="AF164" s="1" t="str">
        <f>""</f>
        <v/>
      </c>
      <c r="AG164" s="1" t="str">
        <f>""</f>
        <v/>
      </c>
      <c r="AH164" s="1" t="str">
        <f>""</f>
        <v/>
      </c>
      <c r="AI164" s="1" t="str">
        <f>""</f>
        <v/>
      </c>
      <c r="AJ164" s="1" t="str">
        <f>""</f>
        <v/>
      </c>
      <c r="AK164" s="1" t="str">
        <f>""</f>
        <v/>
      </c>
    </row>
    <row r="165" spans="1:37">
      <c r="A165" s="1">
        <v>65000</v>
      </c>
      <c r="B165" s="1">
        <v>966200490</v>
      </c>
      <c r="C165" s="1" t="str">
        <f>"تخليه-لرستان -دورودكيلومتر12جاده دورود-بروجرد-كارخانه آسفالت راه گستراحسان بروجرد"</f>
        <v>تخليه-لرستان -دورودكيلومتر12جاده دورود-بروجرد-كارخانه آسفالت راه گستراحسان بروجرد</v>
      </c>
      <c r="D165" s="1">
        <v>12850</v>
      </c>
      <c r="E165" s="1">
        <v>65000</v>
      </c>
      <c r="F165" s="1">
        <v>96</v>
      </c>
      <c r="G165" s="1">
        <v>0</v>
      </c>
      <c r="H165" s="1" t="str">
        <f>"96/10/05"</f>
        <v>96/10/05</v>
      </c>
      <c r="I165" s="1" t="str">
        <f>"كيلوگرم"</f>
        <v>كيلوگرم</v>
      </c>
      <c r="J165" s="1" t="str">
        <f>"0000000076"</f>
        <v>0000000076</v>
      </c>
      <c r="K165" s="1" t="str">
        <f>"قير 60/70 - فله"</f>
        <v>قير 60/70 - فله</v>
      </c>
      <c r="L165" s="1">
        <v>100</v>
      </c>
      <c r="M165" s="1" t="str">
        <f>"مخازن قير اصفهان"</f>
        <v>مخازن قير اصفهان</v>
      </c>
      <c r="N165" s="1">
        <v>9480</v>
      </c>
      <c r="O165" s="1">
        <v>50037973</v>
      </c>
      <c r="P165" s="1" t="str">
        <f>"  راه گستراحسان بروجرد"</f>
        <v xml:space="preserve">  راه گستراحسان بروجرد</v>
      </c>
      <c r="Q165" s="1">
        <v>62</v>
      </c>
      <c r="R165" s="1" t="str">
        <f>"فروش داخلي - سازمان بنيادمسكن انقلاب اسلامي"</f>
        <v>فروش داخلي - سازمان بنيادمسكن انقلاب اسلامي</v>
      </c>
      <c r="S165" s="1" t="str">
        <f>"قرارداد فروش"</f>
        <v>قرارداد فروش</v>
      </c>
      <c r="T165" s="1" t="str">
        <f>"ندارد"</f>
        <v>ندارد</v>
      </c>
      <c r="U165" s="1" t="str">
        <f>"ريسماني حسن(1007ج89)"</f>
        <v>ريسماني حسن(1007ج89)</v>
      </c>
      <c r="V165" s="1">
        <v>966200490</v>
      </c>
      <c r="W165" s="1">
        <v>966200490</v>
      </c>
      <c r="X165" s="1" t="str">
        <f>"1396535037"</f>
        <v>1396535037</v>
      </c>
      <c r="Y165" s="1" t="str">
        <f>"96/10/05"</f>
        <v>96/10/05</v>
      </c>
      <c r="Z165" s="1" t="str">
        <f>"43821/د"</f>
        <v>43821/د</v>
      </c>
      <c r="AA165" s="1" t="str">
        <f>"بنيادمسكن انقلاب اسلامي"</f>
        <v>بنيادمسكن انقلاب اسلامي</v>
      </c>
      <c r="AB165" s="1" t="str">
        <f>"96/10/04"</f>
        <v>96/10/04</v>
      </c>
      <c r="AC165" s="1" t="str">
        <f>"لرستان"</f>
        <v>لرستان</v>
      </c>
      <c r="AD165" s="1" t="str">
        <f>"96/10/05"</f>
        <v>96/10/05</v>
      </c>
      <c r="AE165" s="1" t="str">
        <f>"اختتام"</f>
        <v>اختتام</v>
      </c>
      <c r="AF165" s="1" t="str">
        <f>""</f>
        <v/>
      </c>
      <c r="AG165" s="1" t="str">
        <f>""</f>
        <v/>
      </c>
      <c r="AH165" s="1" t="str">
        <f>""</f>
        <v/>
      </c>
      <c r="AI165" s="1" t="str">
        <f>""</f>
        <v/>
      </c>
      <c r="AJ165" s="1" t="str">
        <f>""</f>
        <v/>
      </c>
      <c r="AK165" s="1" t="str">
        <f>""</f>
        <v/>
      </c>
    </row>
    <row r="166" spans="1:37">
      <c r="A166" s="1">
        <v>42995</v>
      </c>
      <c r="B166" s="1">
        <v>962000354</v>
      </c>
      <c r="C166" s="1" t="str">
        <f>"تخليه -كرمان كوهبنان كارخانه آسفالت شهرداري كوهبنان"</f>
        <v>تخليه -كرمان كوهبنان كارخانه آسفالت شهرداري كوهبنان</v>
      </c>
      <c r="D166" s="1">
        <v>12820</v>
      </c>
      <c r="E166" s="1">
        <v>42995</v>
      </c>
      <c r="F166" s="1">
        <v>96</v>
      </c>
      <c r="G166" s="1">
        <v>0</v>
      </c>
      <c r="H166" s="1" t="str">
        <f>"96/09/18"</f>
        <v>96/09/18</v>
      </c>
      <c r="I166" s="1" t="str">
        <f>"كيلوگرم"</f>
        <v>كيلوگرم</v>
      </c>
      <c r="J166" s="1" t="str">
        <f>"0000000076"</f>
        <v>0000000076</v>
      </c>
      <c r="K166" s="1" t="str">
        <f>"قير 60/70 - فله"</f>
        <v>قير 60/70 - فله</v>
      </c>
      <c r="L166" s="1">
        <v>100</v>
      </c>
      <c r="M166" s="1" t="str">
        <f>"مخازن قير اصفهان"</f>
        <v>مخازن قير اصفهان</v>
      </c>
      <c r="N166" s="1">
        <v>9838</v>
      </c>
      <c r="O166" s="1">
        <v>50037612</v>
      </c>
      <c r="P166" s="1" t="str">
        <f>"  شهرداري كوهبنان"</f>
        <v xml:space="preserve">  شهرداري كوهبنان</v>
      </c>
      <c r="Q166" s="1">
        <v>20</v>
      </c>
      <c r="R166" s="1" t="str">
        <f>"فروش داخلي - سازمان شهرداري ها و دهياري هاي كشور"</f>
        <v>فروش داخلي - سازمان شهرداري ها و دهياري هاي كشور</v>
      </c>
      <c r="S166" s="1" t="str">
        <f>"قرارداد فروش"</f>
        <v>قرارداد فروش</v>
      </c>
      <c r="T166" s="1" t="str">
        <f>"ندارد"</f>
        <v>ندارد</v>
      </c>
      <c r="U166" s="1" t="str">
        <f>"تعاوني جم گستر (1001 ج 89)"</f>
        <v>تعاوني جم گستر (1001 ج 89)</v>
      </c>
      <c r="V166" s="1">
        <v>962000354</v>
      </c>
      <c r="W166" s="1">
        <v>962000354</v>
      </c>
      <c r="X166" s="1" t="str">
        <f>"1396529711"</f>
        <v>1396529711</v>
      </c>
      <c r="Y166" s="1" t="str">
        <f>"96/09/18"</f>
        <v>96/09/18</v>
      </c>
      <c r="Z166" s="1" t="str">
        <f>"38593مرحله دوم"</f>
        <v>38593مرحله دوم</v>
      </c>
      <c r="AA166" s="1" t="str">
        <f>"شهرداريها"</f>
        <v>شهرداريها</v>
      </c>
      <c r="AB166" s="1" t="str">
        <f>"96/09/11"</f>
        <v>96/09/11</v>
      </c>
      <c r="AC166" s="1" t="str">
        <f>"استان كرمان"</f>
        <v>استان كرمان</v>
      </c>
      <c r="AD166" s="1" t="str">
        <f>"96/09/13"</f>
        <v>96/09/13</v>
      </c>
      <c r="AE166" s="1" t="str">
        <f>"اختتام"</f>
        <v>اختتام</v>
      </c>
      <c r="AF166" s="1" t="str">
        <f>""</f>
        <v/>
      </c>
      <c r="AG166" s="1" t="str">
        <f>""</f>
        <v/>
      </c>
      <c r="AH166" s="1" t="str">
        <f>""</f>
        <v/>
      </c>
      <c r="AI166" s="1" t="str">
        <f>""</f>
        <v/>
      </c>
      <c r="AJ166" s="1" t="str">
        <f>""</f>
        <v/>
      </c>
      <c r="AK166" s="1" t="str">
        <f>""</f>
        <v/>
      </c>
    </row>
    <row r="167" spans="1:37">
      <c r="A167" s="1">
        <v>54614</v>
      </c>
      <c r="B167" s="1">
        <v>962000342</v>
      </c>
      <c r="C167" s="1" t="str">
        <f>"تخليه كرمان راور كارخانه آسفالت شركت راهداران راور"</f>
        <v>تخليه كرمان راور كارخانه آسفالت شركت راهداران راور</v>
      </c>
      <c r="D167" s="1">
        <v>12820</v>
      </c>
      <c r="E167" s="1">
        <v>54614</v>
      </c>
      <c r="F167" s="1">
        <v>96</v>
      </c>
      <c r="G167" s="1">
        <v>0</v>
      </c>
      <c r="H167" s="1" t="str">
        <f>"96/09/18"</f>
        <v>96/09/18</v>
      </c>
      <c r="I167" s="1" t="str">
        <f>"كيلوگرم"</f>
        <v>كيلوگرم</v>
      </c>
      <c r="J167" s="1" t="str">
        <f>"0000000076"</f>
        <v>0000000076</v>
      </c>
      <c r="K167" s="1" t="str">
        <f>"قير 60/70 - فله"</f>
        <v>قير 60/70 - فله</v>
      </c>
      <c r="L167" s="1">
        <v>100</v>
      </c>
      <c r="M167" s="1" t="str">
        <f>"مخازن قير اصفهان"</f>
        <v>مخازن قير اصفهان</v>
      </c>
      <c r="N167" s="1">
        <v>9841</v>
      </c>
      <c r="O167" s="1">
        <v>50037595</v>
      </c>
      <c r="P167" s="1" t="str">
        <f>"  شهرداري راور"</f>
        <v xml:space="preserve">  شهرداري راور</v>
      </c>
      <c r="Q167" s="1">
        <v>20</v>
      </c>
      <c r="R167" s="1" t="str">
        <f>"فروش داخلي - سازمان شهرداري ها و دهياري هاي كشور"</f>
        <v>فروش داخلي - سازمان شهرداري ها و دهياري هاي كشور</v>
      </c>
      <c r="S167" s="1" t="str">
        <f>"قرارداد فروش"</f>
        <v>قرارداد فروش</v>
      </c>
      <c r="T167" s="1" t="str">
        <f>"ندارد"</f>
        <v>ندارد</v>
      </c>
      <c r="U167" s="1" t="str">
        <f>"تعاوني جم گستر (1001 ج 89)"</f>
        <v>تعاوني جم گستر (1001 ج 89)</v>
      </c>
      <c r="V167" s="1">
        <v>962000342</v>
      </c>
      <c r="W167" s="1">
        <v>962000342</v>
      </c>
      <c r="X167" s="1" t="str">
        <f>"1396529711"</f>
        <v>1396529711</v>
      </c>
      <c r="Y167" s="1" t="str">
        <f>"96/09/18"</f>
        <v>96/09/18</v>
      </c>
      <c r="Z167" s="1" t="str">
        <f>"38580مرحله دوم"</f>
        <v>38580مرحله دوم</v>
      </c>
      <c r="AA167" s="1" t="str">
        <f>"شهرداريها"</f>
        <v>شهرداريها</v>
      </c>
      <c r="AB167" s="1" t="str">
        <f>"96/09/11"</f>
        <v>96/09/11</v>
      </c>
      <c r="AC167" s="1" t="str">
        <f>"استان كرمان"</f>
        <v>استان كرمان</v>
      </c>
      <c r="AD167" s="1" t="str">
        <f>"96/09/13"</f>
        <v>96/09/13</v>
      </c>
      <c r="AE167" s="1" t="str">
        <f>"تاييدشده"</f>
        <v>تاييدشده</v>
      </c>
      <c r="AF167" s="1" t="str">
        <f>""</f>
        <v/>
      </c>
      <c r="AG167" s="1" t="str">
        <f>""</f>
        <v/>
      </c>
      <c r="AH167" s="1" t="str">
        <f>""</f>
        <v/>
      </c>
      <c r="AI167" s="1" t="str">
        <f>""</f>
        <v/>
      </c>
      <c r="AJ167" s="1" t="str">
        <f>""</f>
        <v/>
      </c>
      <c r="AK167" s="1" t="str">
        <f>""</f>
        <v/>
      </c>
    </row>
    <row r="168" spans="1:37">
      <c r="A168" s="1">
        <v>44708</v>
      </c>
      <c r="B168" s="1">
        <v>962000449</v>
      </c>
      <c r="C168" s="1" t="str">
        <f>"تخليه -اصفهان -جاده سيمان سپاهان -منطقه صنعتي اشترجان كارخانه آسفالت راه آژند"</f>
        <v>تخليه -اصفهان -جاده سيمان سپاهان -منطقه صنعتي اشترجان كارخانه آسفالت راه آژند</v>
      </c>
      <c r="D168" s="1">
        <v>12820</v>
      </c>
      <c r="E168" s="1">
        <v>43690</v>
      </c>
      <c r="F168" s="1">
        <v>96</v>
      </c>
      <c r="G168" s="1">
        <v>1018</v>
      </c>
      <c r="H168" s="1" t="str">
        <f>"96/09/20"</f>
        <v>96/09/20</v>
      </c>
      <c r="I168" s="1" t="str">
        <f>"كيلوگرم"</f>
        <v>كيلوگرم</v>
      </c>
      <c r="J168" s="1" t="str">
        <f>"0000000076"</f>
        <v>0000000076</v>
      </c>
      <c r="K168" s="1" t="str">
        <f>"قير 60/70 - فله"</f>
        <v>قير 60/70 - فله</v>
      </c>
      <c r="L168" s="1">
        <v>100</v>
      </c>
      <c r="M168" s="1" t="str">
        <f>"مخازن قير اصفهان"</f>
        <v>مخازن قير اصفهان</v>
      </c>
      <c r="N168" s="1">
        <v>9526</v>
      </c>
      <c r="O168" s="1">
        <v>50037771</v>
      </c>
      <c r="P168" s="1" t="str">
        <f>"  شهرداري ابريشم"</f>
        <v xml:space="preserve">  شهرداري ابريشم</v>
      </c>
      <c r="Q168" s="1">
        <v>20</v>
      </c>
      <c r="R168" s="1" t="str">
        <f>"فروش داخلي - سازمان شهرداري ها و دهياري هاي كشور"</f>
        <v>فروش داخلي - سازمان شهرداري ها و دهياري هاي كشور</v>
      </c>
      <c r="S168" s="1" t="str">
        <f>"قرارداد فروش"</f>
        <v>قرارداد فروش</v>
      </c>
      <c r="T168" s="1" t="str">
        <f>"ندارد"</f>
        <v>ندارد</v>
      </c>
      <c r="U168" s="1" t="str">
        <f>"تعاوني جم گستر (1001 ج 89)"</f>
        <v>تعاوني جم گستر (1001 ج 89)</v>
      </c>
      <c r="V168" s="1">
        <v>962000449</v>
      </c>
      <c r="W168" s="1">
        <v>962000449</v>
      </c>
      <c r="X168" s="1" t="str">
        <f>"1396529711"</f>
        <v>1396529711</v>
      </c>
      <c r="Y168" s="1" t="str">
        <f>"96/09/20"</f>
        <v>96/09/20</v>
      </c>
      <c r="Z168" s="1" t="str">
        <f>"37102مرحله دوم"</f>
        <v>37102مرحله دوم</v>
      </c>
      <c r="AA168" s="1" t="str">
        <f>"شهرداريها"</f>
        <v>شهرداريها</v>
      </c>
      <c r="AB168" s="1" t="str">
        <f>"96/09/04"</f>
        <v>96/09/04</v>
      </c>
      <c r="AC168" s="1" t="str">
        <f>"استان اصفهان"</f>
        <v>استان اصفهان</v>
      </c>
      <c r="AD168" s="1" t="str">
        <f>"96/09/13"</f>
        <v>96/09/13</v>
      </c>
      <c r="AE168" s="1" t="str">
        <f>"تاييدشده"</f>
        <v>تاييدشده</v>
      </c>
      <c r="AF168" s="1" t="str">
        <f>""</f>
        <v/>
      </c>
      <c r="AG168" s="1" t="str">
        <f>""</f>
        <v/>
      </c>
      <c r="AH168" s="1" t="str">
        <f>""</f>
        <v/>
      </c>
      <c r="AI168" s="1" t="str">
        <f>""</f>
        <v/>
      </c>
      <c r="AJ168" s="1" t="str">
        <f>""</f>
        <v/>
      </c>
      <c r="AK168" s="1" t="str">
        <f>""</f>
        <v/>
      </c>
    </row>
    <row r="169" spans="1:37">
      <c r="A169" s="1">
        <v>101988</v>
      </c>
      <c r="B169" s="1">
        <v>962000037</v>
      </c>
      <c r="C169" s="1" t="str">
        <f>"تخليه اصفهان فريدن دامنه كيلومتر6جاده گاوداري عبداللهي شركت اعتمادبتن پرتيكان"</f>
        <v>تخليه اصفهان فريدن دامنه كيلومتر6جاده گاوداري عبداللهي شركت اعتمادبتن پرتيكان</v>
      </c>
      <c r="D169" s="1">
        <v>9113</v>
      </c>
      <c r="E169" s="1">
        <v>101988</v>
      </c>
      <c r="F169" s="1">
        <v>96</v>
      </c>
      <c r="G169" s="1">
        <v>0</v>
      </c>
      <c r="H169" s="1" t="str">
        <f>"96/07/03"</f>
        <v>96/07/03</v>
      </c>
      <c r="I169" s="1" t="str">
        <f>"كيلوگرم"</f>
        <v>كيلوگرم</v>
      </c>
      <c r="J169" s="1" t="str">
        <f>"0000000076"</f>
        <v>0000000076</v>
      </c>
      <c r="K169" s="1" t="str">
        <f>"قير 60/70 - فله"</f>
        <v>قير 60/70 - فله</v>
      </c>
      <c r="L169" s="1">
        <v>100</v>
      </c>
      <c r="M169" s="1" t="str">
        <f>"مخازن قير اصفهان"</f>
        <v>مخازن قير اصفهان</v>
      </c>
      <c r="N169" s="1">
        <v>9308</v>
      </c>
      <c r="O169" s="1">
        <v>50036183</v>
      </c>
      <c r="P169" s="1" t="str">
        <f>"  شهرداري دامنه"</f>
        <v xml:space="preserve">  شهرداري دامنه</v>
      </c>
      <c r="Q169" s="1">
        <v>20</v>
      </c>
      <c r="R169" s="1" t="str">
        <f>"فروش داخلي - سازمان شهرداري ها و دهياري هاي كشور"</f>
        <v>فروش داخلي - سازمان شهرداري ها و دهياري هاي كشور</v>
      </c>
      <c r="S169" s="1" t="str">
        <f>"قرارداد فروش"</f>
        <v>قرارداد فروش</v>
      </c>
      <c r="T169" s="1" t="str">
        <f>"ندارد"</f>
        <v>ندارد</v>
      </c>
      <c r="U169" s="1" t="str">
        <f>"تعاوني جم گستر (1001 ج 89)"</f>
        <v>تعاوني جم گستر (1001 ج 89)</v>
      </c>
      <c r="V169" s="1">
        <v>962000037</v>
      </c>
      <c r="W169" s="1">
        <v>962000037</v>
      </c>
      <c r="X169" s="1" t="str">
        <f>"1396514467"</f>
        <v>1396514467</v>
      </c>
      <c r="Y169" s="1" t="str">
        <f>"96/07/03"</f>
        <v>96/07/03</v>
      </c>
      <c r="Z169" s="1" t="str">
        <f>"26811مرحله اول"</f>
        <v>26811مرحله اول</v>
      </c>
      <c r="AA169" s="1" t="str">
        <f>"شهرداريها"</f>
        <v>شهرداريها</v>
      </c>
      <c r="AB169" s="1" t="str">
        <f>"96/06/29"</f>
        <v>96/06/29</v>
      </c>
      <c r="AC169" s="1" t="str">
        <f>"استان اصفهان"</f>
        <v>استان اصفهان</v>
      </c>
      <c r="AD169" s="1" t="str">
        <f>"96/07/03"</f>
        <v>96/07/03</v>
      </c>
      <c r="AE169" s="1" t="str">
        <f>"اختتام"</f>
        <v>اختتام</v>
      </c>
      <c r="AF169" s="1" t="str">
        <f>""</f>
        <v/>
      </c>
      <c r="AG169" s="1" t="str">
        <f>""</f>
        <v/>
      </c>
      <c r="AH169" s="1" t="str">
        <f>""</f>
        <v/>
      </c>
      <c r="AI169" s="1" t="str">
        <f>""</f>
        <v/>
      </c>
      <c r="AJ169" s="1" t="str">
        <f>""</f>
        <v/>
      </c>
      <c r="AK169" s="1" t="str">
        <f>""</f>
        <v/>
      </c>
    </row>
    <row r="170" spans="1:37">
      <c r="A170" s="1">
        <v>16000</v>
      </c>
      <c r="B170" s="1">
        <v>966200551</v>
      </c>
      <c r="C170" s="1" t="str">
        <f>"تخليه -لرستان محورخرم آباد-كوهدشت -پل كشكان -نورآباد-شركت آبادگران راه خرم"</f>
        <v>تخليه -لرستان محورخرم آباد-كوهدشت -پل كشكان -نورآباد-شركت آبادگران راه خرم</v>
      </c>
      <c r="D170" s="1">
        <v>13200</v>
      </c>
      <c r="E170" s="1">
        <v>15340</v>
      </c>
      <c r="F170" s="1">
        <v>96</v>
      </c>
      <c r="G170" s="1">
        <v>660</v>
      </c>
      <c r="H170" s="1" t="str">
        <f>"96/11/14"</f>
        <v>96/11/14</v>
      </c>
      <c r="I170" s="1" t="str">
        <f>"كيلوگرم"</f>
        <v>كيلوگرم</v>
      </c>
      <c r="J170" s="1" t="str">
        <f>"0000000076"</f>
        <v>0000000076</v>
      </c>
      <c r="K170" s="1" t="str">
        <f>"قير 60/70 - فله"</f>
        <v>قير 60/70 - فله</v>
      </c>
      <c r="L170" s="1">
        <v>100</v>
      </c>
      <c r="M170" s="1" t="str">
        <f>"مخازن قير اصفهان"</f>
        <v>مخازن قير اصفهان</v>
      </c>
      <c r="N170" s="1">
        <v>9527</v>
      </c>
      <c r="O170" s="1">
        <v>50038356</v>
      </c>
      <c r="P170" s="1" t="str">
        <f>"  آبادگران راه خرم"</f>
        <v xml:space="preserve">  آبادگران راه خرم</v>
      </c>
      <c r="Q170" s="1">
        <v>62</v>
      </c>
      <c r="R170" s="1" t="str">
        <f>"فروش داخلي - سازمان بنيادمسكن انقلاب اسلامي"</f>
        <v>فروش داخلي - سازمان بنيادمسكن انقلاب اسلامي</v>
      </c>
      <c r="S170" s="1" t="str">
        <f>"قرارداد فروش"</f>
        <v>قرارداد فروش</v>
      </c>
      <c r="T170" s="1" t="str">
        <f>"ندارد"</f>
        <v>ندارد</v>
      </c>
      <c r="U170" s="1" t="str">
        <f>"بستاني محسن (2882039)"</f>
        <v>بستاني محسن (2882039)</v>
      </c>
      <c r="V170" s="1">
        <v>966200551</v>
      </c>
      <c r="W170" s="1">
        <v>966200551</v>
      </c>
      <c r="X170" s="1" t="str">
        <f>"1396545121"</f>
        <v>1396545121</v>
      </c>
      <c r="Y170" s="1" t="str">
        <f>"96/11/14"</f>
        <v>96/11/14</v>
      </c>
      <c r="Z170" s="1" t="str">
        <f>"50726/د"</f>
        <v>50726/د</v>
      </c>
      <c r="AA170" s="1" t="str">
        <f>"بنيادمسكن انقلاب اسلامي"</f>
        <v>بنيادمسكن انقلاب اسلامي</v>
      </c>
      <c r="AB170" s="1" t="str">
        <f>"96/11/11"</f>
        <v>96/11/11</v>
      </c>
      <c r="AC170" s="1" t="str">
        <f>"استان كرمان"</f>
        <v>استان كرمان</v>
      </c>
      <c r="AD170" s="1" t="str">
        <f>"96/11/14"</f>
        <v>96/11/14</v>
      </c>
      <c r="AE170" s="1" t="str">
        <f>"اختتام"</f>
        <v>اختتام</v>
      </c>
      <c r="AF170" s="1" t="str">
        <f>""</f>
        <v/>
      </c>
      <c r="AG170" s="1" t="str">
        <f>""</f>
        <v/>
      </c>
      <c r="AH170" s="1" t="str">
        <f>""</f>
        <v/>
      </c>
      <c r="AI170" s="1" t="str">
        <f>""</f>
        <v/>
      </c>
      <c r="AJ170" s="1" t="str">
        <f>""</f>
        <v/>
      </c>
      <c r="AK170" s="1" t="str">
        <f>""</f>
        <v/>
      </c>
    </row>
    <row r="171" spans="1:37">
      <c r="A171" s="1">
        <v>150000</v>
      </c>
      <c r="B171" s="1">
        <v>961100058</v>
      </c>
      <c r="C171" s="1" t="str">
        <f>"تخليه -اصفهان -كيلومتر5جاده اصفهان -جرقويه -شركت ثمين راه صفاهان"</f>
        <v>تخليه -اصفهان -كيلومتر5جاده اصفهان -جرقويه -شركت ثمين راه صفاهان</v>
      </c>
      <c r="D171" s="1">
        <v>8954</v>
      </c>
      <c r="E171" s="1">
        <v>148240</v>
      </c>
      <c r="F171" s="1">
        <v>96</v>
      </c>
      <c r="G171" s="1">
        <v>1760</v>
      </c>
      <c r="H171" s="1" t="str">
        <f>"96/06/07"</f>
        <v>96/06/07</v>
      </c>
      <c r="I171" s="1" t="str">
        <f>"كيلوگرم"</f>
        <v>كيلوگرم</v>
      </c>
      <c r="J171" s="1" t="str">
        <f>"0000000076"</f>
        <v>0000000076</v>
      </c>
      <c r="K171" s="1" t="str">
        <f>"قير 60/70 - فله"</f>
        <v>قير 60/70 - فله</v>
      </c>
      <c r="L171" s="1">
        <v>100</v>
      </c>
      <c r="M171" s="1" t="str">
        <f>"مخازن قير اصفهان"</f>
        <v>مخازن قير اصفهان</v>
      </c>
      <c r="N171" s="1">
        <v>9345</v>
      </c>
      <c r="O171" s="1">
        <v>50035851</v>
      </c>
      <c r="P171" s="1" t="str">
        <f>"  ثمين راه صفاهان"</f>
        <v xml:space="preserve">  ثمين راه صفاهان</v>
      </c>
      <c r="Q171" s="1">
        <v>11</v>
      </c>
      <c r="R171" s="1" t="str">
        <f>"فروش داخلي تهران - بورس"</f>
        <v>فروش داخلي تهران - بورس</v>
      </c>
      <c r="S171" s="1" t="str">
        <f>"قرارداد فروش"</f>
        <v>قرارداد فروش</v>
      </c>
      <c r="T171" s="1" t="str">
        <f>"ندارد"</f>
        <v>ندارد</v>
      </c>
      <c r="U171" s="1" t="str">
        <f>"شهبازي محمدرضا(1029ج89)"</f>
        <v>شهبازي محمدرضا(1029ج89)</v>
      </c>
      <c r="V171" s="1">
        <v>961100058</v>
      </c>
      <c r="W171" s="1">
        <v>961100058</v>
      </c>
      <c r="X171" s="1" t="str">
        <f>"1396508150"</f>
        <v>1396508150</v>
      </c>
      <c r="Y171" s="1" t="str">
        <f>"96/06/07"</f>
        <v>96/06/07</v>
      </c>
      <c r="Z171" s="1" t="str">
        <f>"96-36110"</f>
        <v>96-36110</v>
      </c>
      <c r="AA171" s="1" t="str">
        <f>"آسفالت سازان"</f>
        <v>آسفالت سازان</v>
      </c>
      <c r="AB171" s="1" t="str">
        <f>"96/06/07"</f>
        <v>96/06/07</v>
      </c>
      <c r="AC171" s="1" t="str">
        <f>"استان اصفهان"</f>
        <v>استان اصفهان</v>
      </c>
      <c r="AD171" s="1" t="str">
        <f>"96/06/05"</f>
        <v>96/06/05</v>
      </c>
      <c r="AE171" s="1" t="str">
        <f>"اختتام"</f>
        <v>اختتام</v>
      </c>
      <c r="AF171" s="1" t="str">
        <f>""</f>
        <v/>
      </c>
      <c r="AG171" s="1" t="str">
        <f>""</f>
        <v/>
      </c>
      <c r="AH171" s="1" t="str">
        <f>""</f>
        <v/>
      </c>
      <c r="AI171" s="1" t="str">
        <f>""</f>
        <v/>
      </c>
      <c r="AJ171" s="1" t="str">
        <f>""</f>
        <v/>
      </c>
      <c r="AK171" s="1" t="str">
        <f>""</f>
        <v/>
      </c>
    </row>
    <row r="172" spans="1:37">
      <c r="A172" s="1">
        <v>131414</v>
      </c>
      <c r="B172" s="1">
        <v>962000220</v>
      </c>
      <c r="C172" s="1" t="str">
        <f>"تخليه يزدكيلومتر15جاده يزدكرمان شركت حريتاش"</f>
        <v>تخليه يزدكيلومتر15جاده يزدكرمان شركت حريتاش</v>
      </c>
      <c r="D172" s="1">
        <v>9113</v>
      </c>
      <c r="E172" s="1">
        <v>131414</v>
      </c>
      <c r="F172" s="1">
        <v>96</v>
      </c>
      <c r="G172" s="1">
        <v>0</v>
      </c>
      <c r="H172" s="1" t="str">
        <f>"96/07/03"</f>
        <v>96/07/03</v>
      </c>
      <c r="I172" s="1" t="str">
        <f>"كيلوگرم"</f>
        <v>كيلوگرم</v>
      </c>
      <c r="J172" s="1" t="str">
        <f>"0000000076"</f>
        <v>0000000076</v>
      </c>
      <c r="K172" s="1" t="str">
        <f>"قير 60/70 - فله"</f>
        <v>قير 60/70 - فله</v>
      </c>
      <c r="L172" s="1">
        <v>100</v>
      </c>
      <c r="M172" s="1" t="str">
        <f>"مخازن قير اصفهان"</f>
        <v>مخازن قير اصفهان</v>
      </c>
      <c r="N172" s="1">
        <v>9361</v>
      </c>
      <c r="O172" s="1">
        <v>50036457</v>
      </c>
      <c r="P172" s="1" t="str">
        <f>"  شهرداري اشكذر"</f>
        <v xml:space="preserve">  شهرداري اشكذر</v>
      </c>
      <c r="Q172" s="1">
        <v>20</v>
      </c>
      <c r="R172" s="1" t="str">
        <f>"فروش داخلي - سازمان شهرداري ها و دهياري هاي كشور"</f>
        <v>فروش داخلي - سازمان شهرداري ها و دهياري هاي كشور</v>
      </c>
      <c r="S172" s="1" t="str">
        <f>"قرارداد فروش"</f>
        <v>قرارداد فروش</v>
      </c>
      <c r="T172" s="1" t="str">
        <f>"ندارد"</f>
        <v>ندارد</v>
      </c>
      <c r="U172" s="1" t="str">
        <f>"تعاوني جم گستر (1001 ج 89)"</f>
        <v>تعاوني جم گستر (1001 ج 89)</v>
      </c>
      <c r="V172" s="1">
        <v>962000220</v>
      </c>
      <c r="W172" s="1">
        <v>962000220</v>
      </c>
      <c r="X172" s="1" t="str">
        <f>"1396514467"</f>
        <v>1396514467</v>
      </c>
      <c r="Y172" s="1" t="str">
        <f>"96/07/03"</f>
        <v>96/07/03</v>
      </c>
      <c r="Z172" s="1" t="str">
        <f>"26860مرحله اول"</f>
        <v>26860مرحله اول</v>
      </c>
      <c r="AA172" s="1" t="str">
        <f>"شهرداريها"</f>
        <v>شهرداريها</v>
      </c>
      <c r="AB172" s="1" t="str">
        <f>"96/06/29"</f>
        <v>96/06/29</v>
      </c>
      <c r="AC172" s="1" t="str">
        <f>"استان يزد"</f>
        <v>استان يزد</v>
      </c>
      <c r="AD172" s="1" t="str">
        <f>"96/07/03"</f>
        <v>96/07/03</v>
      </c>
      <c r="AE172" s="1" t="str">
        <f>"تاييدشده"</f>
        <v>تاييدشده</v>
      </c>
      <c r="AF172" s="1" t="str">
        <f>""</f>
        <v/>
      </c>
      <c r="AG172" s="1" t="str">
        <f>""</f>
        <v/>
      </c>
      <c r="AH172" s="1" t="str">
        <f>""</f>
        <v/>
      </c>
      <c r="AI172" s="1" t="str">
        <f>""</f>
        <v/>
      </c>
      <c r="AJ172" s="1" t="str">
        <f>""</f>
        <v/>
      </c>
      <c r="AK172" s="1" t="str">
        <f>""</f>
        <v/>
      </c>
    </row>
    <row r="173" spans="1:37">
      <c r="A173" s="1">
        <v>92000</v>
      </c>
      <c r="B173" s="1">
        <v>961100041</v>
      </c>
      <c r="C173" s="1" t="str">
        <f>"كيلومتر 12 محور بيرجند به زاهدان كارخانه‌آسفالت شهرداري"</f>
        <v>كيلومتر 12 محور بيرجند به زاهدان كارخانه‌آسفالت شهرداري</v>
      </c>
      <c r="D173" s="1">
        <v>8704</v>
      </c>
      <c r="E173" s="1">
        <v>91140</v>
      </c>
      <c r="F173" s="1">
        <v>96</v>
      </c>
      <c r="G173" s="1">
        <v>860</v>
      </c>
      <c r="H173" s="1" t="str">
        <f>"96/05/02"</f>
        <v>96/05/02</v>
      </c>
      <c r="I173" s="1" t="str">
        <f>"كيلوگرم"</f>
        <v>كيلوگرم</v>
      </c>
      <c r="J173" s="1" t="str">
        <f>"0000000076"</f>
        <v>0000000076</v>
      </c>
      <c r="K173" s="1" t="str">
        <f>"قير 60/70 - فله"</f>
        <v>قير 60/70 - فله</v>
      </c>
      <c r="L173" s="1">
        <v>100</v>
      </c>
      <c r="M173" s="1" t="str">
        <f>"مخازن قير اصفهان"</f>
        <v>مخازن قير اصفهان</v>
      </c>
      <c r="N173" s="1">
        <v>9573</v>
      </c>
      <c r="O173" s="1">
        <v>50035316</v>
      </c>
      <c r="P173" s="1" t="str">
        <f>"  سازمان عمران و بازآفريني فضاهاي شهري شهرداري بيرجند"</f>
        <v xml:space="preserve">  سازمان عمران و بازآفريني فضاهاي شهري شهرداري بيرجند</v>
      </c>
      <c r="Q173" s="1">
        <v>11</v>
      </c>
      <c r="R173" s="1" t="str">
        <f>"فروش داخلي تهران - بورس"</f>
        <v>فروش داخلي تهران - بورس</v>
      </c>
      <c r="S173" s="1" t="str">
        <f>"قرارداد فروش"</f>
        <v>قرارداد فروش</v>
      </c>
      <c r="T173" s="1" t="str">
        <f>"ندارد"</f>
        <v>ندارد</v>
      </c>
      <c r="U173" s="1" t="str">
        <f>"بابامحمدي عنايت اله(4844000)"</f>
        <v>بابامحمدي عنايت اله(4844000)</v>
      </c>
      <c r="V173" s="1">
        <v>961100041</v>
      </c>
      <c r="W173" s="1">
        <v>961100041</v>
      </c>
      <c r="X173" s="1" t="str">
        <f>"1396497676"</f>
        <v>1396497676</v>
      </c>
      <c r="Y173" s="1" t="str">
        <f>"96/05/02"</f>
        <v>96/05/02</v>
      </c>
      <c r="Z173" s="1" t="str">
        <f>"96-35871"</f>
        <v>96-35871</v>
      </c>
      <c r="AA173" s="1" t="str">
        <f>"شهرداريها"</f>
        <v>شهرداريها</v>
      </c>
      <c r="AB173" s="1" t="str">
        <f>"96/05/01"</f>
        <v>96/05/01</v>
      </c>
      <c r="AC173" s="1" t="str">
        <f>"خراسان جنوبي"</f>
        <v>خراسان جنوبي</v>
      </c>
      <c r="AD173" s="1" t="str">
        <f>"96/04/27"</f>
        <v>96/04/27</v>
      </c>
      <c r="AE173" s="1" t="str">
        <f>"اختتام"</f>
        <v>اختتام</v>
      </c>
      <c r="AF173" s="1" t="str">
        <f>""</f>
        <v/>
      </c>
      <c r="AG173" s="1" t="str">
        <f>""</f>
        <v/>
      </c>
      <c r="AH173" s="1" t="str">
        <f>""</f>
        <v/>
      </c>
      <c r="AI173" s="1" t="str">
        <f>""</f>
        <v/>
      </c>
      <c r="AJ173" s="1" t="str">
        <f>""</f>
        <v/>
      </c>
      <c r="AK173" s="1" t="str">
        <f>""</f>
        <v/>
      </c>
    </row>
    <row r="174" spans="1:37">
      <c r="A174" s="1">
        <v>50868</v>
      </c>
      <c r="B174" s="1">
        <v>962000234</v>
      </c>
      <c r="C174" s="1" t="str">
        <f>"تخليه يزد  اردكان كارخانه آسفالت ميثاق"</f>
        <v>تخليه يزد  اردكان كارخانه آسفالت ميثاق</v>
      </c>
      <c r="D174" s="1">
        <v>9113</v>
      </c>
      <c r="E174" s="1">
        <v>50868</v>
      </c>
      <c r="F174" s="1">
        <v>96</v>
      </c>
      <c r="G174" s="1">
        <v>0</v>
      </c>
      <c r="H174" s="1" t="str">
        <f>"96/09/07"</f>
        <v>96/09/07</v>
      </c>
      <c r="I174" s="1" t="str">
        <f>"كيلوگرم"</f>
        <v>كيلوگرم</v>
      </c>
      <c r="J174" s="1" t="str">
        <f>"0000000076"</f>
        <v>0000000076</v>
      </c>
      <c r="K174" s="1" t="str">
        <f>"قير 60/70 - فله"</f>
        <v>قير 60/70 - فله</v>
      </c>
      <c r="L174" s="1">
        <v>100</v>
      </c>
      <c r="M174" s="1" t="str">
        <f>"مخازن قير اصفهان"</f>
        <v>مخازن قير اصفهان</v>
      </c>
      <c r="N174" s="1">
        <v>9577</v>
      </c>
      <c r="O174" s="1">
        <v>50037275</v>
      </c>
      <c r="P174" s="1" t="str">
        <f>"  شهرداري عقدا"</f>
        <v xml:space="preserve">  شهرداري عقدا</v>
      </c>
      <c r="Q174" s="1">
        <v>20</v>
      </c>
      <c r="R174" s="1" t="str">
        <f>"فروش داخلي - سازمان شهرداري ها و دهياري هاي كشور"</f>
        <v>فروش داخلي - سازمان شهرداري ها و دهياري هاي كشور</v>
      </c>
      <c r="S174" s="1" t="str">
        <f>"قرارداد فروش"</f>
        <v>قرارداد فروش</v>
      </c>
      <c r="T174" s="1" t="str">
        <f>"ندارد"</f>
        <v>ندارد</v>
      </c>
      <c r="U174" s="1" t="str">
        <f>"تعاوني جم گستر (1001 ج 89)"</f>
        <v>تعاوني جم گستر (1001 ج 89)</v>
      </c>
      <c r="V174" s="1">
        <v>962000234</v>
      </c>
      <c r="W174" s="1">
        <v>962000234</v>
      </c>
      <c r="X174" s="1" t="str">
        <f>"1396514467"</f>
        <v>1396514467</v>
      </c>
      <c r="Y174" s="1" t="str">
        <f>"96/09/07"</f>
        <v>96/09/07</v>
      </c>
      <c r="Z174" s="1" t="str">
        <f>"36648مرحله دوم"</f>
        <v>36648مرحله دوم</v>
      </c>
      <c r="AA174" s="1" t="str">
        <f>"شهرداريها"</f>
        <v>شهرداريها</v>
      </c>
      <c r="AB174" s="1" t="str">
        <f>"96/09/01"</f>
        <v>96/09/01</v>
      </c>
      <c r="AC174" s="1" t="str">
        <f>"استان يزد"</f>
        <v>استان يزد</v>
      </c>
      <c r="AD174" s="1" t="str">
        <f>"96/07/03"</f>
        <v>96/07/03</v>
      </c>
      <c r="AE174" s="1" t="str">
        <f>"تاييدشده"</f>
        <v>تاييدشده</v>
      </c>
      <c r="AF174" s="1" t="str">
        <f>""</f>
        <v/>
      </c>
      <c r="AG174" s="1" t="str">
        <f>""</f>
        <v/>
      </c>
      <c r="AH174" s="1" t="str">
        <f>""</f>
        <v/>
      </c>
      <c r="AI174" s="1" t="str">
        <f>""</f>
        <v/>
      </c>
      <c r="AJ174" s="1" t="str">
        <f>""</f>
        <v/>
      </c>
      <c r="AK174" s="1" t="str">
        <f>""</f>
        <v/>
      </c>
    </row>
    <row r="175" spans="1:37">
      <c r="A175" s="1">
        <v>140603</v>
      </c>
      <c r="B175" s="1">
        <v>962000088</v>
      </c>
      <c r="C175" s="1" t="str">
        <f>"تخليه - اصفهان- نائين -کيلومتر 70 جاده انارک -فردسازه سپاهان"</f>
        <v>تخليه - اصفهان- نائين -کيلومتر 70 جاده انارک -فردسازه سپاهان</v>
      </c>
      <c r="D175" s="1">
        <v>9113</v>
      </c>
      <c r="E175" s="1">
        <v>140603</v>
      </c>
      <c r="F175" s="1">
        <v>96</v>
      </c>
      <c r="G175" s="1">
        <v>0</v>
      </c>
      <c r="H175" s="1" t="str">
        <f>"96/07/03"</f>
        <v>96/07/03</v>
      </c>
      <c r="I175" s="1" t="str">
        <f>"كيلوگرم"</f>
        <v>كيلوگرم</v>
      </c>
      <c r="J175" s="1" t="str">
        <f>"0000000076"</f>
        <v>0000000076</v>
      </c>
      <c r="K175" s="1" t="str">
        <f>"قير 60/70 - فله"</f>
        <v>قير 60/70 - فله</v>
      </c>
      <c r="L175" s="1">
        <v>100</v>
      </c>
      <c r="M175" s="1" t="str">
        <f>"مخازن قير اصفهان"</f>
        <v>مخازن قير اصفهان</v>
      </c>
      <c r="N175" s="1">
        <v>9363</v>
      </c>
      <c r="O175" s="1">
        <v>50036242</v>
      </c>
      <c r="P175" s="1" t="str">
        <f>"  شهرداري نائين"</f>
        <v xml:space="preserve">  شهرداري نائين</v>
      </c>
      <c r="Q175" s="1">
        <v>20</v>
      </c>
      <c r="R175" s="1" t="str">
        <f>"فروش داخلي - سازمان شهرداري ها و دهياري هاي كشور"</f>
        <v>فروش داخلي - سازمان شهرداري ها و دهياري هاي كشور</v>
      </c>
      <c r="S175" s="1" t="str">
        <f>"قرارداد فروش"</f>
        <v>قرارداد فروش</v>
      </c>
      <c r="T175" s="1" t="str">
        <f>"ندارد"</f>
        <v>ندارد</v>
      </c>
      <c r="U175" s="1" t="str">
        <f>"تعاوني جم گستر (1001 ج 89)"</f>
        <v>تعاوني جم گستر (1001 ج 89)</v>
      </c>
      <c r="V175" s="1">
        <v>962000088</v>
      </c>
      <c r="W175" s="1">
        <v>962000088</v>
      </c>
      <c r="X175" s="1" t="str">
        <f>"1396514467"</f>
        <v>1396514467</v>
      </c>
      <c r="Y175" s="1" t="str">
        <f>"96/07/03"</f>
        <v>96/07/03</v>
      </c>
      <c r="Z175" s="1" t="str">
        <f>"26641مرحله اول"</f>
        <v>26641مرحله اول</v>
      </c>
      <c r="AA175" s="1" t="str">
        <f>"شهرداريها"</f>
        <v>شهرداريها</v>
      </c>
      <c r="AB175" s="1" t="str">
        <f>"96/06/29"</f>
        <v>96/06/29</v>
      </c>
      <c r="AC175" s="1" t="str">
        <f>"استان اصفهان"</f>
        <v>استان اصفهان</v>
      </c>
      <c r="AD175" s="1" t="str">
        <f>"96/07/03"</f>
        <v>96/07/03</v>
      </c>
      <c r="AE175" s="1" t="str">
        <f>"تاييدشده"</f>
        <v>تاييدشده</v>
      </c>
      <c r="AF175" s="1" t="str">
        <f>""</f>
        <v/>
      </c>
      <c r="AG175" s="1" t="str">
        <f>""</f>
        <v/>
      </c>
      <c r="AH175" s="1" t="str">
        <f>""</f>
        <v/>
      </c>
      <c r="AI175" s="1" t="str">
        <f>""</f>
        <v/>
      </c>
      <c r="AJ175" s="1" t="str">
        <f>""</f>
        <v/>
      </c>
      <c r="AK175" s="1" t="str">
        <f>""</f>
        <v/>
      </c>
    </row>
    <row r="176" spans="1:37">
      <c r="A176" s="1">
        <v>49973</v>
      </c>
      <c r="B176" s="1">
        <v>962000479</v>
      </c>
      <c r="C176" s="1" t="str">
        <f>"تخليه اصفهان كيلومتر5جاده نايين اصفهان"</f>
        <v>تخليه اصفهان كيلومتر5جاده نايين اصفهان</v>
      </c>
      <c r="D176" s="1">
        <v>12820</v>
      </c>
      <c r="E176" s="1">
        <v>49973</v>
      </c>
      <c r="F176" s="1">
        <v>96</v>
      </c>
      <c r="G176" s="1">
        <v>0</v>
      </c>
      <c r="H176" s="1" t="str">
        <f>"96/09/20"</f>
        <v>96/09/20</v>
      </c>
      <c r="I176" s="1" t="str">
        <f>"كيلوگرم"</f>
        <v>كيلوگرم</v>
      </c>
      <c r="J176" s="1" t="str">
        <f>"0000000076"</f>
        <v>0000000076</v>
      </c>
      <c r="K176" s="1" t="str">
        <f>"قير 60/70 - فله"</f>
        <v>قير 60/70 - فله</v>
      </c>
      <c r="L176" s="1">
        <v>100</v>
      </c>
      <c r="M176" s="1" t="str">
        <f>"مخازن قير اصفهان"</f>
        <v>مخازن قير اصفهان</v>
      </c>
      <c r="N176" s="1">
        <v>9363</v>
      </c>
      <c r="O176" s="1">
        <v>50037801</v>
      </c>
      <c r="P176" s="1" t="str">
        <f>"  شهرداري نائين"</f>
        <v xml:space="preserve">  شهرداري نائين</v>
      </c>
      <c r="Q176" s="1">
        <v>20</v>
      </c>
      <c r="R176" s="1" t="str">
        <f>"فروش داخلي - سازمان شهرداري ها و دهياري هاي كشور"</f>
        <v>فروش داخلي - سازمان شهرداري ها و دهياري هاي كشور</v>
      </c>
      <c r="S176" s="1" t="str">
        <f>"قرارداد فروش"</f>
        <v>قرارداد فروش</v>
      </c>
      <c r="T176" s="1" t="str">
        <f>"ندارد"</f>
        <v>ندارد</v>
      </c>
      <c r="U176" s="1" t="str">
        <f>"تعاوني جم گستر (1001 ج 89)"</f>
        <v>تعاوني جم گستر (1001 ج 89)</v>
      </c>
      <c r="V176" s="1">
        <v>962000479</v>
      </c>
      <c r="W176" s="1">
        <v>962000479</v>
      </c>
      <c r="X176" s="1" t="str">
        <f>"1396529711"</f>
        <v>1396529711</v>
      </c>
      <c r="Y176" s="1" t="str">
        <f>"96/09/20"</f>
        <v>96/09/20</v>
      </c>
      <c r="Z176" s="1" t="str">
        <f>"37253مرحله دوم"</f>
        <v>37253مرحله دوم</v>
      </c>
      <c r="AA176" s="1" t="str">
        <f>"شهرداريها"</f>
        <v>شهرداريها</v>
      </c>
      <c r="AB176" s="1" t="str">
        <f>"96/09/05"</f>
        <v>96/09/05</v>
      </c>
      <c r="AC176" s="1" t="str">
        <f>"استان اصفهان"</f>
        <v>استان اصفهان</v>
      </c>
      <c r="AD176" s="1" t="str">
        <f>"96/09/13"</f>
        <v>96/09/13</v>
      </c>
      <c r="AE176" s="1" t="str">
        <f>"اختتام"</f>
        <v>اختتام</v>
      </c>
      <c r="AF176" s="1" t="str">
        <f>""</f>
        <v/>
      </c>
      <c r="AG176" s="1" t="str">
        <f>""</f>
        <v/>
      </c>
      <c r="AH176" s="1" t="str">
        <f>""</f>
        <v/>
      </c>
      <c r="AI176" s="1" t="str">
        <f>""</f>
        <v/>
      </c>
      <c r="AJ176" s="1" t="str">
        <f>""</f>
        <v/>
      </c>
      <c r="AK176" s="1" t="str">
        <f>""</f>
        <v/>
      </c>
    </row>
    <row r="177" spans="1:37">
      <c r="A177" s="1">
        <v>33946</v>
      </c>
      <c r="B177" s="1">
        <v>962000438</v>
      </c>
      <c r="C177" s="1" t="str">
        <f>"تخليه اصفهان پليس راه شاهين شهركاشان كيلومتر10جاده علويجه كارخانه آسفالت علي عسگري"</f>
        <v>تخليه اصفهان پليس راه شاهين شهركاشان كيلومتر10جاده علويجه كارخانه آسفالت علي عسگري</v>
      </c>
      <c r="D177" s="1">
        <v>12820</v>
      </c>
      <c r="E177" s="1">
        <v>33946</v>
      </c>
      <c r="F177" s="1">
        <v>96</v>
      </c>
      <c r="G177" s="1">
        <v>0</v>
      </c>
      <c r="H177" s="1" t="str">
        <f>"96/09/20"</f>
        <v>96/09/20</v>
      </c>
      <c r="I177" s="1" t="str">
        <f>"كيلوگرم"</f>
        <v>كيلوگرم</v>
      </c>
      <c r="J177" s="1" t="str">
        <f>"0000000076"</f>
        <v>0000000076</v>
      </c>
      <c r="K177" s="1" t="str">
        <f>"قير 60/70 - فله"</f>
        <v>قير 60/70 - فله</v>
      </c>
      <c r="L177" s="1">
        <v>100</v>
      </c>
      <c r="M177" s="1" t="str">
        <f>"مخازن قير اصفهان"</f>
        <v>مخازن قير اصفهان</v>
      </c>
      <c r="N177" s="1">
        <v>9375</v>
      </c>
      <c r="O177" s="1">
        <v>50037760</v>
      </c>
      <c r="P177" s="1" t="str">
        <f>"  شهرداري گرگاب"</f>
        <v xml:space="preserve">  شهرداري گرگاب</v>
      </c>
      <c r="Q177" s="1">
        <v>20</v>
      </c>
      <c r="R177" s="1" t="str">
        <f>"فروش داخلي - سازمان شهرداري ها و دهياري هاي كشور"</f>
        <v>فروش داخلي - سازمان شهرداري ها و دهياري هاي كشور</v>
      </c>
      <c r="S177" s="1" t="str">
        <f>"قرارداد فروش"</f>
        <v>قرارداد فروش</v>
      </c>
      <c r="T177" s="1" t="str">
        <f>"ندارد"</f>
        <v>ندارد</v>
      </c>
      <c r="U177" s="1" t="str">
        <f>"تعاوني جم گستر (1001 ج 89)"</f>
        <v>تعاوني جم گستر (1001 ج 89)</v>
      </c>
      <c r="V177" s="1">
        <v>962000438</v>
      </c>
      <c r="W177" s="1">
        <v>962000438</v>
      </c>
      <c r="X177" s="1" t="str">
        <f>"1396529711"</f>
        <v>1396529711</v>
      </c>
      <c r="Y177" s="1" t="str">
        <f>"96/09/20"</f>
        <v>96/09/20</v>
      </c>
      <c r="Z177" s="1" t="str">
        <f>"37226مرحله دوم"</f>
        <v>37226مرحله دوم</v>
      </c>
      <c r="AA177" s="1" t="str">
        <f>"شهرداريها"</f>
        <v>شهرداريها</v>
      </c>
      <c r="AB177" s="1" t="str">
        <f>"96/09/05"</f>
        <v>96/09/05</v>
      </c>
      <c r="AC177" s="1" t="str">
        <f>"استان اصفهان"</f>
        <v>استان اصفهان</v>
      </c>
      <c r="AD177" s="1" t="str">
        <f>"96/09/13"</f>
        <v>96/09/13</v>
      </c>
      <c r="AE177" s="1" t="str">
        <f>"تاييدشده"</f>
        <v>تاييدشده</v>
      </c>
      <c r="AF177" s="1" t="str">
        <f>""</f>
        <v/>
      </c>
      <c r="AG177" s="1" t="str">
        <f>""</f>
        <v/>
      </c>
      <c r="AH177" s="1" t="str">
        <f>""</f>
        <v/>
      </c>
      <c r="AI177" s="1" t="str">
        <f>""</f>
        <v/>
      </c>
      <c r="AJ177" s="1" t="str">
        <f>""</f>
        <v/>
      </c>
      <c r="AK177" s="1" t="str">
        <f>""</f>
        <v/>
      </c>
    </row>
    <row r="178" spans="1:37">
      <c r="A178" s="1">
        <v>470000</v>
      </c>
      <c r="B178" s="1">
        <v>966200145</v>
      </c>
      <c r="C178" s="1" t="str">
        <f>"تخليه - خراسان شمالي - کيلومتر 35 جاده بجنورد شيروان -روبروي بند يغمور -کيلومتر 3 جاده خطاب"</f>
        <v>تخليه - خراسان شمالي - کيلومتر 35 جاده بجنورد شيروان -روبروي بند يغمور -کيلومتر 3 جاده خطاب</v>
      </c>
      <c r="D178" s="1">
        <v>8704</v>
      </c>
      <c r="E178" s="1">
        <v>469900</v>
      </c>
      <c r="F178" s="1">
        <v>96</v>
      </c>
      <c r="G178" s="1">
        <v>100</v>
      </c>
      <c r="H178" s="1" t="str">
        <f>"96/04/31"</f>
        <v>96/04/31</v>
      </c>
      <c r="I178" s="1" t="str">
        <f>"كيلوگرم"</f>
        <v>كيلوگرم</v>
      </c>
      <c r="J178" s="1" t="str">
        <f>"0000000076"</f>
        <v>0000000076</v>
      </c>
      <c r="K178" s="1" t="str">
        <f>"قير 60/70 - فله"</f>
        <v>قير 60/70 - فله</v>
      </c>
      <c r="L178" s="1">
        <v>100</v>
      </c>
      <c r="M178" s="1" t="str">
        <f>"مخازن قير اصفهان"</f>
        <v>مخازن قير اصفهان</v>
      </c>
      <c r="N178" s="1">
        <v>9914</v>
      </c>
      <c r="O178" s="1">
        <v>50035289</v>
      </c>
      <c r="P178" s="1" t="str">
        <f>"  راه فرماي توس"</f>
        <v xml:space="preserve">  راه فرماي توس</v>
      </c>
      <c r="Q178" s="1">
        <v>62</v>
      </c>
      <c r="R178" s="1" t="str">
        <f>"فروش داخلي - سازمان بنيادمسكن انقلاب اسلامي"</f>
        <v>فروش داخلي - سازمان بنيادمسكن انقلاب اسلامي</v>
      </c>
      <c r="S178" s="1" t="str">
        <f>"قرارداد فروش"</f>
        <v>قرارداد فروش</v>
      </c>
      <c r="T178" s="1" t="str">
        <f>"ندارد"</f>
        <v>ندارد</v>
      </c>
      <c r="U178" s="1" t="str">
        <f>"حسيني سيدجواد(1841076)"</f>
        <v>حسيني سيدجواد(1841076)</v>
      </c>
      <c r="V178" s="1">
        <v>966200145</v>
      </c>
      <c r="W178" s="1">
        <v>966200145</v>
      </c>
      <c r="X178" s="1" t="str">
        <f>"1396498686"</f>
        <v>1396498686</v>
      </c>
      <c r="Y178" s="1" t="str">
        <f>"96/04/31"</f>
        <v>96/04/31</v>
      </c>
      <c r="Z178" s="1" t="str">
        <f>"17321/د"</f>
        <v>17321/د</v>
      </c>
      <c r="AA178" s="1" t="str">
        <f>"بنيادمسكن انقلاب اسلامي"</f>
        <v>بنيادمسكن انقلاب اسلامي</v>
      </c>
      <c r="AB178" s="1" t="str">
        <f>"96/04/28"</f>
        <v>96/04/28</v>
      </c>
      <c r="AC178" s="1" t="str">
        <f>"خراسان شمالي"</f>
        <v>خراسان شمالي</v>
      </c>
      <c r="AD178" s="1" t="str">
        <f>"96/04/31"</f>
        <v>96/04/31</v>
      </c>
      <c r="AE178" s="1" t="str">
        <f>"اختتام"</f>
        <v>اختتام</v>
      </c>
      <c r="AF178" s="1" t="str">
        <f>""</f>
        <v/>
      </c>
      <c r="AG178" s="1" t="str">
        <f>""</f>
        <v/>
      </c>
      <c r="AH178" s="1" t="str">
        <f>""</f>
        <v/>
      </c>
      <c r="AI178" s="1" t="str">
        <f>""</f>
        <v/>
      </c>
      <c r="AJ178" s="1" t="str">
        <f>""</f>
        <v/>
      </c>
      <c r="AK178" s="1" t="str">
        <f>""</f>
        <v/>
      </c>
    </row>
    <row r="179" spans="1:37">
      <c r="A179" s="1">
        <v>44000</v>
      </c>
      <c r="B179" s="1">
        <v>966200392</v>
      </c>
      <c r="C179" s="1" t="str">
        <f>"تخليه - خراسان شمالي - کيلومتر 35 جاده بجنورد شيروان -روبروي بند يغمور -کيلومتر 3 جاده خطاب"</f>
        <v>تخليه - خراسان شمالي - کيلومتر 35 جاده بجنورد شيروان -روبروي بند يغمور -کيلومتر 3 جاده خطاب</v>
      </c>
      <c r="D179" s="1">
        <v>12820</v>
      </c>
      <c r="E179" s="1">
        <v>41700</v>
      </c>
      <c r="F179" s="1">
        <v>96</v>
      </c>
      <c r="G179" s="1">
        <v>2300</v>
      </c>
      <c r="H179" s="1" t="str">
        <f>"96/09/08"</f>
        <v>96/09/08</v>
      </c>
      <c r="I179" s="1" t="str">
        <f>"كيلوگرم"</f>
        <v>كيلوگرم</v>
      </c>
      <c r="J179" s="1" t="str">
        <f>"0000000076"</f>
        <v>0000000076</v>
      </c>
      <c r="K179" s="1" t="str">
        <f>"قير 60/70 - فله"</f>
        <v>قير 60/70 - فله</v>
      </c>
      <c r="L179" s="1">
        <v>100</v>
      </c>
      <c r="M179" s="1" t="str">
        <f>"مخازن قير اصفهان"</f>
        <v>مخازن قير اصفهان</v>
      </c>
      <c r="N179" s="1">
        <v>9914</v>
      </c>
      <c r="O179" s="1">
        <v>50037344</v>
      </c>
      <c r="P179" s="1" t="str">
        <f>"  راه فرماي توس"</f>
        <v xml:space="preserve">  راه فرماي توس</v>
      </c>
      <c r="Q179" s="1">
        <v>62</v>
      </c>
      <c r="R179" s="1" t="str">
        <f>"فروش داخلي - سازمان بنيادمسكن انقلاب اسلامي"</f>
        <v>فروش داخلي - سازمان بنيادمسكن انقلاب اسلامي</v>
      </c>
      <c r="S179" s="1" t="str">
        <f>"قرارداد فروش"</f>
        <v>قرارداد فروش</v>
      </c>
      <c r="T179" s="1" t="str">
        <f>"ندارد"</f>
        <v>ندارد</v>
      </c>
      <c r="U179" s="1" t="str">
        <f>"حسيني سيدجواد(1841076)"</f>
        <v>حسيني سيدجواد(1841076)</v>
      </c>
      <c r="V179" s="1">
        <v>966200392</v>
      </c>
      <c r="W179" s="1">
        <v>966200392</v>
      </c>
      <c r="X179" s="1" t="str">
        <f>"1396529172"</f>
        <v>1396529172</v>
      </c>
      <c r="Y179" s="1" t="str">
        <f>"96/09/08"</f>
        <v>96/09/08</v>
      </c>
      <c r="Z179" s="1" t="str">
        <f>"37294/د"</f>
        <v>37294/د</v>
      </c>
      <c r="AA179" s="1" t="str">
        <f>"بنيادمسكن انقلاب اسلامي"</f>
        <v>بنيادمسكن انقلاب اسلامي</v>
      </c>
      <c r="AB179" s="1" t="str">
        <f>"96/08/21"</f>
        <v>96/08/21</v>
      </c>
      <c r="AC179" s="1" t="str">
        <f>"خراسان شمالي"</f>
        <v>خراسان شمالي</v>
      </c>
      <c r="AD179" s="1" t="str">
        <f>"96/09/08"</f>
        <v>96/09/08</v>
      </c>
      <c r="AE179" s="1" t="str">
        <f>"اختتام"</f>
        <v>اختتام</v>
      </c>
      <c r="AF179" s="1" t="str">
        <f>""</f>
        <v/>
      </c>
      <c r="AG179" s="1" t="str">
        <f>""</f>
        <v/>
      </c>
      <c r="AH179" s="1" t="str">
        <f>""</f>
        <v/>
      </c>
      <c r="AI179" s="1" t="str">
        <f>""</f>
        <v/>
      </c>
      <c r="AJ179" s="1" t="str">
        <f>""</f>
        <v/>
      </c>
      <c r="AK179" s="1" t="str">
        <f>""</f>
        <v/>
      </c>
    </row>
    <row r="180" spans="1:37">
      <c r="A180" s="1">
        <v>34927</v>
      </c>
      <c r="B180" s="1">
        <v>962000473</v>
      </c>
      <c r="C180" s="1" t="str">
        <f>"تخليه -كيلومتر5جاده مباركه -اصفهان -جنب هفتم تير-كارخانه آسفالت ساتان"</f>
        <v>تخليه -كيلومتر5جاده مباركه -اصفهان -جنب هفتم تير-كارخانه آسفالت ساتان</v>
      </c>
      <c r="D180" s="1">
        <v>12820</v>
      </c>
      <c r="E180" s="1">
        <v>34927</v>
      </c>
      <c r="F180" s="1">
        <v>96</v>
      </c>
      <c r="G180" s="1">
        <v>0</v>
      </c>
      <c r="H180" s="1" t="str">
        <f>"96/09/20"</f>
        <v>96/09/20</v>
      </c>
      <c r="I180" s="1" t="str">
        <f>"كيلوگرم"</f>
        <v>كيلوگرم</v>
      </c>
      <c r="J180" s="1" t="str">
        <f>"0000000076"</f>
        <v>0000000076</v>
      </c>
      <c r="K180" s="1" t="str">
        <f>"قير 60/70 - فله"</f>
        <v>قير 60/70 - فله</v>
      </c>
      <c r="L180" s="1">
        <v>100</v>
      </c>
      <c r="M180" s="1" t="str">
        <f>"مخازن قير اصفهان"</f>
        <v>مخازن قير اصفهان</v>
      </c>
      <c r="N180" s="1">
        <v>9623</v>
      </c>
      <c r="O180" s="1">
        <v>50037795</v>
      </c>
      <c r="P180" s="1" t="str">
        <f>"  شهرداري زيباشهر"</f>
        <v xml:space="preserve">  شهرداري زيباشهر</v>
      </c>
      <c r="Q180" s="1">
        <v>20</v>
      </c>
      <c r="R180" s="1" t="str">
        <f>"فروش داخلي - سازمان شهرداري ها و دهياري هاي كشور"</f>
        <v>فروش داخلي - سازمان شهرداري ها و دهياري هاي كشور</v>
      </c>
      <c r="S180" s="1" t="str">
        <f>"قرارداد فروش"</f>
        <v>قرارداد فروش</v>
      </c>
      <c r="T180" s="1" t="str">
        <f>"ندارد"</f>
        <v>ندارد</v>
      </c>
      <c r="U180" s="1" t="str">
        <f>"تعاوني جم گستر (1001 ج 89)"</f>
        <v>تعاوني جم گستر (1001 ج 89)</v>
      </c>
      <c r="V180" s="1">
        <v>962000473</v>
      </c>
      <c r="W180" s="1">
        <v>962000473</v>
      </c>
      <c r="X180" s="1" t="str">
        <f>"1396529711"</f>
        <v>1396529711</v>
      </c>
      <c r="Y180" s="1" t="str">
        <f>"96/09/20"</f>
        <v>96/09/20</v>
      </c>
      <c r="Z180" s="1" t="str">
        <f>"37167مرحله دوم"</f>
        <v>37167مرحله دوم</v>
      </c>
      <c r="AA180" s="1" t="str">
        <f>"شهرداريها"</f>
        <v>شهرداريها</v>
      </c>
      <c r="AB180" s="1" t="str">
        <f>"96/09/05"</f>
        <v>96/09/05</v>
      </c>
      <c r="AC180" s="1" t="str">
        <f>"استان اصفهان"</f>
        <v>استان اصفهان</v>
      </c>
      <c r="AD180" s="1" t="str">
        <f>"96/09/13"</f>
        <v>96/09/13</v>
      </c>
      <c r="AE180" s="1" t="str">
        <f>"اختتام"</f>
        <v>اختتام</v>
      </c>
      <c r="AF180" s="1" t="str">
        <f>""</f>
        <v/>
      </c>
      <c r="AG180" s="1" t="str">
        <f>""</f>
        <v/>
      </c>
      <c r="AH180" s="1" t="str">
        <f>""</f>
        <v/>
      </c>
      <c r="AI180" s="1" t="str">
        <f>""</f>
        <v/>
      </c>
      <c r="AJ180" s="1" t="str">
        <f>""</f>
        <v/>
      </c>
      <c r="AK180" s="1" t="str">
        <f>""</f>
        <v/>
      </c>
    </row>
    <row r="181" spans="1:37">
      <c r="A181" s="1">
        <v>132268</v>
      </c>
      <c r="B181" s="1">
        <v>962000139</v>
      </c>
      <c r="C181" s="1" t="str">
        <f>"محل تخليه خراسان جنوبي كيلومتر15جاده بيرجندخوسف جنب كويرتايرابتداي جاده كلات"</f>
        <v>محل تخليه خراسان جنوبي كيلومتر15جاده بيرجندخوسف جنب كويرتايرابتداي جاده كلات</v>
      </c>
      <c r="D181" s="1">
        <v>9113</v>
      </c>
      <c r="E181" s="1">
        <v>132268</v>
      </c>
      <c r="F181" s="1">
        <v>96</v>
      </c>
      <c r="G181" s="1">
        <v>0</v>
      </c>
      <c r="H181" s="1" t="str">
        <f>"96/07/03"</f>
        <v>96/07/03</v>
      </c>
      <c r="I181" s="1" t="str">
        <f>"كيلوگرم"</f>
        <v>كيلوگرم</v>
      </c>
      <c r="J181" s="1" t="str">
        <f>"0000000076"</f>
        <v>0000000076</v>
      </c>
      <c r="K181" s="1" t="str">
        <f>"قير 60/70 - فله"</f>
        <v>قير 60/70 - فله</v>
      </c>
      <c r="L181" s="1">
        <v>100</v>
      </c>
      <c r="M181" s="1" t="str">
        <f>"مخازن قير اصفهان"</f>
        <v>مخازن قير اصفهان</v>
      </c>
      <c r="N181" s="1">
        <v>9074</v>
      </c>
      <c r="O181" s="1">
        <v>50036327</v>
      </c>
      <c r="P181" s="1" t="str">
        <f>"  شهرداري سربيشه"</f>
        <v xml:space="preserve">  شهرداري سربيشه</v>
      </c>
      <c r="Q181" s="1">
        <v>20</v>
      </c>
      <c r="R181" s="1" t="str">
        <f>"فروش داخلي - سازمان شهرداري ها و دهياري هاي كشور"</f>
        <v>فروش داخلي - سازمان شهرداري ها و دهياري هاي كشور</v>
      </c>
      <c r="S181" s="1" t="str">
        <f>"قرارداد فروش"</f>
        <v>قرارداد فروش</v>
      </c>
      <c r="T181" s="1" t="str">
        <f>"ندارد"</f>
        <v>ندارد</v>
      </c>
      <c r="U181" s="1" t="str">
        <f>"تعاوني جم گستر (1001 ج 89)"</f>
        <v>تعاوني جم گستر (1001 ج 89)</v>
      </c>
      <c r="V181" s="1">
        <v>962000139</v>
      </c>
      <c r="W181" s="1">
        <v>962000139</v>
      </c>
      <c r="X181" s="1" t="str">
        <f>"1396514467"</f>
        <v>1396514467</v>
      </c>
      <c r="Y181" s="1" t="str">
        <f>"96/07/03"</f>
        <v>96/07/03</v>
      </c>
      <c r="Z181" s="1" t="str">
        <f>"26726مرحله اول"</f>
        <v>26726مرحله اول</v>
      </c>
      <c r="AA181" s="1" t="str">
        <f>"شهرداريها"</f>
        <v>شهرداريها</v>
      </c>
      <c r="AB181" s="1" t="str">
        <f>"96/06/29"</f>
        <v>96/06/29</v>
      </c>
      <c r="AC181" s="1" t="str">
        <f>"خراسان جنوبي"</f>
        <v>خراسان جنوبي</v>
      </c>
      <c r="AD181" s="1" t="str">
        <f>"96/07/03"</f>
        <v>96/07/03</v>
      </c>
      <c r="AE181" s="1" t="str">
        <f>"اختتام"</f>
        <v>اختتام</v>
      </c>
      <c r="AF181" s="1" t="str">
        <f>""</f>
        <v/>
      </c>
      <c r="AG181" s="1" t="str">
        <f>""</f>
        <v/>
      </c>
      <c r="AH181" s="1" t="str">
        <f>""</f>
        <v/>
      </c>
      <c r="AI181" s="1" t="str">
        <f>""</f>
        <v/>
      </c>
      <c r="AJ181" s="1" t="str">
        <f>""</f>
        <v/>
      </c>
      <c r="AK181" s="1" t="str">
        <f>""</f>
        <v/>
      </c>
    </row>
    <row r="182" spans="1:37">
      <c r="A182" s="1">
        <v>97970</v>
      </c>
      <c r="B182" s="1">
        <v>962000021</v>
      </c>
      <c r="C182" s="1" t="str">
        <f>"تخليه اصفهان كيلومتر12جاده اصفهان نايين كارخانه آسفالت نوژان خشت"</f>
        <v>تخليه اصفهان كيلومتر12جاده اصفهان نايين كارخانه آسفالت نوژان خشت</v>
      </c>
      <c r="D182" s="1">
        <v>9113</v>
      </c>
      <c r="E182" s="1">
        <v>97970</v>
      </c>
      <c r="F182" s="1">
        <v>96</v>
      </c>
      <c r="G182" s="1">
        <v>0</v>
      </c>
      <c r="H182" s="1" t="str">
        <f>"96/07/03"</f>
        <v>96/07/03</v>
      </c>
      <c r="I182" s="1" t="str">
        <f>"كيلوگرم"</f>
        <v>كيلوگرم</v>
      </c>
      <c r="J182" s="1" t="str">
        <f>"0000000076"</f>
        <v>0000000076</v>
      </c>
      <c r="K182" s="1" t="str">
        <f>"قير 60/70 - فله"</f>
        <v>قير 60/70 - فله</v>
      </c>
      <c r="L182" s="1">
        <v>100</v>
      </c>
      <c r="M182" s="1" t="str">
        <f>"مخازن قير اصفهان"</f>
        <v>مخازن قير اصفهان</v>
      </c>
      <c r="N182" s="1">
        <v>10030</v>
      </c>
      <c r="O182" s="1">
        <v>50036162</v>
      </c>
      <c r="P182" s="1" t="str">
        <f>"  شهرداري تودشك"</f>
        <v xml:space="preserve">  شهرداري تودشك</v>
      </c>
      <c r="Q182" s="1">
        <v>20</v>
      </c>
      <c r="R182" s="1" t="str">
        <f>"فروش داخلي - سازمان شهرداري ها و دهياري هاي كشور"</f>
        <v>فروش داخلي - سازمان شهرداري ها و دهياري هاي كشور</v>
      </c>
      <c r="S182" s="1" t="str">
        <f>"قرارداد فروش"</f>
        <v>قرارداد فروش</v>
      </c>
      <c r="T182" s="1" t="str">
        <f>"ندارد"</f>
        <v>ندارد</v>
      </c>
      <c r="U182" s="1" t="str">
        <f>"تعاوني جم گستر (1001 ج 89)"</f>
        <v>تعاوني جم گستر (1001 ج 89)</v>
      </c>
      <c r="V182" s="1">
        <v>962000021</v>
      </c>
      <c r="W182" s="1">
        <v>962000021</v>
      </c>
      <c r="X182" s="1" t="str">
        <f>"1396514467"</f>
        <v>1396514467</v>
      </c>
      <c r="Y182" s="1" t="str">
        <f>"96/07/03"</f>
        <v>96/07/03</v>
      </c>
      <c r="Z182" s="1" t="str">
        <f>"26841مرحله اول"</f>
        <v>26841مرحله اول</v>
      </c>
      <c r="AA182" s="1" t="str">
        <f>"شهرداريها"</f>
        <v>شهرداريها</v>
      </c>
      <c r="AB182" s="1" t="str">
        <f>"96/06/29"</f>
        <v>96/06/29</v>
      </c>
      <c r="AC182" s="1" t="str">
        <f>"استان اصفهان"</f>
        <v>استان اصفهان</v>
      </c>
      <c r="AD182" s="1" t="str">
        <f>"96/07/03"</f>
        <v>96/07/03</v>
      </c>
      <c r="AE182" s="1" t="str">
        <f>"اختتام"</f>
        <v>اختتام</v>
      </c>
      <c r="AF182" s="1" t="str">
        <f>""</f>
        <v/>
      </c>
      <c r="AG182" s="1" t="str">
        <f>""</f>
        <v/>
      </c>
      <c r="AH182" s="1" t="str">
        <f>""</f>
        <v/>
      </c>
      <c r="AI182" s="1" t="str">
        <f>""</f>
        <v/>
      </c>
      <c r="AJ182" s="1" t="str">
        <f>""</f>
        <v/>
      </c>
      <c r="AK182" s="1" t="str">
        <f>""</f>
        <v/>
      </c>
    </row>
    <row r="183" spans="1:37">
      <c r="A183" s="1">
        <v>34820</v>
      </c>
      <c r="B183" s="1">
        <v>962000401</v>
      </c>
      <c r="C183" s="1" t="str">
        <f>"تخليه اصفهان كيلومتر12جاده اصفهان نايين كارخانه آسفالت نوژان خشت"</f>
        <v>تخليه اصفهان كيلومتر12جاده اصفهان نايين كارخانه آسفالت نوژان خشت</v>
      </c>
      <c r="D183" s="1">
        <v>12820</v>
      </c>
      <c r="E183" s="1">
        <v>34820</v>
      </c>
      <c r="F183" s="1">
        <v>96</v>
      </c>
      <c r="G183" s="1">
        <v>0</v>
      </c>
      <c r="H183" s="1" t="str">
        <f>"96/09/20"</f>
        <v>96/09/20</v>
      </c>
      <c r="I183" s="1" t="str">
        <f>"كيلوگرم"</f>
        <v>كيلوگرم</v>
      </c>
      <c r="J183" s="1" t="str">
        <f>"0000000076"</f>
        <v>0000000076</v>
      </c>
      <c r="K183" s="1" t="str">
        <f>"قير 60/70 - فله"</f>
        <v>قير 60/70 - فله</v>
      </c>
      <c r="L183" s="1">
        <v>100</v>
      </c>
      <c r="M183" s="1" t="str">
        <f>"مخازن قير اصفهان"</f>
        <v>مخازن قير اصفهان</v>
      </c>
      <c r="N183" s="1">
        <v>10030</v>
      </c>
      <c r="O183" s="1">
        <v>50037714</v>
      </c>
      <c r="P183" s="1" t="str">
        <f>"  شهرداري تودشك"</f>
        <v xml:space="preserve">  شهرداري تودشك</v>
      </c>
      <c r="Q183" s="1">
        <v>20</v>
      </c>
      <c r="R183" s="1" t="str">
        <f>"فروش داخلي - سازمان شهرداري ها و دهياري هاي كشور"</f>
        <v>فروش داخلي - سازمان شهرداري ها و دهياري هاي كشور</v>
      </c>
      <c r="S183" s="1" t="str">
        <f>"قرارداد فروش"</f>
        <v>قرارداد فروش</v>
      </c>
      <c r="T183" s="1" t="str">
        <f>"ندارد"</f>
        <v>ندارد</v>
      </c>
      <c r="U183" s="1" t="str">
        <f>"تعاوني جم گستر (1001 ج 89)"</f>
        <v>تعاوني جم گستر (1001 ج 89)</v>
      </c>
      <c r="V183" s="1">
        <v>962000401</v>
      </c>
      <c r="W183" s="1">
        <v>962000401</v>
      </c>
      <c r="X183" s="1" t="str">
        <f>"1396529711"</f>
        <v>1396529711</v>
      </c>
      <c r="Y183" s="1" t="str">
        <f>"96/09/20"</f>
        <v>96/09/20</v>
      </c>
      <c r="Z183" s="1" t="str">
        <f>"37594مرحله دوم"</f>
        <v>37594مرحله دوم</v>
      </c>
      <c r="AA183" s="1" t="str">
        <f>"شهرداريها"</f>
        <v>شهرداريها</v>
      </c>
      <c r="AB183" s="1" t="str">
        <f>"96/09/05"</f>
        <v>96/09/05</v>
      </c>
      <c r="AC183" s="1" t="str">
        <f>"استان اصفهان"</f>
        <v>استان اصفهان</v>
      </c>
      <c r="AD183" s="1" t="str">
        <f>"96/09/13"</f>
        <v>96/09/13</v>
      </c>
      <c r="AE183" s="1" t="str">
        <f>"اختتام"</f>
        <v>اختتام</v>
      </c>
      <c r="AF183" s="1" t="str">
        <f>""</f>
        <v/>
      </c>
      <c r="AG183" s="1" t="str">
        <f>""</f>
        <v/>
      </c>
      <c r="AH183" s="1" t="str">
        <f>""</f>
        <v/>
      </c>
      <c r="AI183" s="1" t="str">
        <f>""</f>
        <v/>
      </c>
      <c r="AJ183" s="1" t="str">
        <f>""</f>
        <v/>
      </c>
      <c r="AK183" s="1" t="str">
        <f>""</f>
        <v/>
      </c>
    </row>
    <row r="184" spans="1:37">
      <c r="A184" s="1">
        <v>108917</v>
      </c>
      <c r="B184" s="1">
        <v>962000229</v>
      </c>
      <c r="C184" s="1" t="str">
        <f>"تخليه -يزد-چم -كارخانه آسفالت سازمان همياري"</f>
        <v>تخليه -يزد-چم -كارخانه آسفالت سازمان همياري</v>
      </c>
      <c r="D184" s="1">
        <v>9113</v>
      </c>
      <c r="E184" s="1">
        <v>108917</v>
      </c>
      <c r="F184" s="1">
        <v>96</v>
      </c>
      <c r="G184" s="1">
        <v>0</v>
      </c>
      <c r="H184" s="1" t="str">
        <f>"96/07/03"</f>
        <v>96/07/03</v>
      </c>
      <c r="I184" s="1" t="str">
        <f>"كيلوگرم"</f>
        <v>كيلوگرم</v>
      </c>
      <c r="J184" s="1" t="str">
        <f>"0000000076"</f>
        <v>0000000076</v>
      </c>
      <c r="K184" s="1" t="str">
        <f>"قير 60/70 - فله"</f>
        <v>قير 60/70 - فله</v>
      </c>
      <c r="L184" s="1">
        <v>100</v>
      </c>
      <c r="M184" s="1" t="str">
        <f>"مخازن قير اصفهان"</f>
        <v>مخازن قير اصفهان</v>
      </c>
      <c r="N184" s="1">
        <v>9655</v>
      </c>
      <c r="O184" s="1">
        <v>50036468</v>
      </c>
      <c r="P184" s="1" t="str">
        <f>"  شهرداري نير"</f>
        <v xml:space="preserve">  شهرداري نير</v>
      </c>
      <c r="Q184" s="1">
        <v>20</v>
      </c>
      <c r="R184" s="1" t="str">
        <f>"فروش داخلي - سازمان شهرداري ها و دهياري هاي كشور"</f>
        <v>فروش داخلي - سازمان شهرداري ها و دهياري هاي كشور</v>
      </c>
      <c r="S184" s="1" t="str">
        <f>"قرارداد فروش"</f>
        <v>قرارداد فروش</v>
      </c>
      <c r="T184" s="1" t="str">
        <f>"ندارد"</f>
        <v>ندارد</v>
      </c>
      <c r="U184" s="1" t="str">
        <f>"تعاوني جم گستر (1001 ج 89)"</f>
        <v>تعاوني جم گستر (1001 ج 89)</v>
      </c>
      <c r="V184" s="1">
        <v>962000229</v>
      </c>
      <c r="W184" s="1">
        <v>962000229</v>
      </c>
      <c r="X184" s="1" t="str">
        <f>"1396514467"</f>
        <v>1396514467</v>
      </c>
      <c r="Y184" s="1" t="str">
        <f>"96/07/03"</f>
        <v>96/07/03</v>
      </c>
      <c r="Z184" s="1" t="str">
        <f>"26645مرحله اول"</f>
        <v>26645مرحله اول</v>
      </c>
      <c r="AA184" s="1" t="str">
        <f>"شهرداريها"</f>
        <v>شهرداريها</v>
      </c>
      <c r="AB184" s="1" t="str">
        <f>"96/06/29"</f>
        <v>96/06/29</v>
      </c>
      <c r="AC184" s="1" t="str">
        <f>"استان يزد"</f>
        <v>استان يزد</v>
      </c>
      <c r="AD184" s="1" t="str">
        <f>"96/07/03"</f>
        <v>96/07/03</v>
      </c>
      <c r="AE184" s="1" t="str">
        <f>"اختتام"</f>
        <v>اختتام</v>
      </c>
      <c r="AF184" s="1" t="str">
        <f>""</f>
        <v/>
      </c>
      <c r="AG184" s="1" t="str">
        <f>""</f>
        <v/>
      </c>
      <c r="AH184" s="1" t="str">
        <f>""</f>
        <v/>
      </c>
      <c r="AI184" s="1" t="str">
        <f>""</f>
        <v/>
      </c>
      <c r="AJ184" s="1" t="str">
        <f>""</f>
        <v/>
      </c>
      <c r="AK184" s="1" t="str">
        <f>""</f>
        <v/>
      </c>
    </row>
    <row r="185" spans="1:37">
      <c r="A185" s="1">
        <v>34571</v>
      </c>
      <c r="B185" s="1">
        <v>962000409</v>
      </c>
      <c r="C185" s="1" t="str">
        <f>"تخليه -اصفهان -جرقويه سفلي -سه راهي محمدآباد-كارخانه آسفالت جرقويه"</f>
        <v>تخليه -اصفهان -جرقويه سفلي -سه راهي محمدآباد-كارخانه آسفالت جرقويه</v>
      </c>
      <c r="D185" s="1">
        <v>12820</v>
      </c>
      <c r="E185" s="1">
        <v>34571</v>
      </c>
      <c r="F185" s="1">
        <v>96</v>
      </c>
      <c r="G185" s="1">
        <v>0</v>
      </c>
      <c r="H185" s="1" t="str">
        <f>"96/09/20"</f>
        <v>96/09/20</v>
      </c>
      <c r="I185" s="1" t="str">
        <f>"كيلوگرم"</f>
        <v>كيلوگرم</v>
      </c>
      <c r="J185" s="1" t="str">
        <f>"0000000076"</f>
        <v>0000000076</v>
      </c>
      <c r="K185" s="1" t="str">
        <f>"قير 60/70 - فله"</f>
        <v>قير 60/70 - فله</v>
      </c>
      <c r="L185" s="1">
        <v>100</v>
      </c>
      <c r="M185" s="1" t="str">
        <f>"مخازن قير اصفهان"</f>
        <v>مخازن قير اصفهان</v>
      </c>
      <c r="N185" s="1">
        <v>10046</v>
      </c>
      <c r="O185" s="1">
        <v>50037722</v>
      </c>
      <c r="P185" s="1" t="str">
        <f>"  شهرداري نيك آباد"</f>
        <v xml:space="preserve">  شهرداري نيك آباد</v>
      </c>
      <c r="Q185" s="1">
        <v>20</v>
      </c>
      <c r="R185" s="1" t="str">
        <f>"فروش داخلي - سازمان شهرداري ها و دهياري هاي كشور"</f>
        <v>فروش داخلي - سازمان شهرداري ها و دهياري هاي كشور</v>
      </c>
      <c r="S185" s="1" t="str">
        <f>"قرارداد فروش"</f>
        <v>قرارداد فروش</v>
      </c>
      <c r="T185" s="1" t="str">
        <f>"ندارد"</f>
        <v>ندارد</v>
      </c>
      <c r="U185" s="1" t="str">
        <f>"تعاوني جم گستر (1001 ج 89)"</f>
        <v>تعاوني جم گستر (1001 ج 89)</v>
      </c>
      <c r="V185" s="1">
        <v>962000409</v>
      </c>
      <c r="W185" s="1">
        <v>962000409</v>
      </c>
      <c r="X185" s="1" t="str">
        <f>"1396529711"</f>
        <v>1396529711</v>
      </c>
      <c r="Y185" s="1" t="str">
        <f>"96/09/20"</f>
        <v>96/09/20</v>
      </c>
      <c r="Z185" s="1" t="str">
        <f>"37276مرحله دوم"</f>
        <v>37276مرحله دوم</v>
      </c>
      <c r="AA185" s="1" t="str">
        <f>"شهرداريها"</f>
        <v>شهرداريها</v>
      </c>
      <c r="AB185" s="1" t="str">
        <f>"96/09/05"</f>
        <v>96/09/05</v>
      </c>
      <c r="AC185" s="1" t="str">
        <f>"استان اصفهان"</f>
        <v>استان اصفهان</v>
      </c>
      <c r="AD185" s="1" t="str">
        <f>"96/09/13"</f>
        <v>96/09/13</v>
      </c>
      <c r="AE185" s="1" t="str">
        <f>"اختتام"</f>
        <v>اختتام</v>
      </c>
      <c r="AF185" s="1" t="str">
        <f>""</f>
        <v/>
      </c>
      <c r="AG185" s="1" t="str">
        <f>""</f>
        <v/>
      </c>
      <c r="AH185" s="1" t="str">
        <f>""</f>
        <v/>
      </c>
      <c r="AI185" s="1" t="str">
        <f>""</f>
        <v/>
      </c>
      <c r="AJ185" s="1" t="str">
        <f>""</f>
        <v/>
      </c>
      <c r="AK185" s="1" t="str">
        <f>""</f>
        <v/>
      </c>
    </row>
    <row r="186" spans="1:37">
      <c r="A186" s="1">
        <v>105754</v>
      </c>
      <c r="B186" s="1">
        <v>962000059</v>
      </c>
      <c r="C186" s="1" t="str">
        <f>"تخليه - اصفهان - شهرک صنعتي مبارکه-جنب پلي اکريل کارخانه آسفالت غفراني شرکت محکم بناسازان"</f>
        <v>تخليه - اصفهان - شهرک صنعتي مبارکه-جنب پلي اکريل کارخانه آسفالت غفراني شرکت محکم بناسازان</v>
      </c>
      <c r="D186" s="1">
        <v>9113</v>
      </c>
      <c r="E186" s="1">
        <v>105754</v>
      </c>
      <c r="F186" s="1">
        <v>96</v>
      </c>
      <c r="G186" s="1">
        <v>0</v>
      </c>
      <c r="H186" s="1" t="str">
        <f>"96/07/03"</f>
        <v>96/07/03</v>
      </c>
      <c r="I186" s="1" t="str">
        <f>"كيلوگرم"</f>
        <v>كيلوگرم</v>
      </c>
      <c r="J186" s="1" t="str">
        <f>"0000000076"</f>
        <v>0000000076</v>
      </c>
      <c r="K186" s="1" t="str">
        <f>"قير 60/70 - فله"</f>
        <v>قير 60/70 - فله</v>
      </c>
      <c r="L186" s="1">
        <v>100</v>
      </c>
      <c r="M186" s="1" t="str">
        <f>"مخازن قير اصفهان"</f>
        <v>مخازن قير اصفهان</v>
      </c>
      <c r="N186" s="1">
        <v>10065</v>
      </c>
      <c r="O186" s="1">
        <v>50036207</v>
      </c>
      <c r="P186" s="1" t="str">
        <f>"  شهرداري عسگران"</f>
        <v xml:space="preserve">  شهرداري عسگران</v>
      </c>
      <c r="Q186" s="1">
        <v>20</v>
      </c>
      <c r="R186" s="1" t="str">
        <f>"فروش داخلي - سازمان شهرداري ها و دهياري هاي كشور"</f>
        <v>فروش داخلي - سازمان شهرداري ها و دهياري هاي كشور</v>
      </c>
      <c r="S186" s="1" t="str">
        <f>"قرارداد فروش"</f>
        <v>قرارداد فروش</v>
      </c>
      <c r="T186" s="1" t="str">
        <f>"ندارد"</f>
        <v>ندارد</v>
      </c>
      <c r="U186" s="1" t="str">
        <f>"تعاوني جم گستر (1001 ج 89)"</f>
        <v>تعاوني جم گستر (1001 ج 89)</v>
      </c>
      <c r="V186" s="1">
        <v>962000059</v>
      </c>
      <c r="W186" s="1">
        <v>962000059</v>
      </c>
      <c r="X186" s="1" t="str">
        <f>"1396514467"</f>
        <v>1396514467</v>
      </c>
      <c r="Y186" s="1" t="str">
        <f>"96/07/03"</f>
        <v>96/07/03</v>
      </c>
      <c r="Z186" s="1" t="str">
        <f>"26697مرحله اول"</f>
        <v>26697مرحله اول</v>
      </c>
      <c r="AA186" s="1" t="str">
        <f>"شهرداريها"</f>
        <v>شهرداريها</v>
      </c>
      <c r="AB186" s="1" t="str">
        <f>"96/06/29"</f>
        <v>96/06/29</v>
      </c>
      <c r="AC186" s="1" t="str">
        <f>"استان اصفهان"</f>
        <v>استان اصفهان</v>
      </c>
      <c r="AD186" s="1" t="str">
        <f>"96/07/03"</f>
        <v>96/07/03</v>
      </c>
      <c r="AE186" s="1" t="str">
        <f>"اختتام"</f>
        <v>اختتام</v>
      </c>
      <c r="AF186" s="1" t="str">
        <f>""</f>
        <v/>
      </c>
      <c r="AG186" s="1" t="str">
        <f>""</f>
        <v/>
      </c>
      <c r="AH186" s="1" t="str">
        <f>""</f>
        <v/>
      </c>
      <c r="AI186" s="1" t="str">
        <f>""</f>
        <v/>
      </c>
      <c r="AJ186" s="1" t="str">
        <f>""</f>
        <v/>
      </c>
      <c r="AK186" s="1" t="str">
        <f>""</f>
        <v/>
      </c>
    </row>
    <row r="187" spans="1:37">
      <c r="A187" s="1">
        <v>140051</v>
      </c>
      <c r="B187" s="1">
        <v>962000230</v>
      </c>
      <c r="C187" s="1" t="str">
        <f>"تخليه يزد-هرات خيابان شهيدصدوقي انبارشهرداري هرات"</f>
        <v>تخليه يزد-هرات خيابان شهيدصدوقي انبارشهرداري هرات</v>
      </c>
      <c r="D187" s="1">
        <v>9113</v>
      </c>
      <c r="E187" s="1">
        <v>140051</v>
      </c>
      <c r="F187" s="1">
        <v>96</v>
      </c>
      <c r="G187" s="1">
        <v>0</v>
      </c>
      <c r="H187" s="1" t="str">
        <f>"96/07/03"</f>
        <v>96/07/03</v>
      </c>
      <c r="I187" s="1" t="str">
        <f>"كيلوگرم"</f>
        <v>كيلوگرم</v>
      </c>
      <c r="J187" s="1" t="str">
        <f>"0000000076"</f>
        <v>0000000076</v>
      </c>
      <c r="K187" s="1" t="str">
        <f>"قير 60/70 - فله"</f>
        <v>قير 60/70 - فله</v>
      </c>
      <c r="L187" s="1">
        <v>100</v>
      </c>
      <c r="M187" s="1" t="str">
        <f>"مخازن قير اصفهان"</f>
        <v>مخازن قير اصفهان</v>
      </c>
      <c r="N187" s="1">
        <v>9691</v>
      </c>
      <c r="O187" s="1">
        <v>50036469</v>
      </c>
      <c r="P187" s="1" t="str">
        <f>"  شهرداري هرات"</f>
        <v xml:space="preserve">  شهرداري هرات</v>
      </c>
      <c r="Q187" s="1">
        <v>20</v>
      </c>
      <c r="R187" s="1" t="str">
        <f>"فروش داخلي - سازمان شهرداري ها و دهياري هاي كشور"</f>
        <v>فروش داخلي - سازمان شهرداري ها و دهياري هاي كشور</v>
      </c>
      <c r="S187" s="1" t="str">
        <f>"قرارداد فروش"</f>
        <v>قرارداد فروش</v>
      </c>
      <c r="T187" s="1" t="str">
        <f>"ندارد"</f>
        <v>ندارد</v>
      </c>
      <c r="U187" s="1" t="str">
        <f>"تعاوني جم گستر (1001 ج 89)"</f>
        <v>تعاوني جم گستر (1001 ج 89)</v>
      </c>
      <c r="V187" s="1">
        <v>962000230</v>
      </c>
      <c r="W187" s="1">
        <v>962000230</v>
      </c>
      <c r="X187" s="1" t="str">
        <f>"1396514467"</f>
        <v>1396514467</v>
      </c>
      <c r="Y187" s="1" t="str">
        <f>"96/07/03"</f>
        <v>96/07/03</v>
      </c>
      <c r="Z187" s="1" t="str">
        <f>"26658مرحله اول"</f>
        <v>26658مرحله اول</v>
      </c>
      <c r="AA187" s="1" t="str">
        <f>"شهرداريها"</f>
        <v>شهرداريها</v>
      </c>
      <c r="AB187" s="1" t="str">
        <f>"96/06/29"</f>
        <v>96/06/29</v>
      </c>
      <c r="AC187" s="1" t="str">
        <f>"استان يزد"</f>
        <v>استان يزد</v>
      </c>
      <c r="AD187" s="1" t="str">
        <f>"96/07/03"</f>
        <v>96/07/03</v>
      </c>
      <c r="AE187" s="1" t="str">
        <f>"اختتام"</f>
        <v>اختتام</v>
      </c>
      <c r="AF187" s="1" t="str">
        <f>""</f>
        <v/>
      </c>
      <c r="AG187" s="1" t="str">
        <f>""</f>
        <v/>
      </c>
      <c r="AH187" s="1" t="str">
        <f>""</f>
        <v/>
      </c>
      <c r="AI187" s="1" t="str">
        <f>""</f>
        <v/>
      </c>
      <c r="AJ187" s="1" t="str">
        <f>""</f>
        <v/>
      </c>
      <c r="AK187" s="1" t="str">
        <f>""</f>
        <v/>
      </c>
    </row>
    <row r="188" spans="1:37">
      <c r="A188" s="1">
        <v>65707</v>
      </c>
      <c r="B188" s="1">
        <v>962000235</v>
      </c>
      <c r="C188" s="1" t="str">
        <f>"تخليه - يزد-اردکان-کارخانه آسفالت هامون"</f>
        <v>تخليه - يزد-اردکان-کارخانه آسفالت هامون</v>
      </c>
      <c r="D188" s="1">
        <v>9113</v>
      </c>
      <c r="E188" s="1">
        <v>65707</v>
      </c>
      <c r="F188" s="1">
        <v>96</v>
      </c>
      <c r="G188" s="1">
        <v>0</v>
      </c>
      <c r="H188" s="1" t="str">
        <f>"96/09/07"</f>
        <v>96/09/07</v>
      </c>
      <c r="I188" s="1" t="str">
        <f>"كيلوگرم"</f>
        <v>كيلوگرم</v>
      </c>
      <c r="J188" s="1" t="str">
        <f>"0000000076"</f>
        <v>0000000076</v>
      </c>
      <c r="K188" s="1" t="str">
        <f>"قير 60/70 - فله"</f>
        <v>قير 60/70 - فله</v>
      </c>
      <c r="L188" s="1">
        <v>100</v>
      </c>
      <c r="M188" s="1" t="str">
        <f>"مخازن قير اصفهان"</f>
        <v>مخازن قير اصفهان</v>
      </c>
      <c r="N188" s="1">
        <v>9361</v>
      </c>
      <c r="O188" s="1">
        <v>50037277</v>
      </c>
      <c r="P188" s="1" t="str">
        <f>"  شهرداري اشكذر"</f>
        <v xml:space="preserve">  شهرداري اشكذر</v>
      </c>
      <c r="Q188" s="1">
        <v>20</v>
      </c>
      <c r="R188" s="1" t="str">
        <f>"فروش داخلي - سازمان شهرداري ها و دهياري هاي كشور"</f>
        <v>فروش داخلي - سازمان شهرداري ها و دهياري هاي كشور</v>
      </c>
      <c r="S188" s="1" t="str">
        <f>"قرارداد فروش"</f>
        <v>قرارداد فروش</v>
      </c>
      <c r="T188" s="1" t="str">
        <f>"ندارد"</f>
        <v>ندارد</v>
      </c>
      <c r="U188" s="1" t="str">
        <f>"تعاوني جم گستر (1001 ج 89)"</f>
        <v>تعاوني جم گستر (1001 ج 89)</v>
      </c>
      <c r="V188" s="1">
        <v>962000235</v>
      </c>
      <c r="W188" s="1">
        <v>962000235</v>
      </c>
      <c r="X188" s="1" t="str">
        <f>"1396514467"</f>
        <v>1396514467</v>
      </c>
      <c r="Y188" s="1" t="str">
        <f>"96/09/07"</f>
        <v>96/09/07</v>
      </c>
      <c r="Z188" s="1" t="str">
        <f>"36640مرحله دوم"</f>
        <v>36640مرحله دوم</v>
      </c>
      <c r="AA188" s="1" t="str">
        <f>"شهرداريها"</f>
        <v>شهرداريها</v>
      </c>
      <c r="AB188" s="1" t="str">
        <f>"96/09/01"</f>
        <v>96/09/01</v>
      </c>
      <c r="AC188" s="1" t="str">
        <f>"استان يزد"</f>
        <v>استان يزد</v>
      </c>
      <c r="AD188" s="1" t="str">
        <f>"96/07/03"</f>
        <v>96/07/03</v>
      </c>
      <c r="AE188" s="1" t="str">
        <f>"تاييدشده"</f>
        <v>تاييدشده</v>
      </c>
      <c r="AF188" s="1" t="str">
        <f>""</f>
        <v/>
      </c>
      <c r="AG188" s="1" t="str">
        <f>""</f>
        <v/>
      </c>
      <c r="AH188" s="1" t="str">
        <f>""</f>
        <v/>
      </c>
      <c r="AI188" s="1" t="str">
        <f>""</f>
        <v/>
      </c>
      <c r="AJ188" s="1" t="str">
        <f>""</f>
        <v/>
      </c>
      <c r="AK188" s="1" t="str">
        <f>""</f>
        <v/>
      </c>
    </row>
    <row r="189" spans="1:37">
      <c r="A189" s="1">
        <v>166314</v>
      </c>
      <c r="B189" s="1">
        <v>962000206</v>
      </c>
      <c r="C189" s="1" t="str">
        <f>"تخليه كهگيلويه وبويراحمد-باشت پل بريم تعاوني 1853"</f>
        <v>تخليه كهگيلويه وبويراحمد-باشت پل بريم تعاوني 1853</v>
      </c>
      <c r="D189" s="1">
        <v>9113</v>
      </c>
      <c r="E189" s="1">
        <v>166314</v>
      </c>
      <c r="F189" s="1">
        <v>96</v>
      </c>
      <c r="G189" s="1">
        <v>0</v>
      </c>
      <c r="H189" s="1" t="str">
        <f>"96/07/03"</f>
        <v>96/07/03</v>
      </c>
      <c r="I189" s="1" t="str">
        <f>"كيلوگرم"</f>
        <v>كيلوگرم</v>
      </c>
      <c r="J189" s="1" t="str">
        <f>"0000000076"</f>
        <v>0000000076</v>
      </c>
      <c r="K189" s="1" t="str">
        <f>"قير 60/70 - فله"</f>
        <v>قير 60/70 - فله</v>
      </c>
      <c r="L189" s="1">
        <v>100</v>
      </c>
      <c r="M189" s="1" t="str">
        <f>"مخازن قير اصفهان"</f>
        <v>مخازن قير اصفهان</v>
      </c>
      <c r="N189" s="1">
        <v>10071</v>
      </c>
      <c r="O189" s="1">
        <v>50036437</v>
      </c>
      <c r="P189" s="1" t="str">
        <f>"  شهرداري باشت"</f>
        <v xml:space="preserve">  شهرداري باشت</v>
      </c>
      <c r="Q189" s="1">
        <v>20</v>
      </c>
      <c r="R189" s="1" t="str">
        <f>"فروش داخلي - سازمان شهرداري ها و دهياري هاي كشور"</f>
        <v>فروش داخلي - سازمان شهرداري ها و دهياري هاي كشور</v>
      </c>
      <c r="S189" s="1" t="str">
        <f>"قرارداد فروش"</f>
        <v>قرارداد فروش</v>
      </c>
      <c r="T189" s="1" t="str">
        <f>"ندارد"</f>
        <v>ندارد</v>
      </c>
      <c r="U189" s="1" t="str">
        <f>"تعاوني جم گستر (1001 ج 89)"</f>
        <v>تعاوني جم گستر (1001 ج 89)</v>
      </c>
      <c r="V189" s="1">
        <v>962000206</v>
      </c>
      <c r="W189" s="1">
        <v>962000206</v>
      </c>
      <c r="X189" s="1" t="str">
        <f>"1396514467"</f>
        <v>1396514467</v>
      </c>
      <c r="Y189" s="1" t="str">
        <f>"96/07/03"</f>
        <v>96/07/03</v>
      </c>
      <c r="Z189" s="1" t="str">
        <f>"26745مرحله اول"</f>
        <v>26745مرحله اول</v>
      </c>
      <c r="AA189" s="1" t="str">
        <f>"شهرداريها"</f>
        <v>شهرداريها</v>
      </c>
      <c r="AB189" s="1" t="str">
        <f>"96/06/29"</f>
        <v>96/06/29</v>
      </c>
      <c r="AC189" s="1" t="str">
        <f>"كهكيلويه و بوير احمد"</f>
        <v>كهكيلويه و بوير احمد</v>
      </c>
      <c r="AD189" s="1" t="str">
        <f>"96/07/03"</f>
        <v>96/07/03</v>
      </c>
      <c r="AE189" s="1" t="str">
        <f>"تاييدشده"</f>
        <v>تاييدشده</v>
      </c>
      <c r="AF189" s="1" t="str">
        <f>""</f>
        <v/>
      </c>
      <c r="AG189" s="1" t="str">
        <f>""</f>
        <v/>
      </c>
      <c r="AH189" s="1" t="str">
        <f>""</f>
        <v/>
      </c>
      <c r="AI189" s="1" t="str">
        <f>""</f>
        <v/>
      </c>
      <c r="AJ189" s="1" t="str">
        <f>""</f>
        <v/>
      </c>
      <c r="AK189" s="1" t="str">
        <f>""</f>
        <v/>
      </c>
    </row>
    <row r="190" spans="1:37">
      <c r="A190" s="1">
        <v>75000</v>
      </c>
      <c r="B190" s="1">
        <v>966200341</v>
      </c>
      <c r="C190" s="1" t="str">
        <f>"تخليه -اصفهان -جاده اردستان سه راهي اردستان -كارخانه آسفالت بسترسازان"</f>
        <v>تخليه -اصفهان -جاده اردستان سه راهي اردستان -كارخانه آسفالت بسترسازان</v>
      </c>
      <c r="D190" s="1">
        <v>9113</v>
      </c>
      <c r="E190" s="1">
        <v>74340</v>
      </c>
      <c r="F190" s="1">
        <v>96</v>
      </c>
      <c r="G190" s="1">
        <v>660</v>
      </c>
      <c r="H190" s="1" t="str">
        <f>"96/07/25"</f>
        <v>96/07/25</v>
      </c>
      <c r="I190" s="1" t="str">
        <f>"كيلوگرم"</f>
        <v>كيلوگرم</v>
      </c>
      <c r="J190" s="1" t="str">
        <f>"0000000076"</f>
        <v>0000000076</v>
      </c>
      <c r="K190" s="1" t="str">
        <f>"قير 60/70 - فله"</f>
        <v>قير 60/70 - فله</v>
      </c>
      <c r="L190" s="1">
        <v>100</v>
      </c>
      <c r="M190" s="1" t="str">
        <f>"مخازن قير اصفهان"</f>
        <v>مخازن قير اصفهان</v>
      </c>
      <c r="N190" s="1">
        <v>10088</v>
      </c>
      <c r="O190" s="1">
        <v>50036788</v>
      </c>
      <c r="P190" s="1" t="str">
        <f>"  عمراني بسترسازان كوير"</f>
        <v xml:space="preserve">  عمراني بسترسازان كوير</v>
      </c>
      <c r="Q190" s="1">
        <v>62</v>
      </c>
      <c r="R190" s="1" t="str">
        <f>"فروش داخلي - سازمان بنيادمسكن انقلاب اسلامي"</f>
        <v>فروش داخلي - سازمان بنيادمسكن انقلاب اسلامي</v>
      </c>
      <c r="S190" s="1" t="str">
        <f>"قرارداد فروش"</f>
        <v>قرارداد فروش</v>
      </c>
      <c r="T190" s="1" t="str">
        <f>"ندارد"</f>
        <v>ندارد</v>
      </c>
      <c r="U190" s="1" t="str">
        <f>"عزيزي صفر(1006ج 89)"</f>
        <v>عزيزي صفر(1006ج 89)</v>
      </c>
      <c r="V190" s="1">
        <v>966200341</v>
      </c>
      <c r="W190" s="1">
        <v>966200341</v>
      </c>
      <c r="X190" s="1" t="str">
        <f>"1396519152"</f>
        <v>1396519152</v>
      </c>
      <c r="Y190" s="1" t="str">
        <f>"96/07/25"</f>
        <v>96/07/25</v>
      </c>
      <c r="Z190" s="1" t="str">
        <f>"33087/د"</f>
        <v>33087/د</v>
      </c>
      <c r="AA190" s="1" t="str">
        <f>"بنيادمسكن انقلاب اسلامي"</f>
        <v>بنيادمسكن انقلاب اسلامي</v>
      </c>
      <c r="AB190" s="1" t="str">
        <f>"96/07/24"</f>
        <v>96/07/24</v>
      </c>
      <c r="AC190" s="1" t="str">
        <f>"استان اصفهان"</f>
        <v>استان اصفهان</v>
      </c>
      <c r="AD190" s="1" t="str">
        <f>"96/07/25"</f>
        <v>96/07/25</v>
      </c>
      <c r="AE190" s="1" t="str">
        <f>"اختتام"</f>
        <v>اختتام</v>
      </c>
      <c r="AF190" s="1" t="str">
        <f>""</f>
        <v/>
      </c>
      <c r="AG190" s="1" t="str">
        <f>""</f>
        <v/>
      </c>
      <c r="AH190" s="1" t="str">
        <f>""</f>
        <v/>
      </c>
      <c r="AI190" s="1" t="str">
        <f>""</f>
        <v/>
      </c>
      <c r="AJ190" s="1" t="str">
        <f>""</f>
        <v/>
      </c>
      <c r="AK190" s="1" t="str">
        <f>""</f>
        <v/>
      </c>
    </row>
    <row r="191" spans="1:37">
      <c r="A191" s="1">
        <v>34553</v>
      </c>
      <c r="B191" s="1">
        <v>962000462</v>
      </c>
      <c r="C191" s="1" t="str">
        <f>"تخليه اصفهان كيلومتركاشان جاده قمصر"</f>
        <v>تخليه اصفهان كيلومتركاشان جاده قمصر</v>
      </c>
      <c r="D191" s="1">
        <v>12820</v>
      </c>
      <c r="E191" s="1">
        <v>34553</v>
      </c>
      <c r="F191" s="1">
        <v>96</v>
      </c>
      <c r="G191" s="1">
        <v>0</v>
      </c>
      <c r="H191" s="1" t="str">
        <f>"96/09/20"</f>
        <v>96/09/20</v>
      </c>
      <c r="I191" s="1" t="str">
        <f>"كيلوگرم"</f>
        <v>كيلوگرم</v>
      </c>
      <c r="J191" s="1" t="str">
        <f>"0000000076"</f>
        <v>0000000076</v>
      </c>
      <c r="K191" s="1" t="str">
        <f>"قير 60/70 - فله"</f>
        <v>قير 60/70 - فله</v>
      </c>
      <c r="L191" s="1">
        <v>100</v>
      </c>
      <c r="M191" s="1" t="str">
        <f>"مخازن قير اصفهان"</f>
        <v>مخازن قير اصفهان</v>
      </c>
      <c r="N191" s="1">
        <v>9177</v>
      </c>
      <c r="O191" s="1">
        <v>50037784</v>
      </c>
      <c r="P191" s="1" t="str">
        <f>"  شهرداري نياسر"</f>
        <v xml:space="preserve">  شهرداري نياسر</v>
      </c>
      <c r="Q191" s="1">
        <v>20</v>
      </c>
      <c r="R191" s="1" t="str">
        <f>"فروش داخلي - سازمان شهرداري ها و دهياري هاي كشور"</f>
        <v>فروش داخلي - سازمان شهرداري ها و دهياري هاي كشور</v>
      </c>
      <c r="S191" s="1" t="str">
        <f>"قرارداد فروش"</f>
        <v>قرارداد فروش</v>
      </c>
      <c r="T191" s="1" t="str">
        <f>"ندارد"</f>
        <v>ندارد</v>
      </c>
      <c r="U191" s="1" t="str">
        <f>"تعاوني جم گستر (1001 ج 89)"</f>
        <v>تعاوني جم گستر (1001 ج 89)</v>
      </c>
      <c r="V191" s="1">
        <v>962000462</v>
      </c>
      <c r="W191" s="1">
        <v>962000462</v>
      </c>
      <c r="X191" s="1" t="str">
        <f>"1396529711"</f>
        <v>1396529711</v>
      </c>
      <c r="Y191" s="1" t="str">
        <f>"96/09/20"</f>
        <v>96/09/20</v>
      </c>
      <c r="Z191" s="1" t="str">
        <f>"37275مرحله دوم"</f>
        <v>37275مرحله دوم</v>
      </c>
      <c r="AA191" s="1" t="str">
        <f>"شهرداريها"</f>
        <v>شهرداريها</v>
      </c>
      <c r="AB191" s="1" t="str">
        <f>"96/09/05"</f>
        <v>96/09/05</v>
      </c>
      <c r="AC191" s="1" t="str">
        <f>"استان اصفهان"</f>
        <v>استان اصفهان</v>
      </c>
      <c r="AD191" s="1" t="str">
        <f>"96/09/13"</f>
        <v>96/09/13</v>
      </c>
      <c r="AE191" s="1" t="str">
        <f>"اختتام"</f>
        <v>اختتام</v>
      </c>
      <c r="AF191" s="1" t="str">
        <f>""</f>
        <v/>
      </c>
      <c r="AG191" s="1" t="str">
        <f>""</f>
        <v/>
      </c>
      <c r="AH191" s="1" t="str">
        <f>""</f>
        <v/>
      </c>
      <c r="AI191" s="1" t="str">
        <f>""</f>
        <v/>
      </c>
      <c r="AJ191" s="1" t="str">
        <f>""</f>
        <v/>
      </c>
      <c r="AK191" s="1" t="str">
        <f>""</f>
        <v/>
      </c>
    </row>
    <row r="192" spans="1:37">
      <c r="A192" s="1">
        <v>32000</v>
      </c>
      <c r="B192" s="1">
        <v>966200642</v>
      </c>
      <c r="C192" s="1" t="str">
        <f>"تخليه - کرمان-بافت-دوراهي گوغر -کارخانه آسفالت سيرجان عمران تداوم"</f>
        <v>تخليه - کرمان-بافت-دوراهي گوغر -کارخانه آسفالت سيرجان عمران تداوم</v>
      </c>
      <c r="D192" s="1">
        <v>13350</v>
      </c>
      <c r="E192" s="1">
        <v>24220</v>
      </c>
      <c r="F192" s="1">
        <v>96</v>
      </c>
      <c r="G192" s="1">
        <v>7780</v>
      </c>
      <c r="H192" s="1" t="str">
        <f>"96/12/14"</f>
        <v>96/12/14</v>
      </c>
      <c r="I192" s="1" t="str">
        <f>"كيلوگرم"</f>
        <v>كيلوگرم</v>
      </c>
      <c r="J192" s="1" t="str">
        <f>"0000000076"</f>
        <v>0000000076</v>
      </c>
      <c r="K192" s="1" t="str">
        <f>"قير 60/70 - فله"</f>
        <v>قير 60/70 - فله</v>
      </c>
      <c r="L192" s="1">
        <v>100</v>
      </c>
      <c r="M192" s="1" t="str">
        <f>"مخازن قير اصفهان"</f>
        <v>مخازن قير اصفهان</v>
      </c>
      <c r="N192" s="1">
        <v>9533</v>
      </c>
      <c r="O192" s="1">
        <v>50038763</v>
      </c>
      <c r="P192" s="1" t="str">
        <f>"  سيرجان عمران تداوم"</f>
        <v xml:space="preserve">  سيرجان عمران تداوم</v>
      </c>
      <c r="Q192" s="1">
        <v>62</v>
      </c>
      <c r="R192" s="1" t="str">
        <f>"فروش داخلي - سازمان بنيادمسكن انقلاب اسلامي"</f>
        <v>فروش داخلي - سازمان بنيادمسكن انقلاب اسلامي</v>
      </c>
      <c r="S192" s="1" t="str">
        <f>"قرارداد فروش"</f>
        <v>قرارداد فروش</v>
      </c>
      <c r="T192" s="1" t="str">
        <f>"ندارد"</f>
        <v>ندارد</v>
      </c>
      <c r="U192" s="1" t="str">
        <f>"خضرائي فريدون(4844003)"</f>
        <v>خضرائي فريدون(4844003)</v>
      </c>
      <c r="V192" s="1">
        <v>966200642</v>
      </c>
      <c r="W192" s="1">
        <v>966200642</v>
      </c>
      <c r="X192" s="1" t="str">
        <f>"1396552261"</f>
        <v>1396552261</v>
      </c>
      <c r="Y192" s="1" t="str">
        <f>"96/12/14"</f>
        <v>96/12/14</v>
      </c>
      <c r="Z192" s="1" t="str">
        <f>"56620/د"</f>
        <v>56620/د</v>
      </c>
      <c r="AA192" s="1" t="str">
        <f>"بنيادمسكن انقلاب اسلامي"</f>
        <v>بنيادمسكن انقلاب اسلامي</v>
      </c>
      <c r="AB192" s="1" t="str">
        <f>"96/12/13"</f>
        <v>96/12/13</v>
      </c>
      <c r="AC192" s="1" t="str">
        <f>"استان كرمان"</f>
        <v>استان كرمان</v>
      </c>
      <c r="AD192" s="1" t="str">
        <f>"96/12/14"</f>
        <v>96/12/14</v>
      </c>
      <c r="AE192" s="1" t="str">
        <f>"اختتام"</f>
        <v>اختتام</v>
      </c>
      <c r="AF192" s="1" t="str">
        <f>""</f>
        <v/>
      </c>
      <c r="AG192" s="1" t="str">
        <f>""</f>
        <v/>
      </c>
      <c r="AH192" s="1" t="str">
        <f>""</f>
        <v/>
      </c>
      <c r="AI192" s="1" t="str">
        <f>""</f>
        <v/>
      </c>
      <c r="AJ192" s="1" t="str">
        <f>""</f>
        <v/>
      </c>
      <c r="AK192" s="1" t="str">
        <f>""</f>
        <v/>
      </c>
    </row>
    <row r="193" spans="1:37">
      <c r="A193" s="1">
        <v>169076</v>
      </c>
      <c r="B193" s="1">
        <v>962000151</v>
      </c>
      <c r="C193" s="1" t="str">
        <f>"تخليه -خراسان جنوبي -کارخانه آسفالت شهرداري نهبندان"</f>
        <v>تخليه -خراسان جنوبي -کارخانه آسفالت شهرداري نهبندان</v>
      </c>
      <c r="D193" s="1">
        <v>9113</v>
      </c>
      <c r="E193" s="1">
        <v>169076</v>
      </c>
      <c r="F193" s="1">
        <v>96</v>
      </c>
      <c r="G193" s="1">
        <v>0</v>
      </c>
      <c r="H193" s="1" t="str">
        <f>"96/07/03"</f>
        <v>96/07/03</v>
      </c>
      <c r="I193" s="1" t="str">
        <f>"كيلوگرم"</f>
        <v>كيلوگرم</v>
      </c>
      <c r="J193" s="1" t="str">
        <f>"0000000076"</f>
        <v>0000000076</v>
      </c>
      <c r="K193" s="1" t="str">
        <f>"قير 60/70 - فله"</f>
        <v>قير 60/70 - فله</v>
      </c>
      <c r="L193" s="1">
        <v>100</v>
      </c>
      <c r="M193" s="1" t="str">
        <f>"مخازن قير اصفهان"</f>
        <v>مخازن قير اصفهان</v>
      </c>
      <c r="N193" s="1">
        <v>8169</v>
      </c>
      <c r="O193" s="1">
        <v>50036346</v>
      </c>
      <c r="P193" s="1" t="str">
        <f>"  شهرداري نهبندان"</f>
        <v xml:space="preserve">  شهرداري نهبندان</v>
      </c>
      <c r="Q193" s="1">
        <v>20</v>
      </c>
      <c r="R193" s="1" t="str">
        <f>"فروش داخلي - سازمان شهرداري ها و دهياري هاي كشور"</f>
        <v>فروش داخلي - سازمان شهرداري ها و دهياري هاي كشور</v>
      </c>
      <c r="S193" s="1" t="str">
        <f>"قرارداد فروش"</f>
        <v>قرارداد فروش</v>
      </c>
      <c r="T193" s="1" t="str">
        <f>"ندارد"</f>
        <v>ندارد</v>
      </c>
      <c r="U193" s="1" t="str">
        <f>"تعاوني جم گستر (1001 ج 89)"</f>
        <v>تعاوني جم گستر (1001 ج 89)</v>
      </c>
      <c r="V193" s="1">
        <v>962000151</v>
      </c>
      <c r="W193" s="1">
        <v>962000151</v>
      </c>
      <c r="X193" s="1" t="str">
        <f>"1396514467"</f>
        <v>1396514467</v>
      </c>
      <c r="Y193" s="1" t="str">
        <f>"96/07/03"</f>
        <v>96/07/03</v>
      </c>
      <c r="Z193" s="1" t="str">
        <f>"26716مرحله اول"</f>
        <v>26716مرحله اول</v>
      </c>
      <c r="AA193" s="1" t="str">
        <f>"شهرداريها"</f>
        <v>شهرداريها</v>
      </c>
      <c r="AB193" s="1" t="str">
        <f>"96/06/29"</f>
        <v>96/06/29</v>
      </c>
      <c r="AC193" s="1" t="str">
        <f>"خراسان جنوبي"</f>
        <v>خراسان جنوبي</v>
      </c>
      <c r="AD193" s="1" t="str">
        <f>"96/07/03"</f>
        <v>96/07/03</v>
      </c>
      <c r="AE193" s="1" t="str">
        <f>"اختتام"</f>
        <v>اختتام</v>
      </c>
      <c r="AF193" s="1" t="str">
        <f>""</f>
        <v/>
      </c>
      <c r="AG193" s="1" t="str">
        <f>""</f>
        <v/>
      </c>
      <c r="AH193" s="1" t="str">
        <f>""</f>
        <v/>
      </c>
      <c r="AI193" s="1" t="str">
        <f>""</f>
        <v/>
      </c>
      <c r="AJ193" s="1" t="str">
        <f>""</f>
        <v/>
      </c>
      <c r="AK193" s="1" t="str">
        <f>""</f>
        <v/>
      </c>
    </row>
    <row r="194" spans="1:37">
      <c r="A194" s="1">
        <v>60000</v>
      </c>
      <c r="B194" s="1">
        <v>966200303</v>
      </c>
      <c r="C194" s="1" t="str">
        <f>"تخليه-لرستان -دورودكيلومتر12جاده دورود-بروجرد-كارخانه آسفالت راه گستراحسان بروجرد"</f>
        <v>تخليه-لرستان -دورودكيلومتر12جاده دورود-بروجرد-كارخانه آسفالت راه گستراحسان بروجرد</v>
      </c>
      <c r="D194" s="1">
        <v>9113</v>
      </c>
      <c r="E194" s="1">
        <v>60000</v>
      </c>
      <c r="F194" s="1">
        <v>96</v>
      </c>
      <c r="G194" s="1">
        <v>0</v>
      </c>
      <c r="H194" s="1" t="str">
        <f>"96/07/18"</f>
        <v>96/07/18</v>
      </c>
      <c r="I194" s="1" t="str">
        <f>"كيلوگرم"</f>
        <v>كيلوگرم</v>
      </c>
      <c r="J194" s="1" t="str">
        <f>"0000000076"</f>
        <v>0000000076</v>
      </c>
      <c r="K194" s="1" t="str">
        <f>"قير 60/70 - فله"</f>
        <v>قير 60/70 - فله</v>
      </c>
      <c r="L194" s="1">
        <v>100</v>
      </c>
      <c r="M194" s="1" t="str">
        <f>"مخازن قير اصفهان"</f>
        <v>مخازن قير اصفهان</v>
      </c>
      <c r="N194" s="1">
        <v>9480</v>
      </c>
      <c r="O194" s="1">
        <v>50036653</v>
      </c>
      <c r="P194" s="1" t="str">
        <f>"  راه گستراحسان بروجرد"</f>
        <v xml:space="preserve">  راه گستراحسان بروجرد</v>
      </c>
      <c r="Q194" s="1">
        <v>62</v>
      </c>
      <c r="R194" s="1" t="str">
        <f>"فروش داخلي - سازمان بنيادمسكن انقلاب اسلامي"</f>
        <v>فروش داخلي - سازمان بنيادمسكن انقلاب اسلامي</v>
      </c>
      <c r="S194" s="1" t="str">
        <f>"قرارداد فروش"</f>
        <v>قرارداد فروش</v>
      </c>
      <c r="T194" s="1" t="str">
        <f>"ندارد"</f>
        <v>ندارد</v>
      </c>
      <c r="U194" s="1" t="str">
        <f>"ريسماني حسن(1007ج89)"</f>
        <v>ريسماني حسن(1007ج89)</v>
      </c>
      <c r="V194" s="1">
        <v>966200303</v>
      </c>
      <c r="W194" s="1">
        <v>966200303</v>
      </c>
      <c r="X194" s="1" t="str">
        <f>"1396517669"</f>
        <v>1396517669</v>
      </c>
      <c r="Y194" s="1" t="str">
        <f>"96/07/18"</f>
        <v>96/07/18</v>
      </c>
      <c r="Z194" s="1" t="str">
        <f>"31773/د"</f>
        <v>31773/د</v>
      </c>
      <c r="AA194" s="1" t="str">
        <f>"بنيادمسكن انقلاب اسلامي"</f>
        <v>بنيادمسكن انقلاب اسلامي</v>
      </c>
      <c r="AB194" s="1" t="str">
        <f>"96/07/17"</f>
        <v>96/07/17</v>
      </c>
      <c r="AC194" s="1" t="str">
        <f>"لرستان"</f>
        <v>لرستان</v>
      </c>
      <c r="AD194" s="1" t="str">
        <f>"96/07/18"</f>
        <v>96/07/18</v>
      </c>
      <c r="AE194" s="1" t="str">
        <f>"اختتام"</f>
        <v>اختتام</v>
      </c>
      <c r="AF194" s="1" t="str">
        <f>""</f>
        <v/>
      </c>
      <c r="AG194" s="1" t="str">
        <f>""</f>
        <v/>
      </c>
      <c r="AH194" s="1" t="str">
        <f>""</f>
        <v/>
      </c>
      <c r="AI194" s="1" t="str">
        <f>""</f>
        <v/>
      </c>
      <c r="AJ194" s="1" t="str">
        <f>""</f>
        <v/>
      </c>
      <c r="AK194" s="1" t="str">
        <f>""</f>
        <v/>
      </c>
    </row>
    <row r="195" spans="1:37">
      <c r="A195" s="1">
        <v>100000</v>
      </c>
      <c r="B195" s="1">
        <v>966200060</v>
      </c>
      <c r="C195" s="1" t="str">
        <f>"تخليه -گرگان -جاده گنبد-کيلومتر19-جاده جعفرآباد-کيلومتر1/5شرکت جاويد راه سازان کوثر گلستان"</f>
        <v>تخليه -گرگان -جاده گنبد-کيلومتر19-جاده جعفرآباد-کيلومتر1/5شرکت جاويد راه سازان کوثر گلستان</v>
      </c>
      <c r="D195" s="1">
        <v>8918</v>
      </c>
      <c r="E195" s="1">
        <v>100000</v>
      </c>
      <c r="F195" s="1">
        <v>96</v>
      </c>
      <c r="G195" s="1">
        <v>0</v>
      </c>
      <c r="H195" s="1" t="str">
        <f>"96/02/13"</f>
        <v>96/02/13</v>
      </c>
      <c r="I195" s="1" t="str">
        <f>"كيلوگرم"</f>
        <v>كيلوگرم</v>
      </c>
      <c r="J195" s="1" t="str">
        <f>"0000000076"</f>
        <v>0000000076</v>
      </c>
      <c r="K195" s="1" t="str">
        <f>"قير 60/70 - فله"</f>
        <v>قير 60/70 - فله</v>
      </c>
      <c r="L195" s="1">
        <v>100</v>
      </c>
      <c r="M195" s="1" t="str">
        <f>"مخازن قير اصفهان"</f>
        <v>مخازن قير اصفهان</v>
      </c>
      <c r="N195" s="1">
        <v>10226</v>
      </c>
      <c r="O195" s="1">
        <v>50034755</v>
      </c>
      <c r="P195" s="1" t="str">
        <f>"  جاويد راه سازان کوثر گلستان"</f>
        <v xml:space="preserve">  جاويد راه سازان کوثر گلستان</v>
      </c>
      <c r="Q195" s="1">
        <v>62</v>
      </c>
      <c r="R195" s="1" t="str">
        <f>"فروش داخلي - سازمان بنيادمسكن انقلاب اسلامي"</f>
        <v>فروش داخلي - سازمان بنيادمسكن انقلاب اسلامي</v>
      </c>
      <c r="S195" s="1" t="str">
        <f>"قرارداد فروش"</f>
        <v>قرارداد فروش</v>
      </c>
      <c r="T195" s="1" t="str">
        <f>"ندارد"</f>
        <v>ندارد</v>
      </c>
      <c r="U195" s="1" t="str">
        <f>"عليزاده فيض اله(1841035)"</f>
        <v>عليزاده فيض اله(1841035)</v>
      </c>
      <c r="V195" s="1">
        <v>966200060</v>
      </c>
      <c r="W195" s="1">
        <v>966200060</v>
      </c>
      <c r="X195" s="1" t="str">
        <f>"1396477992"</f>
        <v>1396477992</v>
      </c>
      <c r="Y195" s="1" t="str">
        <f>"96/02/13"</f>
        <v>96/02/13</v>
      </c>
      <c r="Z195" s="1" t="str">
        <f>"4637/د"</f>
        <v>4637/د</v>
      </c>
      <c r="AA195" s="1" t="str">
        <f>"بنيادمسكن انقلاب اسلامي"</f>
        <v>بنيادمسكن انقلاب اسلامي</v>
      </c>
      <c r="AB195" s="1" t="str">
        <f>"96/02/11"</f>
        <v>96/02/11</v>
      </c>
      <c r="AC195" s="1" t="str">
        <f>"استان گلستان"</f>
        <v>استان گلستان</v>
      </c>
      <c r="AD195" s="1" t="str">
        <f>"96/02/12"</f>
        <v>96/02/12</v>
      </c>
      <c r="AE195" s="1" t="str">
        <f>"اختتام"</f>
        <v>اختتام</v>
      </c>
      <c r="AF195" s="1" t="str">
        <f>""</f>
        <v/>
      </c>
      <c r="AG195" s="1" t="str">
        <f>""</f>
        <v/>
      </c>
      <c r="AH195" s="1" t="str">
        <f>""</f>
        <v/>
      </c>
      <c r="AI195" s="1" t="str">
        <f>""</f>
        <v/>
      </c>
      <c r="AJ195" s="1" t="str">
        <f>""</f>
        <v/>
      </c>
      <c r="AK195" s="1" t="str">
        <f>""</f>
        <v/>
      </c>
    </row>
    <row r="196" spans="1:37">
      <c r="A196" s="1">
        <v>86000</v>
      </c>
      <c r="B196" s="1">
        <v>966200061</v>
      </c>
      <c r="C196" s="1" t="str">
        <f>"تخليه -گرگان -جاده گنبد-کيلومتر19-جاده جعفرآباد-کيلومتر1/5شرکت جاويد راه سازان کوثر گلستان"</f>
        <v>تخليه -گرگان -جاده گنبد-کيلومتر19-جاده جعفرآباد-کيلومتر1/5شرکت جاويد راه سازان کوثر گلستان</v>
      </c>
      <c r="D196" s="1">
        <v>8918</v>
      </c>
      <c r="E196" s="1">
        <v>83700</v>
      </c>
      <c r="F196" s="1">
        <v>96</v>
      </c>
      <c r="G196" s="1">
        <v>2300</v>
      </c>
      <c r="H196" s="1" t="str">
        <f>"96/02/13"</f>
        <v>96/02/13</v>
      </c>
      <c r="I196" s="1" t="str">
        <f>"كيلوگرم"</f>
        <v>كيلوگرم</v>
      </c>
      <c r="J196" s="1" t="str">
        <f>"0000000076"</f>
        <v>0000000076</v>
      </c>
      <c r="K196" s="1" t="str">
        <f>"قير 60/70 - فله"</f>
        <v>قير 60/70 - فله</v>
      </c>
      <c r="L196" s="1">
        <v>100</v>
      </c>
      <c r="M196" s="1" t="str">
        <f>"مخازن قير اصفهان"</f>
        <v>مخازن قير اصفهان</v>
      </c>
      <c r="N196" s="1">
        <v>10226</v>
      </c>
      <c r="O196" s="1">
        <v>50034756</v>
      </c>
      <c r="P196" s="1" t="str">
        <f>"  جاويد راه سازان کوثر گلستان"</f>
        <v xml:space="preserve">  جاويد راه سازان کوثر گلستان</v>
      </c>
      <c r="Q196" s="1">
        <v>62</v>
      </c>
      <c r="R196" s="1" t="str">
        <f>"فروش داخلي - سازمان بنيادمسكن انقلاب اسلامي"</f>
        <v>فروش داخلي - سازمان بنيادمسكن انقلاب اسلامي</v>
      </c>
      <c r="S196" s="1" t="str">
        <f>"قرارداد فروش"</f>
        <v>قرارداد فروش</v>
      </c>
      <c r="T196" s="1" t="str">
        <f>"ندارد"</f>
        <v>ندارد</v>
      </c>
      <c r="U196" s="1" t="str">
        <f>"عليزاده فيض اله(1841035)"</f>
        <v>عليزاده فيض اله(1841035)</v>
      </c>
      <c r="V196" s="1">
        <v>966200061</v>
      </c>
      <c r="W196" s="1">
        <v>966200061</v>
      </c>
      <c r="X196" s="1" t="str">
        <f>"1396477992"</f>
        <v>1396477992</v>
      </c>
      <c r="Y196" s="1" t="str">
        <f>"96/02/13"</f>
        <v>96/02/13</v>
      </c>
      <c r="Z196" s="1" t="str">
        <f>"4640/د"</f>
        <v>4640/د</v>
      </c>
      <c r="AA196" s="1" t="str">
        <f>"بنيادمسكن انقلاب اسلامي"</f>
        <v>بنيادمسكن انقلاب اسلامي</v>
      </c>
      <c r="AB196" s="1" t="str">
        <f>"96/02/11"</f>
        <v>96/02/11</v>
      </c>
      <c r="AC196" s="1" t="str">
        <f>"استان گلستان"</f>
        <v>استان گلستان</v>
      </c>
      <c r="AD196" s="1" t="str">
        <f>"96/02/12"</f>
        <v>96/02/12</v>
      </c>
      <c r="AE196" s="1" t="str">
        <f>"اختتام"</f>
        <v>اختتام</v>
      </c>
      <c r="AF196" s="1" t="str">
        <f>""</f>
        <v/>
      </c>
      <c r="AG196" s="1" t="str">
        <f>""</f>
        <v/>
      </c>
      <c r="AH196" s="1" t="str">
        <f>""</f>
        <v/>
      </c>
      <c r="AI196" s="1" t="str">
        <f>""</f>
        <v/>
      </c>
      <c r="AJ196" s="1" t="str">
        <f>""</f>
        <v/>
      </c>
      <c r="AK196" s="1" t="str">
        <f>""</f>
        <v/>
      </c>
    </row>
    <row r="197" spans="1:37">
      <c r="A197" s="1">
        <v>118000</v>
      </c>
      <c r="B197" s="1">
        <v>966200215</v>
      </c>
      <c r="C197" s="1" t="str">
        <f>"تخليه -گرگان -جاده گنبد-کيلومتر19-جاده جعفرآباد-کيلومتر1/5شرکت جاويد راه سازان کوثر گلستان"</f>
        <v>تخليه -گرگان -جاده گنبد-کيلومتر19-جاده جعفرآباد-کيلومتر1/5شرکت جاويد راه سازان کوثر گلستان</v>
      </c>
      <c r="D197" s="1">
        <v>8954</v>
      </c>
      <c r="E197" s="1">
        <v>115740</v>
      </c>
      <c r="F197" s="1">
        <v>96</v>
      </c>
      <c r="G197" s="1">
        <v>2260</v>
      </c>
      <c r="H197" s="1" t="str">
        <f>"96/06/07"</f>
        <v>96/06/07</v>
      </c>
      <c r="I197" s="1" t="str">
        <f>"كيلوگرم"</f>
        <v>كيلوگرم</v>
      </c>
      <c r="J197" s="1" t="str">
        <f>"0000000076"</f>
        <v>0000000076</v>
      </c>
      <c r="K197" s="1" t="str">
        <f>"قير 60/70 - فله"</f>
        <v>قير 60/70 - فله</v>
      </c>
      <c r="L197" s="1">
        <v>100</v>
      </c>
      <c r="M197" s="1" t="str">
        <f>"مخازن قير اصفهان"</f>
        <v>مخازن قير اصفهان</v>
      </c>
      <c r="N197" s="1">
        <v>10226</v>
      </c>
      <c r="O197" s="1">
        <v>50035846</v>
      </c>
      <c r="P197" s="1" t="str">
        <f>"  جاويد راه سازان کوثر گلستان"</f>
        <v xml:space="preserve">  جاويد راه سازان کوثر گلستان</v>
      </c>
      <c r="Q197" s="1">
        <v>62</v>
      </c>
      <c r="R197" s="1" t="str">
        <f>"فروش داخلي - سازمان بنيادمسكن انقلاب اسلامي"</f>
        <v>فروش داخلي - سازمان بنيادمسكن انقلاب اسلامي</v>
      </c>
      <c r="S197" s="1" t="str">
        <f>"قرارداد فروش"</f>
        <v>قرارداد فروش</v>
      </c>
      <c r="T197" s="1" t="str">
        <f>"ندارد"</f>
        <v>ندارد</v>
      </c>
      <c r="U197" s="1" t="str">
        <f>"عليزاده فيض اله(1841035)"</f>
        <v>عليزاده فيض اله(1841035)</v>
      </c>
      <c r="V197" s="1">
        <v>966200215</v>
      </c>
      <c r="W197" s="1">
        <v>966200215</v>
      </c>
      <c r="X197" s="1" t="str">
        <f>"1396508616"</f>
        <v>1396508616</v>
      </c>
      <c r="Y197" s="1" t="str">
        <f>"96/06/07"</f>
        <v>96/06/07</v>
      </c>
      <c r="Z197" s="1" t="str">
        <f>"24579/د"</f>
        <v>24579/د</v>
      </c>
      <c r="AA197" s="1" t="str">
        <f>"بنيادمسكن انقلاب اسلامي"</f>
        <v>بنيادمسكن انقلاب اسلامي</v>
      </c>
      <c r="AB197" s="1" t="str">
        <f>"96/06/06"</f>
        <v>96/06/06</v>
      </c>
      <c r="AC197" s="1" t="str">
        <f>"استان گلستان"</f>
        <v>استان گلستان</v>
      </c>
      <c r="AD197" s="1" t="str">
        <f>"96/06/07"</f>
        <v>96/06/07</v>
      </c>
      <c r="AE197" s="1" t="str">
        <f>"اختتام"</f>
        <v>اختتام</v>
      </c>
      <c r="AF197" s="1" t="str">
        <f>""</f>
        <v/>
      </c>
      <c r="AG197" s="1" t="str">
        <f>""</f>
        <v/>
      </c>
      <c r="AH197" s="1" t="str">
        <f>""</f>
        <v/>
      </c>
      <c r="AI197" s="1" t="str">
        <f>""</f>
        <v/>
      </c>
      <c r="AJ197" s="1" t="str">
        <f>""</f>
        <v/>
      </c>
      <c r="AK197" s="1" t="str">
        <f>""</f>
        <v/>
      </c>
    </row>
    <row r="198" spans="1:37">
      <c r="A198" s="1">
        <v>136938</v>
      </c>
      <c r="B198" s="1">
        <v>962000224</v>
      </c>
      <c r="C198" s="1" t="str">
        <f>"تخليه -يزد-تفت -جاده چم -كارخانه آسفالت همياري شهرداريهاي يزد"</f>
        <v>تخليه -يزد-تفت -جاده چم -كارخانه آسفالت همياري شهرداريهاي يزد</v>
      </c>
      <c r="D198" s="1">
        <v>9113</v>
      </c>
      <c r="E198" s="1">
        <v>136938</v>
      </c>
      <c r="F198" s="1">
        <v>96</v>
      </c>
      <c r="G198" s="1">
        <v>0</v>
      </c>
      <c r="H198" s="1" t="str">
        <f>"96/07/03"</f>
        <v>96/07/03</v>
      </c>
      <c r="I198" s="1" t="str">
        <f>"كيلوگرم"</f>
        <v>كيلوگرم</v>
      </c>
      <c r="J198" s="1" t="str">
        <f>"0000000076"</f>
        <v>0000000076</v>
      </c>
      <c r="K198" s="1" t="str">
        <f>"قير 60/70 - فله"</f>
        <v>قير 60/70 - فله</v>
      </c>
      <c r="L198" s="1">
        <v>100</v>
      </c>
      <c r="M198" s="1" t="str">
        <f>"مخازن قير اصفهان"</f>
        <v>مخازن قير اصفهان</v>
      </c>
      <c r="N198" s="1">
        <v>9600</v>
      </c>
      <c r="O198" s="1">
        <v>50036461</v>
      </c>
      <c r="P198" s="1" t="str">
        <f>"  شهرداري تفت"</f>
        <v xml:space="preserve">  شهرداري تفت</v>
      </c>
      <c r="Q198" s="1">
        <v>20</v>
      </c>
      <c r="R198" s="1" t="str">
        <f>"فروش داخلي - سازمان شهرداري ها و دهياري هاي كشور"</f>
        <v>فروش داخلي - سازمان شهرداري ها و دهياري هاي كشور</v>
      </c>
      <c r="S198" s="1" t="str">
        <f>"قرارداد فروش"</f>
        <v>قرارداد فروش</v>
      </c>
      <c r="T198" s="1" t="str">
        <f>"ندارد"</f>
        <v>ندارد</v>
      </c>
      <c r="U198" s="1" t="str">
        <f>"تعاوني جم گستر (1001 ج 89)"</f>
        <v>تعاوني جم گستر (1001 ج 89)</v>
      </c>
      <c r="V198" s="1">
        <v>962000224</v>
      </c>
      <c r="W198" s="1">
        <v>962000224</v>
      </c>
      <c r="X198" s="1" t="str">
        <f>"1396514467"</f>
        <v>1396514467</v>
      </c>
      <c r="Y198" s="1" t="str">
        <f>"96/07/03"</f>
        <v>96/07/03</v>
      </c>
      <c r="Z198" s="1" t="str">
        <f>"26842مرحله اول"</f>
        <v>26842مرحله اول</v>
      </c>
      <c r="AA198" s="1" t="str">
        <f>"شهرداريها"</f>
        <v>شهرداريها</v>
      </c>
      <c r="AB198" s="1" t="str">
        <f>"96/06/29"</f>
        <v>96/06/29</v>
      </c>
      <c r="AC198" s="1" t="str">
        <f>"استان يزد"</f>
        <v>استان يزد</v>
      </c>
      <c r="AD198" s="1" t="str">
        <f>"96/07/03"</f>
        <v>96/07/03</v>
      </c>
      <c r="AE198" s="1" t="str">
        <f>"اختتام"</f>
        <v>اختتام</v>
      </c>
      <c r="AF198" s="1" t="str">
        <f>""</f>
        <v/>
      </c>
      <c r="AG198" s="1" t="str">
        <f>""</f>
        <v/>
      </c>
      <c r="AH198" s="1" t="str">
        <f>""</f>
        <v/>
      </c>
      <c r="AI198" s="1" t="str">
        <f>""</f>
        <v/>
      </c>
      <c r="AJ198" s="1" t="str">
        <f>""</f>
        <v/>
      </c>
      <c r="AK198" s="1" t="str">
        <f>""</f>
        <v/>
      </c>
    </row>
    <row r="199" spans="1:37">
      <c r="A199" s="1">
        <v>64216</v>
      </c>
      <c r="B199" s="1">
        <v>962000502</v>
      </c>
      <c r="C199" s="1" t="str">
        <f>"تخليه -كهكيلويه و بويراحمد-کارخانه آسفالت شهرداري لنده"</f>
        <v>تخليه -كهكيلويه و بويراحمد-کارخانه آسفالت شهرداري لنده</v>
      </c>
      <c r="D199" s="1">
        <v>12820</v>
      </c>
      <c r="E199" s="1">
        <v>64216</v>
      </c>
      <c r="F199" s="1">
        <v>96</v>
      </c>
      <c r="G199" s="1">
        <v>0</v>
      </c>
      <c r="H199" s="1" t="str">
        <f>"96/09/20"</f>
        <v>96/09/20</v>
      </c>
      <c r="I199" s="1" t="str">
        <f>"كيلوگرم"</f>
        <v>كيلوگرم</v>
      </c>
      <c r="J199" s="1" t="str">
        <f>"0000000076"</f>
        <v>0000000076</v>
      </c>
      <c r="K199" s="1" t="str">
        <f>"قير 60/70 - فله"</f>
        <v>قير 60/70 - فله</v>
      </c>
      <c r="L199" s="1">
        <v>100</v>
      </c>
      <c r="M199" s="1" t="str">
        <f>"مخازن قير اصفهان"</f>
        <v>مخازن قير اصفهان</v>
      </c>
      <c r="N199" s="1">
        <v>10230</v>
      </c>
      <c r="O199" s="1">
        <v>50037879</v>
      </c>
      <c r="P199" s="1" t="str">
        <f>"  شهرداري لنده"</f>
        <v xml:space="preserve">  شهرداري لنده</v>
      </c>
      <c r="Q199" s="1">
        <v>20</v>
      </c>
      <c r="R199" s="1" t="str">
        <f>"فروش داخلي - سازمان شهرداري ها و دهياري هاي كشور"</f>
        <v>فروش داخلي - سازمان شهرداري ها و دهياري هاي كشور</v>
      </c>
      <c r="S199" s="1" t="str">
        <f>"قرارداد فروش"</f>
        <v>قرارداد فروش</v>
      </c>
      <c r="T199" s="1" t="str">
        <f>"ندارد"</f>
        <v>ندارد</v>
      </c>
      <c r="U199" s="1" t="str">
        <f>"تعاوني جم گستر (1001 ج 89)"</f>
        <v>تعاوني جم گستر (1001 ج 89)</v>
      </c>
      <c r="V199" s="1">
        <v>962000502</v>
      </c>
      <c r="W199" s="1">
        <v>962000502</v>
      </c>
      <c r="X199" s="1" t="str">
        <f>"1396529711"</f>
        <v>1396529711</v>
      </c>
      <c r="Y199" s="1" t="str">
        <f>"96/09/20"</f>
        <v>96/09/20</v>
      </c>
      <c r="Z199" s="1" t="str">
        <f>"38291مرحله دوم"</f>
        <v>38291مرحله دوم</v>
      </c>
      <c r="AA199" s="1" t="str">
        <f>"شهرداريها"</f>
        <v>شهرداريها</v>
      </c>
      <c r="AB199" s="1" t="str">
        <f>"96/09/11"</f>
        <v>96/09/11</v>
      </c>
      <c r="AC199" s="1" t="str">
        <f>"كهكيلويه و بوير احمد"</f>
        <v>كهكيلويه و بوير احمد</v>
      </c>
      <c r="AD199" s="1" t="str">
        <f>"96/09/13"</f>
        <v>96/09/13</v>
      </c>
      <c r="AE199" s="1" t="str">
        <f>"اختتام"</f>
        <v>اختتام</v>
      </c>
      <c r="AF199" s="1" t="str">
        <f>""</f>
        <v/>
      </c>
      <c r="AG199" s="1" t="str">
        <f>""</f>
        <v/>
      </c>
      <c r="AH199" s="1" t="str">
        <f>""</f>
        <v/>
      </c>
      <c r="AI199" s="1" t="str">
        <f>""</f>
        <v/>
      </c>
      <c r="AJ199" s="1" t="str">
        <f>""</f>
        <v/>
      </c>
      <c r="AK199" s="1" t="str">
        <f>""</f>
        <v/>
      </c>
    </row>
    <row r="200" spans="1:37">
      <c r="A200" s="1">
        <v>151000</v>
      </c>
      <c r="B200" s="1">
        <v>966200506</v>
      </c>
      <c r="C200" s="1" t="str">
        <f>"تخليه -گلستان -شهرستان كلاله جنب روستاي فريد"</f>
        <v>تخليه -گلستان -شهرستان كلاله جنب روستاي فريد</v>
      </c>
      <c r="D200" s="1">
        <v>12850</v>
      </c>
      <c r="E200" s="1">
        <v>149340</v>
      </c>
      <c r="F200" s="1">
        <v>96</v>
      </c>
      <c r="G200" s="1">
        <v>1660</v>
      </c>
      <c r="H200" s="1" t="str">
        <f>"96/10/13"</f>
        <v>96/10/13</v>
      </c>
      <c r="I200" s="1" t="str">
        <f>"كيلوگرم"</f>
        <v>كيلوگرم</v>
      </c>
      <c r="J200" s="1" t="str">
        <f>"0000000076"</f>
        <v>0000000076</v>
      </c>
      <c r="K200" s="1" t="str">
        <f>"قير 60/70 - فله"</f>
        <v>قير 60/70 - فله</v>
      </c>
      <c r="L200" s="1">
        <v>100</v>
      </c>
      <c r="M200" s="1" t="str">
        <f>"مخازن قير اصفهان"</f>
        <v>مخازن قير اصفهان</v>
      </c>
      <c r="N200" s="1">
        <v>10256</v>
      </c>
      <c r="O200" s="1">
        <v>50038045</v>
      </c>
      <c r="P200" s="1" t="str">
        <f>"  راهسازان جبال گلستان"</f>
        <v xml:space="preserve">  راهسازان جبال گلستان</v>
      </c>
      <c r="Q200" s="1">
        <v>62</v>
      </c>
      <c r="R200" s="1" t="str">
        <f>"فروش داخلي - سازمان بنيادمسكن انقلاب اسلامي"</f>
        <v>فروش داخلي - سازمان بنيادمسكن انقلاب اسلامي</v>
      </c>
      <c r="S200" s="1" t="str">
        <f>"قرارداد فروش"</f>
        <v>قرارداد فروش</v>
      </c>
      <c r="T200" s="1" t="str">
        <f>"ندارد"</f>
        <v>ندارد</v>
      </c>
      <c r="U200" s="1" t="str">
        <f>"رضائي كلهر حسن (1901099)"</f>
        <v>رضائي كلهر حسن (1901099)</v>
      </c>
      <c r="V200" s="1">
        <v>966200506</v>
      </c>
      <c r="W200" s="1">
        <v>966200506</v>
      </c>
      <c r="X200" s="1" t="str">
        <f>"1396537705"</f>
        <v>1396537705</v>
      </c>
      <c r="Y200" s="1" t="str">
        <f>"96/10/13"</f>
        <v>96/10/13</v>
      </c>
      <c r="Z200" s="1" t="str">
        <f>"45464/د"</f>
        <v>45464/د</v>
      </c>
      <c r="AA200" s="1" t="str">
        <f>"بنيادمسكن انقلاب اسلامي"</f>
        <v>بنيادمسكن انقلاب اسلامي</v>
      </c>
      <c r="AB200" s="1" t="str">
        <f>"96/10/13"</f>
        <v>96/10/13</v>
      </c>
      <c r="AC200" s="1" t="str">
        <f>"استان گلستان"</f>
        <v>استان گلستان</v>
      </c>
      <c r="AD200" s="1" t="str">
        <f>"96/10/13"</f>
        <v>96/10/13</v>
      </c>
      <c r="AE200" s="1" t="str">
        <f>"اختتام"</f>
        <v>اختتام</v>
      </c>
      <c r="AF200" s="1" t="str">
        <f>""</f>
        <v/>
      </c>
      <c r="AG200" s="1" t="str">
        <f>""</f>
        <v/>
      </c>
      <c r="AH200" s="1" t="str">
        <f>""</f>
        <v/>
      </c>
      <c r="AI200" s="1" t="str">
        <f>""</f>
        <v/>
      </c>
      <c r="AJ200" s="1" t="str">
        <f>""</f>
        <v/>
      </c>
      <c r="AK200" s="1" t="str">
        <f>""</f>
        <v/>
      </c>
    </row>
    <row r="201" spans="1:37">
      <c r="A201" s="1">
        <v>300000</v>
      </c>
      <c r="B201" s="1">
        <v>961100030</v>
      </c>
      <c r="C201" s="1" t="str">
        <f>"تخليه-كيلومتر10جاده زاهدان -خاش -كارخانه آسفالت شهرداري زاهدان"</f>
        <v>تخليه-كيلومتر10جاده زاهدان -خاش -كارخانه آسفالت شهرداري زاهدان</v>
      </c>
      <c r="D201" s="1">
        <v>8704</v>
      </c>
      <c r="E201" s="1">
        <v>300000</v>
      </c>
      <c r="F201" s="1">
        <v>96</v>
      </c>
      <c r="G201" s="1">
        <v>0</v>
      </c>
      <c r="H201" s="1" t="str">
        <f>"96/04/07"</f>
        <v>96/04/07</v>
      </c>
      <c r="I201" s="1" t="str">
        <f>"كيلوگرم"</f>
        <v>كيلوگرم</v>
      </c>
      <c r="J201" s="1" t="str">
        <f>"0000000076"</f>
        <v>0000000076</v>
      </c>
      <c r="K201" s="1" t="str">
        <f>"قير 60/70 - فله"</f>
        <v>قير 60/70 - فله</v>
      </c>
      <c r="L201" s="1">
        <v>100</v>
      </c>
      <c r="M201" s="1" t="str">
        <f>"مخازن قير اصفهان"</f>
        <v>مخازن قير اصفهان</v>
      </c>
      <c r="N201" s="1">
        <v>9938</v>
      </c>
      <c r="O201" s="1">
        <v>50035055</v>
      </c>
      <c r="P201" s="1" t="str">
        <f>"  سازمان عمران شهرداري زاهدان"</f>
        <v xml:space="preserve">  سازمان عمران شهرداري زاهدان</v>
      </c>
      <c r="Q201" s="1">
        <v>11</v>
      </c>
      <c r="R201" s="1" t="str">
        <f>"فروش داخلي تهران - بورس"</f>
        <v>فروش داخلي تهران - بورس</v>
      </c>
      <c r="S201" s="1" t="str">
        <f>"قرارداد فروش"</f>
        <v>قرارداد فروش</v>
      </c>
      <c r="T201" s="1" t="str">
        <f>"ندارد"</f>
        <v>ندارد</v>
      </c>
      <c r="U201" s="1" t="str">
        <f>"ميرحسيني سيناترابر سيدمحمد(4854031)"</f>
        <v>ميرحسيني سيناترابر سيدمحمد(4854031)</v>
      </c>
      <c r="V201" s="1">
        <v>961100030</v>
      </c>
      <c r="W201" s="1">
        <v>961100030</v>
      </c>
      <c r="X201" s="1" t="str">
        <f>"1396490217"</f>
        <v>1396490217</v>
      </c>
      <c r="Y201" s="1" t="str">
        <f>"96/03/31"</f>
        <v>96/03/31</v>
      </c>
      <c r="Z201" s="1" t="str">
        <f>"1396-ع /س -389"</f>
        <v>1396-ع /س -389</v>
      </c>
      <c r="AA201" s="1" t="str">
        <f>"شهرداريها"</f>
        <v>شهرداريها</v>
      </c>
      <c r="AB201" s="1" t="str">
        <f>"96/03/27"</f>
        <v>96/03/27</v>
      </c>
      <c r="AC201" s="1" t="str">
        <f>"استان سيستان بلوچستان"</f>
        <v>استان سيستان بلوچستان</v>
      </c>
      <c r="AD201" s="1" t="str">
        <f>"96/03/31"</f>
        <v>96/03/31</v>
      </c>
      <c r="AE201" s="1" t="str">
        <f>"اختتام"</f>
        <v>اختتام</v>
      </c>
      <c r="AF201" s="1" t="str">
        <f>""</f>
        <v/>
      </c>
      <c r="AG201" s="1" t="str">
        <f>""</f>
        <v/>
      </c>
      <c r="AH201" s="1" t="str">
        <f>""</f>
        <v/>
      </c>
      <c r="AI201" s="1" t="str">
        <f>""</f>
        <v/>
      </c>
      <c r="AJ201" s="1" t="str">
        <f>""</f>
        <v/>
      </c>
      <c r="AK201" s="1" t="str">
        <f>""</f>
        <v/>
      </c>
    </row>
    <row r="202" spans="1:37">
      <c r="A202" s="1">
        <v>142662</v>
      </c>
      <c r="B202" s="1">
        <v>962000063</v>
      </c>
      <c r="C202" s="1" t="str">
        <f>"تخليه اصفهان مباركه بعدازپلي اكريل كارخانه آسفالت اصفهان بتن راه"</f>
        <v>تخليه اصفهان مباركه بعدازپلي اكريل كارخانه آسفالت اصفهان بتن راه</v>
      </c>
      <c r="D202" s="1">
        <v>9113</v>
      </c>
      <c r="E202" s="1">
        <v>142662</v>
      </c>
      <c r="F202" s="1">
        <v>96</v>
      </c>
      <c r="G202" s="1">
        <v>0</v>
      </c>
      <c r="H202" s="1" t="str">
        <f>"96/07/03"</f>
        <v>96/07/03</v>
      </c>
      <c r="I202" s="1" t="str">
        <f>"كيلوگرم"</f>
        <v>كيلوگرم</v>
      </c>
      <c r="J202" s="1" t="str">
        <f>"0000000076"</f>
        <v>0000000076</v>
      </c>
      <c r="K202" s="1" t="str">
        <f>"قير 60/70 - فله"</f>
        <v>قير 60/70 - فله</v>
      </c>
      <c r="L202" s="1">
        <v>100</v>
      </c>
      <c r="M202" s="1" t="str">
        <f>"مخازن قير اصفهان"</f>
        <v>مخازن قير اصفهان</v>
      </c>
      <c r="N202" s="1">
        <v>9523</v>
      </c>
      <c r="O202" s="1">
        <v>50036211</v>
      </c>
      <c r="P202" s="1" t="str">
        <f>"  شهرداري فلاورجان"</f>
        <v xml:space="preserve">  شهرداري فلاورجان</v>
      </c>
      <c r="Q202" s="1">
        <v>20</v>
      </c>
      <c r="R202" s="1" t="str">
        <f>"فروش داخلي - سازمان شهرداري ها و دهياري هاي كشور"</f>
        <v>فروش داخلي - سازمان شهرداري ها و دهياري هاي كشور</v>
      </c>
      <c r="S202" s="1" t="str">
        <f>"قرارداد فروش"</f>
        <v>قرارداد فروش</v>
      </c>
      <c r="T202" s="1" t="str">
        <f>"ندارد"</f>
        <v>ندارد</v>
      </c>
      <c r="U202" s="1" t="str">
        <f>"تعاوني جم گستر (1001 ج 89)"</f>
        <v>تعاوني جم گستر (1001 ج 89)</v>
      </c>
      <c r="V202" s="1">
        <v>962000063</v>
      </c>
      <c r="W202" s="1">
        <v>962000063</v>
      </c>
      <c r="X202" s="1" t="str">
        <f>"1396514467"</f>
        <v>1396514467</v>
      </c>
      <c r="Y202" s="1" t="str">
        <f>"96/07/03"</f>
        <v>96/07/03</v>
      </c>
      <c r="Z202" s="1" t="str">
        <f>"26754مرحله اول"</f>
        <v>26754مرحله اول</v>
      </c>
      <c r="AA202" s="1" t="str">
        <f>"شهرداريها"</f>
        <v>شهرداريها</v>
      </c>
      <c r="AB202" s="1" t="str">
        <f>"96/06/29"</f>
        <v>96/06/29</v>
      </c>
      <c r="AC202" s="1" t="str">
        <f>"استان اصفهان"</f>
        <v>استان اصفهان</v>
      </c>
      <c r="AD202" s="1" t="str">
        <f>"96/07/03"</f>
        <v>96/07/03</v>
      </c>
      <c r="AE202" s="1" t="str">
        <f>"اختتام"</f>
        <v>اختتام</v>
      </c>
      <c r="AF202" s="1" t="str">
        <f>""</f>
        <v/>
      </c>
      <c r="AG202" s="1" t="str">
        <f>""</f>
        <v/>
      </c>
      <c r="AH202" s="1" t="str">
        <f>""</f>
        <v/>
      </c>
      <c r="AI202" s="1" t="str">
        <f>""</f>
        <v/>
      </c>
      <c r="AJ202" s="1" t="str">
        <f>""</f>
        <v/>
      </c>
      <c r="AK202" s="1" t="str">
        <f>""</f>
        <v/>
      </c>
    </row>
    <row r="203" spans="1:37">
      <c r="A203" s="1">
        <v>50705</v>
      </c>
      <c r="B203" s="1">
        <v>962000454</v>
      </c>
      <c r="C203" s="1" t="str">
        <f>"تخليه اصفهان مباركه بعدازپلي اكريل كارخانه آسفالت اصفهان بتن راه"</f>
        <v>تخليه اصفهان مباركه بعدازپلي اكريل كارخانه آسفالت اصفهان بتن راه</v>
      </c>
      <c r="D203" s="1">
        <v>12820</v>
      </c>
      <c r="E203" s="1">
        <v>50705</v>
      </c>
      <c r="F203" s="1">
        <v>96</v>
      </c>
      <c r="G203" s="1">
        <v>0</v>
      </c>
      <c r="H203" s="1" t="str">
        <f>"96/09/20"</f>
        <v>96/09/20</v>
      </c>
      <c r="I203" s="1" t="str">
        <f>"كيلوگرم"</f>
        <v>كيلوگرم</v>
      </c>
      <c r="J203" s="1" t="str">
        <f>"0000000076"</f>
        <v>0000000076</v>
      </c>
      <c r="K203" s="1" t="str">
        <f>"قير 60/70 - فله"</f>
        <v>قير 60/70 - فله</v>
      </c>
      <c r="L203" s="1">
        <v>100</v>
      </c>
      <c r="M203" s="1" t="str">
        <f>"مخازن قير اصفهان"</f>
        <v>مخازن قير اصفهان</v>
      </c>
      <c r="N203" s="1">
        <v>9523</v>
      </c>
      <c r="O203" s="1">
        <v>50037776</v>
      </c>
      <c r="P203" s="1" t="str">
        <f>"  شهرداري فلاورجان"</f>
        <v xml:space="preserve">  شهرداري فلاورجان</v>
      </c>
      <c r="Q203" s="1">
        <v>20</v>
      </c>
      <c r="R203" s="1" t="str">
        <f>"فروش داخلي - سازمان شهرداري ها و دهياري هاي كشور"</f>
        <v>فروش داخلي - سازمان شهرداري ها و دهياري هاي كشور</v>
      </c>
      <c r="S203" s="1" t="str">
        <f>"قرارداد فروش"</f>
        <v>قرارداد فروش</v>
      </c>
      <c r="T203" s="1" t="str">
        <f>"ندارد"</f>
        <v>ندارد</v>
      </c>
      <c r="U203" s="1" t="str">
        <f>"تعاوني جم گستر (1001 ج 89)"</f>
        <v>تعاوني جم گستر (1001 ج 89)</v>
      </c>
      <c r="V203" s="1">
        <v>962000454</v>
      </c>
      <c r="W203" s="1">
        <v>962000454</v>
      </c>
      <c r="X203" s="1" t="str">
        <f>"1396529711"</f>
        <v>1396529711</v>
      </c>
      <c r="Y203" s="1" t="str">
        <f>"96/09/20"</f>
        <v>96/09/20</v>
      </c>
      <c r="Z203" s="1" t="str">
        <f>"37189مرحله دوم"</f>
        <v>37189مرحله دوم</v>
      </c>
      <c r="AA203" s="1" t="str">
        <f>"شهرداريها"</f>
        <v>شهرداريها</v>
      </c>
      <c r="AB203" s="1" t="str">
        <f>"96/09/05"</f>
        <v>96/09/05</v>
      </c>
      <c r="AC203" s="1" t="str">
        <f>"استان اصفهان"</f>
        <v>استان اصفهان</v>
      </c>
      <c r="AD203" s="1" t="str">
        <f>"96/09/13"</f>
        <v>96/09/13</v>
      </c>
      <c r="AE203" s="1" t="str">
        <f>"اختتام"</f>
        <v>اختتام</v>
      </c>
      <c r="AF203" s="1" t="str">
        <f>""</f>
        <v/>
      </c>
      <c r="AG203" s="1" t="str">
        <f>""</f>
        <v/>
      </c>
      <c r="AH203" s="1" t="str">
        <f>""</f>
        <v/>
      </c>
      <c r="AI203" s="1" t="str">
        <f>""</f>
        <v/>
      </c>
      <c r="AJ203" s="1" t="str">
        <f>""</f>
        <v/>
      </c>
      <c r="AK203" s="1" t="str">
        <f>""</f>
        <v/>
      </c>
    </row>
    <row r="204" spans="1:37">
      <c r="A204" s="1">
        <v>81000</v>
      </c>
      <c r="B204" s="1">
        <v>966200505</v>
      </c>
      <c r="C204" s="1" t="str">
        <f>"تخليه - کرمان -رودبارجنوب کيلومتر 40 جاده اسلام آباد به سمت زهکلوت كارخانه آسفالت شركت برج راه كهنوج"</f>
        <v>تخليه - کرمان -رودبارجنوب کيلومتر 40 جاده اسلام آباد به سمت زهکلوت كارخانه آسفالت شركت برج راه كهنوج</v>
      </c>
      <c r="D204" s="1">
        <v>12850</v>
      </c>
      <c r="E204" s="1">
        <v>79460</v>
      </c>
      <c r="F204" s="1">
        <v>96</v>
      </c>
      <c r="G204" s="1">
        <v>1540</v>
      </c>
      <c r="H204" s="1" t="str">
        <f>"96/10/12"</f>
        <v>96/10/12</v>
      </c>
      <c r="I204" s="1" t="str">
        <f>"كيلوگرم"</f>
        <v>كيلوگرم</v>
      </c>
      <c r="J204" s="1" t="str">
        <f>"0000000076"</f>
        <v>0000000076</v>
      </c>
      <c r="K204" s="1" t="str">
        <f>"قير 60/70 - فله"</f>
        <v>قير 60/70 - فله</v>
      </c>
      <c r="L204" s="1">
        <v>100</v>
      </c>
      <c r="M204" s="1" t="str">
        <f>"مخازن قير اصفهان"</f>
        <v>مخازن قير اصفهان</v>
      </c>
      <c r="N204" s="1">
        <v>10351</v>
      </c>
      <c r="O204" s="1">
        <v>50038039</v>
      </c>
      <c r="P204" s="1" t="str">
        <f>"   برج راه کهنوج"</f>
        <v xml:space="preserve">   برج راه کهنوج</v>
      </c>
      <c r="Q204" s="1">
        <v>62</v>
      </c>
      <c r="R204" s="1" t="str">
        <f>"فروش داخلي - سازمان بنيادمسكن انقلاب اسلامي"</f>
        <v>فروش داخلي - سازمان بنيادمسكن انقلاب اسلامي</v>
      </c>
      <c r="S204" s="1" t="str">
        <f>"قرارداد فروش"</f>
        <v>قرارداد فروش</v>
      </c>
      <c r="T204" s="1" t="str">
        <f>"ندارد"</f>
        <v>ندارد</v>
      </c>
      <c r="U204" s="1" t="str">
        <f>"حاصليان ترابرجنوب مرتضي حاصلي (4844006)"</f>
        <v>حاصليان ترابرجنوب مرتضي حاصلي (4844006)</v>
      </c>
      <c r="V204" s="1">
        <v>966200505</v>
      </c>
      <c r="W204" s="1">
        <v>966200505</v>
      </c>
      <c r="X204" s="1" t="str">
        <f>"1396536916"</f>
        <v>1396536916</v>
      </c>
      <c r="Y204" s="1" t="str">
        <f>"96/10/12"</f>
        <v>96/10/12</v>
      </c>
      <c r="Z204" s="1" t="str">
        <f>"45271/د"</f>
        <v>45271/د</v>
      </c>
      <c r="AA204" s="1" t="str">
        <f>"بنيادمسكن انقلاب اسلامي"</f>
        <v>بنيادمسكن انقلاب اسلامي</v>
      </c>
      <c r="AB204" s="1" t="str">
        <f>"96/10/12"</f>
        <v>96/10/12</v>
      </c>
      <c r="AC204" s="1" t="str">
        <f>"استان كرمان"</f>
        <v>استان كرمان</v>
      </c>
      <c r="AD204" s="1" t="str">
        <f>"96/10/12"</f>
        <v>96/10/12</v>
      </c>
      <c r="AE204" s="1" t="str">
        <f>"اختتام"</f>
        <v>اختتام</v>
      </c>
      <c r="AF204" s="1" t="str">
        <f>""</f>
        <v/>
      </c>
      <c r="AG204" s="1" t="str">
        <f>""</f>
        <v/>
      </c>
      <c r="AH204" s="1" t="str">
        <f>""</f>
        <v/>
      </c>
      <c r="AI204" s="1" t="str">
        <f>""</f>
        <v/>
      </c>
      <c r="AJ204" s="1" t="str">
        <f>""</f>
        <v/>
      </c>
      <c r="AK204" s="1" t="str">
        <f>""</f>
        <v/>
      </c>
    </row>
    <row r="205" spans="1:37">
      <c r="A205" s="1">
        <v>47938</v>
      </c>
      <c r="B205" s="1">
        <v>962000456</v>
      </c>
      <c r="C205" s="1" t="str">
        <f>"تخليه اصفهان اتوبان ذوب آهن بعدازپليس راه شهركردمنطقه صنعتي اشترجان شركت ماژين سازه چكاد"</f>
        <v>تخليه اصفهان اتوبان ذوب آهن بعدازپليس راه شهركردمنطقه صنعتي اشترجان شركت ماژين سازه چكاد</v>
      </c>
      <c r="D205" s="1">
        <v>12820</v>
      </c>
      <c r="E205" s="1">
        <v>47938</v>
      </c>
      <c r="F205" s="1">
        <v>96</v>
      </c>
      <c r="G205" s="1">
        <v>0</v>
      </c>
      <c r="H205" s="1" t="str">
        <f>"96/09/20"</f>
        <v>96/09/20</v>
      </c>
      <c r="I205" s="1" t="str">
        <f>"كيلوگرم"</f>
        <v>كيلوگرم</v>
      </c>
      <c r="J205" s="1" t="str">
        <f>"0000000076"</f>
        <v>0000000076</v>
      </c>
      <c r="K205" s="1" t="str">
        <f>"قير 60/70 - فله"</f>
        <v>قير 60/70 - فله</v>
      </c>
      <c r="L205" s="1">
        <v>100</v>
      </c>
      <c r="M205" s="1" t="str">
        <f>"مخازن قير اصفهان"</f>
        <v>مخازن قير اصفهان</v>
      </c>
      <c r="N205" s="1">
        <v>9529</v>
      </c>
      <c r="O205" s="1">
        <v>50037778</v>
      </c>
      <c r="P205" s="1" t="str">
        <f>"  شهرداري كليشادوسودرجان"</f>
        <v xml:space="preserve">  شهرداري كليشادوسودرجان</v>
      </c>
      <c r="Q205" s="1">
        <v>20</v>
      </c>
      <c r="R205" s="1" t="str">
        <f>"فروش داخلي - سازمان شهرداري ها و دهياري هاي كشور"</f>
        <v>فروش داخلي - سازمان شهرداري ها و دهياري هاي كشور</v>
      </c>
      <c r="S205" s="1" t="str">
        <f>"قرارداد فروش"</f>
        <v>قرارداد فروش</v>
      </c>
      <c r="T205" s="1" t="str">
        <f>"ندارد"</f>
        <v>ندارد</v>
      </c>
      <c r="U205" s="1" t="str">
        <f>"تعاوني جم گستر (1001 ج 89)"</f>
        <v>تعاوني جم گستر (1001 ج 89)</v>
      </c>
      <c r="V205" s="1">
        <v>962000456</v>
      </c>
      <c r="W205" s="1">
        <v>962000456</v>
      </c>
      <c r="X205" s="1" t="str">
        <f>"1396529711"</f>
        <v>1396529711</v>
      </c>
      <c r="Y205" s="1" t="str">
        <f>"96/09/20"</f>
        <v>96/09/20</v>
      </c>
      <c r="Z205" s="1" t="str">
        <f>"37205مرحله دوم"</f>
        <v>37205مرحله دوم</v>
      </c>
      <c r="AA205" s="1" t="str">
        <f>"شهرداريها"</f>
        <v>شهرداريها</v>
      </c>
      <c r="AB205" s="1" t="str">
        <f>"96/09/05"</f>
        <v>96/09/05</v>
      </c>
      <c r="AC205" s="1" t="str">
        <f>"استان اصفهان"</f>
        <v>استان اصفهان</v>
      </c>
      <c r="AD205" s="1" t="str">
        <f>"96/09/13"</f>
        <v>96/09/13</v>
      </c>
      <c r="AE205" s="1" t="str">
        <f>"تاييدشده"</f>
        <v>تاييدشده</v>
      </c>
      <c r="AF205" s="1" t="str">
        <f>""</f>
        <v/>
      </c>
      <c r="AG205" s="1" t="str">
        <f>""</f>
        <v/>
      </c>
      <c r="AH205" s="1" t="str">
        <f>""</f>
        <v/>
      </c>
      <c r="AI205" s="1" t="str">
        <f>""</f>
        <v/>
      </c>
      <c r="AJ205" s="1" t="str">
        <f>""</f>
        <v/>
      </c>
      <c r="AK205" s="1" t="str">
        <f>""</f>
        <v/>
      </c>
    </row>
    <row r="206" spans="1:37">
      <c r="A206" s="1">
        <v>168473</v>
      </c>
      <c r="B206" s="1">
        <v>962000038</v>
      </c>
      <c r="C206" s="1" t="str">
        <f>"تخليه -اصفهان جاده اصفهان مباركه جنب كارخانه پلي اكريل دره چشمه علي باباعبدالله كارخانه آسفالت بتون راه-شرکت شهيربناي ايرانيان"</f>
        <v>تخليه -اصفهان جاده اصفهان مباركه جنب كارخانه پلي اكريل دره چشمه علي باباعبدالله كارخانه آسفالت بتون راه-شرکت شهيربناي ايرانيان</v>
      </c>
      <c r="D206" s="1">
        <v>9113</v>
      </c>
      <c r="E206" s="1">
        <v>168473</v>
      </c>
      <c r="F206" s="1">
        <v>96</v>
      </c>
      <c r="G206" s="1">
        <v>0</v>
      </c>
      <c r="H206" s="1" t="str">
        <f>"96/07/03"</f>
        <v>96/07/03</v>
      </c>
      <c r="I206" s="1" t="str">
        <f>"كيلوگرم"</f>
        <v>كيلوگرم</v>
      </c>
      <c r="J206" s="1" t="str">
        <f>"0000000076"</f>
        <v>0000000076</v>
      </c>
      <c r="K206" s="1" t="str">
        <f>"قير 60/70 - فله"</f>
        <v>قير 60/70 - فله</v>
      </c>
      <c r="L206" s="1">
        <v>100</v>
      </c>
      <c r="M206" s="1" t="str">
        <f>"مخازن قير اصفهان"</f>
        <v>مخازن قير اصفهان</v>
      </c>
      <c r="N206" s="1">
        <v>9370</v>
      </c>
      <c r="O206" s="1">
        <v>50036184</v>
      </c>
      <c r="P206" s="1" t="str">
        <f>"  شهرداري درچه پياز"</f>
        <v xml:space="preserve">  شهرداري درچه پياز</v>
      </c>
      <c r="Q206" s="1">
        <v>20</v>
      </c>
      <c r="R206" s="1" t="str">
        <f>"فروش داخلي - سازمان شهرداري ها و دهياري هاي كشور"</f>
        <v>فروش داخلي - سازمان شهرداري ها و دهياري هاي كشور</v>
      </c>
      <c r="S206" s="1" t="str">
        <f>"قرارداد فروش"</f>
        <v>قرارداد فروش</v>
      </c>
      <c r="T206" s="1" t="str">
        <f>"ندارد"</f>
        <v>ندارد</v>
      </c>
      <c r="U206" s="1" t="str">
        <f>"تعاوني جم گستر (1001 ج 89)"</f>
        <v>تعاوني جم گستر (1001 ج 89)</v>
      </c>
      <c r="V206" s="1">
        <v>962000038</v>
      </c>
      <c r="W206" s="1">
        <v>962000038</v>
      </c>
      <c r="X206" s="1" t="str">
        <f>"1396514467"</f>
        <v>1396514467</v>
      </c>
      <c r="Y206" s="1" t="str">
        <f>"96/07/03"</f>
        <v>96/07/03</v>
      </c>
      <c r="Z206" s="1" t="str">
        <f>"26810مرحله اول"</f>
        <v>26810مرحله اول</v>
      </c>
      <c r="AA206" s="1" t="str">
        <f>"شهرداريها"</f>
        <v>شهرداريها</v>
      </c>
      <c r="AB206" s="1" t="str">
        <f>"96/06/29"</f>
        <v>96/06/29</v>
      </c>
      <c r="AC206" s="1" t="str">
        <f>"استان اصفهان"</f>
        <v>استان اصفهان</v>
      </c>
      <c r="AD206" s="1" t="str">
        <f>"96/07/03"</f>
        <v>96/07/03</v>
      </c>
      <c r="AE206" s="1" t="str">
        <f>"اختتام"</f>
        <v>اختتام</v>
      </c>
      <c r="AF206" s="1" t="str">
        <f>""</f>
        <v/>
      </c>
      <c r="AG206" s="1" t="str">
        <f>""</f>
        <v/>
      </c>
      <c r="AH206" s="1" t="str">
        <f>""</f>
        <v/>
      </c>
      <c r="AI206" s="1" t="str">
        <f>""</f>
        <v/>
      </c>
      <c r="AJ206" s="1" t="str">
        <f>""</f>
        <v/>
      </c>
      <c r="AK206" s="1" t="str">
        <f>""</f>
        <v/>
      </c>
    </row>
    <row r="207" spans="1:37">
      <c r="A207" s="1">
        <v>274000</v>
      </c>
      <c r="B207" s="1">
        <v>966200123</v>
      </c>
      <c r="C207" s="1" t="str">
        <f>"تخليه - لرستان-خرم آباد-بخش ده پيرروستاي اسکين عليا-شرکت پرتو صنعت نور"</f>
        <v>تخليه - لرستان-خرم آباد-بخش ده پيرروستاي اسکين عليا-شرکت پرتو صنعت نور</v>
      </c>
      <c r="D207" s="1">
        <v>8704</v>
      </c>
      <c r="E207" s="1">
        <v>273740</v>
      </c>
      <c r="F207" s="1">
        <v>96</v>
      </c>
      <c r="G207" s="1">
        <v>260</v>
      </c>
      <c r="H207" s="1" t="str">
        <f>"96/03/28"</f>
        <v>96/03/28</v>
      </c>
      <c r="I207" s="1" t="str">
        <f>"كيلوگرم"</f>
        <v>كيلوگرم</v>
      </c>
      <c r="J207" s="1" t="str">
        <f>"0000000076"</f>
        <v>0000000076</v>
      </c>
      <c r="K207" s="1" t="str">
        <f>"قير 60/70 - فله"</f>
        <v>قير 60/70 - فله</v>
      </c>
      <c r="L207" s="1">
        <v>100</v>
      </c>
      <c r="M207" s="1" t="str">
        <f>"مخازن قير اصفهان"</f>
        <v>مخازن قير اصفهان</v>
      </c>
      <c r="N207" s="1">
        <v>10010</v>
      </c>
      <c r="O207" s="1">
        <v>50035022</v>
      </c>
      <c r="P207" s="1" t="str">
        <f>"  پرتوصنعت نور"</f>
        <v xml:space="preserve">  پرتوصنعت نور</v>
      </c>
      <c r="Q207" s="1">
        <v>62</v>
      </c>
      <c r="R207" s="1" t="str">
        <f>"فروش داخلي - سازمان بنيادمسكن انقلاب اسلامي"</f>
        <v>فروش داخلي - سازمان بنيادمسكن انقلاب اسلامي</v>
      </c>
      <c r="S207" s="1" t="str">
        <f>"قرارداد فروش"</f>
        <v>قرارداد فروش</v>
      </c>
      <c r="T207" s="1" t="str">
        <f>"ندارد"</f>
        <v>ندارد</v>
      </c>
      <c r="U207" s="1" t="str">
        <f>"رضائي كلهر حسن (1901099)"</f>
        <v>رضائي كلهر حسن (1901099)</v>
      </c>
      <c r="V207" s="1">
        <v>966200123</v>
      </c>
      <c r="W207" s="1">
        <v>966200123</v>
      </c>
      <c r="X207" s="1" t="str">
        <f>"1396488808"</f>
        <v>1396488808</v>
      </c>
      <c r="Y207" s="1" t="str">
        <f>"96/03/28"</f>
        <v>96/03/28</v>
      </c>
      <c r="Z207" s="1" t="str">
        <f>"11876/د"</f>
        <v>11876/د</v>
      </c>
      <c r="AA207" s="1" t="str">
        <f>"بنيادمسكن انقلاب اسلامي"</f>
        <v>بنيادمسكن انقلاب اسلامي</v>
      </c>
      <c r="AB207" s="1" t="str">
        <f>"96/03/27"</f>
        <v>96/03/27</v>
      </c>
      <c r="AC207" s="1" t="str">
        <f>"لرستان"</f>
        <v>لرستان</v>
      </c>
      <c r="AD207" s="1" t="str">
        <f>"96/03/28"</f>
        <v>96/03/28</v>
      </c>
      <c r="AE207" s="1" t="str">
        <f>"اختتام"</f>
        <v>اختتام</v>
      </c>
      <c r="AF207" s="1" t="str">
        <f>""</f>
        <v/>
      </c>
      <c r="AG207" s="1" t="str">
        <f>""</f>
        <v/>
      </c>
      <c r="AH207" s="1" t="str">
        <f>""</f>
        <v/>
      </c>
      <c r="AI207" s="1" t="str">
        <f>""</f>
        <v/>
      </c>
      <c r="AJ207" s="1" t="str">
        <f>""</f>
        <v/>
      </c>
      <c r="AK207" s="1" t="str">
        <f>""</f>
        <v/>
      </c>
    </row>
    <row r="208" spans="1:37">
      <c r="A208" s="1">
        <v>2700000</v>
      </c>
      <c r="B208" s="1">
        <v>961100060</v>
      </c>
      <c r="C208" s="1" t="str">
        <f>"تخليه -يزد15كيلومتري جاده خضرآبادكارخانه آسفالت سازمان عمران ونوسازي شهرداري يزد"</f>
        <v>تخليه -يزد15كيلومتري جاده خضرآبادكارخانه آسفالت سازمان عمران ونوسازي شهرداري يزد</v>
      </c>
      <c r="D208" s="1">
        <v>8954</v>
      </c>
      <c r="E208" s="1">
        <v>2699820</v>
      </c>
      <c r="F208" s="1">
        <v>96</v>
      </c>
      <c r="G208" s="1">
        <v>180</v>
      </c>
      <c r="H208" s="1" t="str">
        <f>"96/06/11"</f>
        <v>96/06/11</v>
      </c>
      <c r="I208" s="1" t="str">
        <f>"كيلوگرم"</f>
        <v>كيلوگرم</v>
      </c>
      <c r="J208" s="1" t="str">
        <f>"0000000076"</f>
        <v>0000000076</v>
      </c>
      <c r="K208" s="1" t="str">
        <f>"قير 60/70 - فله"</f>
        <v>قير 60/70 - فله</v>
      </c>
      <c r="L208" s="1">
        <v>100</v>
      </c>
      <c r="M208" s="1" t="str">
        <f>"مخازن قير اصفهان"</f>
        <v>مخازن قير اصفهان</v>
      </c>
      <c r="N208" s="1">
        <v>10012</v>
      </c>
      <c r="O208" s="1">
        <v>50035885</v>
      </c>
      <c r="P208" s="1" t="str">
        <f>"  شهرداري يزد"</f>
        <v xml:space="preserve">  شهرداري يزد</v>
      </c>
      <c r="Q208" s="1">
        <v>11</v>
      </c>
      <c r="R208" s="1" t="str">
        <f>"فروش داخلي تهران - بورس"</f>
        <v>فروش داخلي تهران - بورس</v>
      </c>
      <c r="S208" s="1" t="str">
        <f>"قرارداد فروش"</f>
        <v>قرارداد فروش</v>
      </c>
      <c r="T208" s="1" t="str">
        <f>"ندارد"</f>
        <v>ندارد</v>
      </c>
      <c r="U208" s="1" t="str">
        <f>"قانعي محمدرضا(1011ج89)"</f>
        <v>قانعي محمدرضا(1011ج89)</v>
      </c>
      <c r="V208" s="1">
        <v>961100060</v>
      </c>
      <c r="W208" s="1">
        <v>961100060</v>
      </c>
      <c r="X208" s="1" t="str">
        <f>"1396509604"</f>
        <v>1396509604</v>
      </c>
      <c r="Y208" s="1" t="str">
        <f>"96/06/11"</f>
        <v>96/06/11</v>
      </c>
      <c r="Z208" s="1" t="str">
        <f>"960026342/400"</f>
        <v>960026342/400</v>
      </c>
      <c r="AA208" s="1" t="str">
        <f>"شهرداريها"</f>
        <v>شهرداريها</v>
      </c>
      <c r="AB208" s="1" t="str">
        <f>"96/06/07"</f>
        <v>96/06/07</v>
      </c>
      <c r="AC208" s="1" t="str">
        <f>"استان يزد"</f>
        <v>استان يزد</v>
      </c>
      <c r="AD208" s="1" t="str">
        <f>"96/06/11"</f>
        <v>96/06/11</v>
      </c>
      <c r="AE208" s="1" t="str">
        <f>"اختتام"</f>
        <v>اختتام</v>
      </c>
      <c r="AF208" s="1" t="str">
        <f>""</f>
        <v/>
      </c>
      <c r="AG208" s="1" t="str">
        <f>""</f>
        <v/>
      </c>
      <c r="AH208" s="1" t="str">
        <f>""</f>
        <v/>
      </c>
      <c r="AI208" s="1" t="str">
        <f>""</f>
        <v/>
      </c>
      <c r="AJ208" s="1" t="str">
        <f>""</f>
        <v/>
      </c>
      <c r="AK208" s="1" t="str">
        <f>""</f>
        <v/>
      </c>
    </row>
    <row r="209" spans="1:37">
      <c r="A209" s="1">
        <v>1837000</v>
      </c>
      <c r="B209" s="1">
        <v>961100135</v>
      </c>
      <c r="C209" s="1" t="str">
        <f>"تخليه -يزد15كيلومتري جاده خضرآباد-كارخانه آسفالت شهرداري يزد"</f>
        <v>تخليه -يزد15كيلومتري جاده خضرآباد-كارخانه آسفالت شهرداري يزد</v>
      </c>
      <c r="D209" s="1">
        <v>13350</v>
      </c>
      <c r="E209" s="1">
        <v>1829400</v>
      </c>
      <c r="F209" s="1">
        <v>96</v>
      </c>
      <c r="G209" s="1">
        <v>7600</v>
      </c>
      <c r="H209" s="1" t="str">
        <f>"96/12/23"</f>
        <v>96/12/23</v>
      </c>
      <c r="I209" s="1" t="str">
        <f>"كيلوگرم"</f>
        <v>كيلوگرم</v>
      </c>
      <c r="J209" s="1" t="str">
        <f>"0000000076"</f>
        <v>0000000076</v>
      </c>
      <c r="K209" s="1" t="str">
        <f>"قير 60/70 - فله"</f>
        <v>قير 60/70 - فله</v>
      </c>
      <c r="L209" s="1">
        <v>100</v>
      </c>
      <c r="M209" s="1" t="str">
        <f>"مخازن قير اصفهان"</f>
        <v>مخازن قير اصفهان</v>
      </c>
      <c r="N209" s="1">
        <v>10012</v>
      </c>
      <c r="O209" s="1">
        <v>50038951</v>
      </c>
      <c r="P209" s="1" t="str">
        <f>"  شهرداري يزد"</f>
        <v xml:space="preserve">  شهرداري يزد</v>
      </c>
      <c r="Q209" s="1">
        <v>11</v>
      </c>
      <c r="R209" s="1" t="str">
        <f>"فروش داخلي تهران - بورس"</f>
        <v>فروش داخلي تهران - بورس</v>
      </c>
      <c r="S209" s="1" t="str">
        <f>"قرارداد فروش"</f>
        <v>قرارداد فروش</v>
      </c>
      <c r="T209" s="1" t="str">
        <f>"ندارد"</f>
        <v>ندارد</v>
      </c>
      <c r="U209" s="1" t="str">
        <f>"غلام نجفي سيامك‌‌‌‌‌‌(1881082)"</f>
        <v>غلام نجفي سيامك‌‌‌‌‌‌(1881082)</v>
      </c>
      <c r="V209" s="1">
        <v>961100135</v>
      </c>
      <c r="W209" s="1">
        <v>961100135</v>
      </c>
      <c r="X209" s="1" t="str">
        <f>"1396555235"</f>
        <v>1396555235</v>
      </c>
      <c r="Y209" s="1" t="str">
        <f>"96/12/23"</f>
        <v>96/12/23</v>
      </c>
      <c r="Z209" s="1" t="str">
        <f>"960052383/333"</f>
        <v>960052383/333</v>
      </c>
      <c r="AA209" s="1" t="str">
        <f>"شهرداريها"</f>
        <v>شهرداريها</v>
      </c>
      <c r="AB209" s="1" t="str">
        <f>"96/10/28"</f>
        <v>96/10/28</v>
      </c>
      <c r="AC209" s="1" t="str">
        <f>"استان يزد"</f>
        <v>استان يزد</v>
      </c>
      <c r="AD209" s="1" t="str">
        <f>"96/12/23"</f>
        <v>96/12/23</v>
      </c>
      <c r="AE209" s="1" t="str">
        <f>"اختتام"</f>
        <v>اختتام</v>
      </c>
      <c r="AF209" s="1" t="str">
        <f>""</f>
        <v/>
      </c>
      <c r="AG209" s="1" t="str">
        <f>""</f>
        <v/>
      </c>
      <c r="AH209" s="1" t="str">
        <f>""</f>
        <v/>
      </c>
      <c r="AI209" s="1" t="str">
        <f>""</f>
        <v/>
      </c>
      <c r="AJ209" s="1" t="str">
        <f>""</f>
        <v/>
      </c>
      <c r="AK209" s="1" t="str">
        <f>""</f>
        <v/>
      </c>
    </row>
    <row r="210" spans="1:37">
      <c r="A210" s="1">
        <v>35499</v>
      </c>
      <c r="B210" s="1">
        <v>962000400</v>
      </c>
      <c r="C210" s="1" t="str">
        <f>"تخليه - اصفهان-کيلومتر 16 جاده نيک آباد-حسن آباد-کارخانه آسفالت شرکت گل راه نقش جهان"</f>
        <v>تخليه - اصفهان-کيلومتر 16 جاده نيک آباد-حسن آباد-کارخانه آسفالت شرکت گل راه نقش جهان</v>
      </c>
      <c r="D210" s="1">
        <v>12820</v>
      </c>
      <c r="E210" s="1">
        <v>35499</v>
      </c>
      <c r="F210" s="1">
        <v>96</v>
      </c>
      <c r="G210" s="1">
        <v>0</v>
      </c>
      <c r="H210" s="1" t="str">
        <f>"96/09/20"</f>
        <v>96/09/20</v>
      </c>
      <c r="I210" s="1" t="str">
        <f>"كيلوگرم"</f>
        <v>كيلوگرم</v>
      </c>
      <c r="J210" s="1" t="str">
        <f>"0000000076"</f>
        <v>0000000076</v>
      </c>
      <c r="K210" s="1" t="str">
        <f>"قير 60/70 - فله"</f>
        <v>قير 60/70 - فله</v>
      </c>
      <c r="L210" s="1">
        <v>100</v>
      </c>
      <c r="M210" s="1" t="str">
        <f>"مخازن قير اصفهان"</f>
        <v>مخازن قير اصفهان</v>
      </c>
      <c r="N210" s="1">
        <v>10047</v>
      </c>
      <c r="O210" s="1">
        <v>50037713</v>
      </c>
      <c r="P210" s="1" t="str">
        <f>"  شهرداري اژيه"</f>
        <v xml:space="preserve">  شهرداري اژيه</v>
      </c>
      <c r="Q210" s="1">
        <v>20</v>
      </c>
      <c r="R210" s="1" t="str">
        <f>"فروش داخلي - سازمان شهرداري ها و دهياري هاي كشور"</f>
        <v>فروش داخلي - سازمان شهرداري ها و دهياري هاي كشور</v>
      </c>
      <c r="S210" s="1" t="str">
        <f>"قرارداد فروش"</f>
        <v>قرارداد فروش</v>
      </c>
      <c r="T210" s="1" t="str">
        <f>"ندارد"</f>
        <v>ندارد</v>
      </c>
      <c r="U210" s="1" t="str">
        <f>"تعاوني جم گستر (1001 ج 89)"</f>
        <v>تعاوني جم گستر (1001 ج 89)</v>
      </c>
      <c r="V210" s="1">
        <v>962000400</v>
      </c>
      <c r="W210" s="1">
        <v>962000400</v>
      </c>
      <c r="X210" s="1" t="str">
        <f>"1396529711"</f>
        <v>1396529711</v>
      </c>
      <c r="Y210" s="1" t="str">
        <f>"96/09/20"</f>
        <v>96/09/20</v>
      </c>
      <c r="Z210" s="1" t="str">
        <f>"37105مرحله دوم"</f>
        <v>37105مرحله دوم</v>
      </c>
      <c r="AA210" s="1" t="str">
        <f>"شهرداريها"</f>
        <v>شهرداريها</v>
      </c>
      <c r="AB210" s="1" t="str">
        <f>"96/09/04"</f>
        <v>96/09/04</v>
      </c>
      <c r="AC210" s="1" t="str">
        <f>"استان اصفهان"</f>
        <v>استان اصفهان</v>
      </c>
      <c r="AD210" s="1" t="str">
        <f>"96/09/13"</f>
        <v>96/09/13</v>
      </c>
      <c r="AE210" s="1" t="str">
        <f>"اختتام"</f>
        <v>اختتام</v>
      </c>
      <c r="AF210" s="1" t="str">
        <f>""</f>
        <v/>
      </c>
      <c r="AG210" s="1" t="str">
        <f>""</f>
        <v/>
      </c>
      <c r="AH210" s="1" t="str">
        <f>""</f>
        <v/>
      </c>
      <c r="AI210" s="1" t="str">
        <f>""</f>
        <v/>
      </c>
      <c r="AJ210" s="1" t="str">
        <f>""</f>
        <v/>
      </c>
      <c r="AK210" s="1" t="str">
        <f>""</f>
        <v/>
      </c>
    </row>
    <row r="211" spans="1:37">
      <c r="A211" s="1">
        <v>36230</v>
      </c>
      <c r="B211" s="1">
        <v>962000407</v>
      </c>
      <c r="C211" s="1" t="str">
        <f>"تخليه اصفهان سه راهي محمدآبادكارخانه آسفالت جرقويه"</f>
        <v>تخليه اصفهان سه راهي محمدآبادكارخانه آسفالت جرقويه</v>
      </c>
      <c r="D211" s="1">
        <v>12820</v>
      </c>
      <c r="E211" s="1">
        <v>36230</v>
      </c>
      <c r="F211" s="1">
        <v>96</v>
      </c>
      <c r="G211" s="1">
        <v>0</v>
      </c>
      <c r="H211" s="1" t="str">
        <f>"96/09/20"</f>
        <v>96/09/20</v>
      </c>
      <c r="I211" s="1" t="str">
        <f>"كيلوگرم"</f>
        <v>كيلوگرم</v>
      </c>
      <c r="J211" s="1" t="str">
        <f>"0000000076"</f>
        <v>0000000076</v>
      </c>
      <c r="K211" s="1" t="str">
        <f>"قير 60/70 - فله"</f>
        <v>قير 60/70 - فله</v>
      </c>
      <c r="L211" s="1">
        <v>100</v>
      </c>
      <c r="M211" s="1" t="str">
        <f>"مخازن قير اصفهان"</f>
        <v>مخازن قير اصفهان</v>
      </c>
      <c r="N211" s="1">
        <v>10073</v>
      </c>
      <c r="O211" s="1">
        <v>50037814</v>
      </c>
      <c r="P211" s="1" t="str">
        <f>"  شهرداري محمدآباد"</f>
        <v xml:space="preserve">  شهرداري محمدآباد</v>
      </c>
      <c r="Q211" s="1">
        <v>20</v>
      </c>
      <c r="R211" s="1" t="str">
        <f>"فروش داخلي - سازمان شهرداري ها و دهياري هاي كشور"</f>
        <v>فروش داخلي - سازمان شهرداري ها و دهياري هاي كشور</v>
      </c>
      <c r="S211" s="1" t="str">
        <f>"قرارداد فروش"</f>
        <v>قرارداد فروش</v>
      </c>
      <c r="T211" s="1" t="str">
        <f>"ندارد"</f>
        <v>ندارد</v>
      </c>
      <c r="U211" s="1" t="str">
        <f>"تعاوني جم گستر (1001 ج 89)"</f>
        <v>تعاوني جم گستر (1001 ج 89)</v>
      </c>
      <c r="V211" s="1">
        <v>962000407</v>
      </c>
      <c r="W211" s="1">
        <v>962000407</v>
      </c>
      <c r="X211" s="1" t="str">
        <f>"1396529711"</f>
        <v>1396529711</v>
      </c>
      <c r="Y211" s="1" t="str">
        <f>"96/09/20"</f>
        <v>96/09/20</v>
      </c>
      <c r="Z211" s="1" t="str">
        <f>"37243مرحله دوم"</f>
        <v>37243مرحله دوم</v>
      </c>
      <c r="AA211" s="1" t="str">
        <f>"شهرداريها"</f>
        <v>شهرداريها</v>
      </c>
      <c r="AB211" s="1" t="str">
        <f>"96/09/05"</f>
        <v>96/09/05</v>
      </c>
      <c r="AC211" s="1" t="str">
        <f>"استان اصفهان"</f>
        <v>استان اصفهان</v>
      </c>
      <c r="AD211" s="1" t="str">
        <f>"96/09/13"</f>
        <v>96/09/13</v>
      </c>
      <c r="AE211" s="1" t="str">
        <f>"اختتام"</f>
        <v>اختتام</v>
      </c>
      <c r="AF211" s="1" t="str">
        <f>""</f>
        <v/>
      </c>
      <c r="AG211" s="1" t="str">
        <f>""</f>
        <v/>
      </c>
      <c r="AH211" s="1" t="str">
        <f>""</f>
        <v/>
      </c>
      <c r="AI211" s="1" t="str">
        <f>""</f>
        <v/>
      </c>
      <c r="AJ211" s="1" t="str">
        <f>""</f>
        <v/>
      </c>
      <c r="AK211" s="1" t="str">
        <f>""</f>
        <v/>
      </c>
    </row>
    <row r="212" spans="1:37">
      <c r="A212" s="1">
        <v>70000</v>
      </c>
      <c r="B212" s="1">
        <v>966200010</v>
      </c>
      <c r="C212" s="1" t="str">
        <f>"تخليه -اصفهان -جاده اردستان سه راهي اردستان -كارخانه آسفالت بسترسازان"</f>
        <v>تخليه -اصفهان -جاده اردستان سه راهي اردستان -كارخانه آسفالت بسترسازان</v>
      </c>
      <c r="D212" s="1">
        <v>8198</v>
      </c>
      <c r="E212" s="1">
        <v>70000</v>
      </c>
      <c r="F212" s="1">
        <v>96</v>
      </c>
      <c r="G212" s="1">
        <v>0</v>
      </c>
      <c r="H212" s="1" t="str">
        <f>"96/01/21"</f>
        <v>96/01/21</v>
      </c>
      <c r="I212" s="1" t="str">
        <f>"كيلوگرم"</f>
        <v>كيلوگرم</v>
      </c>
      <c r="J212" s="1" t="str">
        <f>"0000000076"</f>
        <v>0000000076</v>
      </c>
      <c r="K212" s="1" t="str">
        <f>"قير 60/70 - فله"</f>
        <v>قير 60/70 - فله</v>
      </c>
      <c r="L212" s="1">
        <v>100</v>
      </c>
      <c r="M212" s="1" t="str">
        <f>"مخازن قير اصفهان"</f>
        <v>مخازن قير اصفهان</v>
      </c>
      <c r="N212" s="1">
        <v>10088</v>
      </c>
      <c r="O212" s="1">
        <v>50034470</v>
      </c>
      <c r="P212" s="1" t="str">
        <f>"  عمراني بسترسازان كوير"</f>
        <v xml:space="preserve">  عمراني بسترسازان كوير</v>
      </c>
      <c r="Q212" s="1">
        <v>62</v>
      </c>
      <c r="R212" s="1" t="str">
        <f>"فروش داخلي - سازمان بنيادمسكن انقلاب اسلامي"</f>
        <v>فروش داخلي - سازمان بنيادمسكن انقلاب اسلامي</v>
      </c>
      <c r="S212" s="1" t="str">
        <f>"قرارداد فروش"</f>
        <v>قرارداد فروش</v>
      </c>
      <c r="T212" s="1" t="str">
        <f>"ندارد"</f>
        <v>ندارد</v>
      </c>
      <c r="U212" s="1" t="str">
        <f>"عزيزي صفر(1006ج 89)"</f>
        <v>عزيزي صفر(1006ج 89)</v>
      </c>
      <c r="V212" s="1">
        <v>966200010</v>
      </c>
      <c r="W212" s="1">
        <v>966200010</v>
      </c>
      <c r="X212" s="1" t="str">
        <f>"1396472723"</f>
        <v>1396472723</v>
      </c>
      <c r="Y212" s="1" t="str">
        <f>"96/01/21"</f>
        <v>96/01/21</v>
      </c>
      <c r="Z212" s="1" t="str">
        <f>"989/د"</f>
        <v>989/د</v>
      </c>
      <c r="AA212" s="1" t="str">
        <f>"بنيادمسكن انقلاب اسلامي"</f>
        <v>بنيادمسكن انقلاب اسلامي</v>
      </c>
      <c r="AB212" s="1" t="str">
        <f>"96/01/19"</f>
        <v>96/01/19</v>
      </c>
      <c r="AC212" s="1" t="str">
        <f>"استان اصفهان"</f>
        <v>استان اصفهان</v>
      </c>
      <c r="AD212" s="1" t="str">
        <f>"96/01/20"</f>
        <v>96/01/20</v>
      </c>
      <c r="AE212" s="1" t="str">
        <f>"اختتام"</f>
        <v>اختتام</v>
      </c>
      <c r="AF212" s="1" t="str">
        <f>""</f>
        <v/>
      </c>
      <c r="AG212" s="1" t="str">
        <f>""</f>
        <v/>
      </c>
      <c r="AH212" s="1" t="str">
        <f>""</f>
        <v/>
      </c>
      <c r="AI212" s="1" t="str">
        <f>""</f>
        <v/>
      </c>
      <c r="AJ212" s="1" t="str">
        <f>""</f>
        <v/>
      </c>
      <c r="AK212" s="1" t="str">
        <f>""</f>
        <v/>
      </c>
    </row>
    <row r="213" spans="1:37">
      <c r="A213" s="1">
        <v>111478</v>
      </c>
      <c r="B213" s="1">
        <v>962000203</v>
      </c>
      <c r="C213" s="1" t="str">
        <f>"تخليه كرمان كيلومتر5جاده شهربابك اناركارخانه آسفالت شماره يك شهرداري شهربابك"</f>
        <v>تخليه كرمان كيلومتر5جاده شهربابك اناركارخانه آسفالت شماره يك شهرداري شهربابك</v>
      </c>
      <c r="D213" s="1">
        <v>9113</v>
      </c>
      <c r="E213" s="1">
        <v>111478</v>
      </c>
      <c r="F213" s="1">
        <v>96</v>
      </c>
      <c r="G213" s="1">
        <v>0</v>
      </c>
      <c r="H213" s="1" t="str">
        <f>"96/07/03"</f>
        <v>96/07/03</v>
      </c>
      <c r="I213" s="1" t="str">
        <f>"كيلوگرم"</f>
        <v>كيلوگرم</v>
      </c>
      <c r="J213" s="1" t="str">
        <f>"0000000076"</f>
        <v>0000000076</v>
      </c>
      <c r="K213" s="1" t="str">
        <f>"قير 60/70 - فله"</f>
        <v>قير 60/70 - فله</v>
      </c>
      <c r="L213" s="1">
        <v>100</v>
      </c>
      <c r="M213" s="1" t="str">
        <f>"مخازن قير اصفهان"</f>
        <v>مخازن قير اصفهان</v>
      </c>
      <c r="N213" s="1">
        <v>9624</v>
      </c>
      <c r="O213" s="1">
        <v>50036434</v>
      </c>
      <c r="P213" s="1" t="str">
        <f>"  شهرداري خورسند"</f>
        <v xml:space="preserve">  شهرداري خورسند</v>
      </c>
      <c r="Q213" s="1">
        <v>20</v>
      </c>
      <c r="R213" s="1" t="str">
        <f>"فروش داخلي - سازمان شهرداري ها و دهياري هاي كشور"</f>
        <v>فروش داخلي - سازمان شهرداري ها و دهياري هاي كشور</v>
      </c>
      <c r="S213" s="1" t="str">
        <f>"قرارداد فروش"</f>
        <v>قرارداد فروش</v>
      </c>
      <c r="T213" s="1" t="str">
        <f>"ندارد"</f>
        <v>ندارد</v>
      </c>
      <c r="U213" s="1" t="str">
        <f>"تعاوني جم گستر (1001 ج 89)"</f>
        <v>تعاوني جم گستر (1001 ج 89)</v>
      </c>
      <c r="V213" s="1">
        <v>962000203</v>
      </c>
      <c r="W213" s="1">
        <v>962000203</v>
      </c>
      <c r="X213" s="1" t="str">
        <f>"1396514467"</f>
        <v>1396514467</v>
      </c>
      <c r="Y213" s="1" t="str">
        <f>"96/07/03"</f>
        <v>96/07/03</v>
      </c>
      <c r="Z213" s="1" t="str">
        <f>"26786مرحله اول"</f>
        <v>26786مرحله اول</v>
      </c>
      <c r="AA213" s="1" t="str">
        <f>"شهرداريها"</f>
        <v>شهرداريها</v>
      </c>
      <c r="AB213" s="1" t="str">
        <f>"96/06/29"</f>
        <v>96/06/29</v>
      </c>
      <c r="AC213" s="1" t="str">
        <f>"استان كرمان"</f>
        <v>استان كرمان</v>
      </c>
      <c r="AD213" s="1" t="str">
        <f>"96/07/03"</f>
        <v>96/07/03</v>
      </c>
      <c r="AE213" s="1" t="str">
        <f>"اختتام"</f>
        <v>اختتام</v>
      </c>
      <c r="AF213" s="1" t="str">
        <f>""</f>
        <v/>
      </c>
      <c r="AG213" s="1" t="str">
        <f>""</f>
        <v/>
      </c>
      <c r="AH213" s="1" t="str">
        <f>""</f>
        <v/>
      </c>
      <c r="AI213" s="1" t="str">
        <f>""</f>
        <v/>
      </c>
      <c r="AJ213" s="1" t="str">
        <f>""</f>
        <v/>
      </c>
      <c r="AK213" s="1" t="str">
        <f>""</f>
        <v/>
      </c>
    </row>
    <row r="214" spans="1:37">
      <c r="A214" s="1">
        <v>39621</v>
      </c>
      <c r="B214" s="1">
        <v>962000351</v>
      </c>
      <c r="C214" s="1" t="str">
        <f>"تخليه كرمان كيلومتر60جاده شهربابك هرات كارخانه آسفالت پورياصباح"</f>
        <v>تخليه كرمان كيلومتر60جاده شهربابك هرات كارخانه آسفالت پورياصباح</v>
      </c>
      <c r="D214" s="1">
        <v>12820</v>
      </c>
      <c r="E214" s="1">
        <v>39621</v>
      </c>
      <c r="F214" s="1">
        <v>96</v>
      </c>
      <c r="G214" s="1">
        <v>0</v>
      </c>
      <c r="H214" s="1" t="str">
        <f>"96/09/18"</f>
        <v>96/09/18</v>
      </c>
      <c r="I214" s="1" t="str">
        <f>"كيلوگرم"</f>
        <v>كيلوگرم</v>
      </c>
      <c r="J214" s="1" t="str">
        <f>"0000000076"</f>
        <v>0000000076</v>
      </c>
      <c r="K214" s="1" t="str">
        <f>"قير 60/70 - فله"</f>
        <v>قير 60/70 - فله</v>
      </c>
      <c r="L214" s="1">
        <v>100</v>
      </c>
      <c r="M214" s="1" t="str">
        <f>"مخازن قير اصفهان"</f>
        <v>مخازن قير اصفهان</v>
      </c>
      <c r="N214" s="1">
        <v>9624</v>
      </c>
      <c r="O214" s="1">
        <v>50037609</v>
      </c>
      <c r="P214" s="1" t="str">
        <f>"  شهرداري خورسند"</f>
        <v xml:space="preserve">  شهرداري خورسند</v>
      </c>
      <c r="Q214" s="1">
        <v>20</v>
      </c>
      <c r="R214" s="1" t="str">
        <f>"فروش داخلي - سازمان شهرداري ها و دهياري هاي كشور"</f>
        <v>فروش داخلي - سازمان شهرداري ها و دهياري هاي كشور</v>
      </c>
      <c r="S214" s="1" t="str">
        <f>"قرارداد فروش"</f>
        <v>قرارداد فروش</v>
      </c>
      <c r="T214" s="1" t="str">
        <f>"ندارد"</f>
        <v>ندارد</v>
      </c>
      <c r="U214" s="1" t="str">
        <f>"تعاوني جم گستر (1001 ج 89)"</f>
        <v>تعاوني جم گستر (1001 ج 89)</v>
      </c>
      <c r="V214" s="1">
        <v>962000351</v>
      </c>
      <c r="W214" s="1">
        <v>962000351</v>
      </c>
      <c r="X214" s="1" t="str">
        <f>"1396529711"</f>
        <v>1396529711</v>
      </c>
      <c r="Y214" s="1" t="str">
        <f>"96/09/18"</f>
        <v>96/09/18</v>
      </c>
      <c r="Z214" s="1" t="str">
        <f>"38591مرحله دوم"</f>
        <v>38591مرحله دوم</v>
      </c>
      <c r="AA214" s="1" t="str">
        <f>"شهرداريها"</f>
        <v>شهرداريها</v>
      </c>
      <c r="AB214" s="1" t="str">
        <f>"96/09/11"</f>
        <v>96/09/11</v>
      </c>
      <c r="AC214" s="1" t="str">
        <f>"استان كرمان"</f>
        <v>استان كرمان</v>
      </c>
      <c r="AD214" s="1" t="str">
        <f>"96/09/13"</f>
        <v>96/09/13</v>
      </c>
      <c r="AE214" s="1" t="str">
        <f>"اختتام"</f>
        <v>اختتام</v>
      </c>
      <c r="AF214" s="1" t="str">
        <f>""</f>
        <v/>
      </c>
      <c r="AG214" s="1" t="str">
        <f>""</f>
        <v/>
      </c>
      <c r="AH214" s="1" t="str">
        <f>""</f>
        <v/>
      </c>
      <c r="AI214" s="1" t="str">
        <f>""</f>
        <v/>
      </c>
      <c r="AJ214" s="1" t="str">
        <f>""</f>
        <v/>
      </c>
      <c r="AK214" s="1" t="str">
        <f>""</f>
        <v/>
      </c>
    </row>
    <row r="215" spans="1:37">
      <c r="A215" s="1">
        <v>65606</v>
      </c>
      <c r="B215" s="1">
        <v>962000266</v>
      </c>
      <c r="C215" s="1" t="str">
        <f>"تخليه خراسان جنوبي 3كيلومتري جاده آرين شهربيرجندكارخانه آسفالت شركت آب شن راه طوس"</f>
        <v>تخليه خراسان جنوبي 3كيلومتري جاده آرين شهربيرجندكارخانه آسفالت شركت آب شن راه طوس</v>
      </c>
      <c r="D215" s="1">
        <v>9113</v>
      </c>
      <c r="E215" s="1">
        <v>65606</v>
      </c>
      <c r="F215" s="1">
        <v>96</v>
      </c>
      <c r="G215" s="1">
        <v>0</v>
      </c>
      <c r="H215" s="1" t="str">
        <f>"96/09/08"</f>
        <v>96/09/08</v>
      </c>
      <c r="I215" s="1" t="str">
        <f>"كيلوگرم"</f>
        <v>كيلوگرم</v>
      </c>
      <c r="J215" s="1" t="str">
        <f>"0000000076"</f>
        <v>0000000076</v>
      </c>
      <c r="K215" s="1" t="str">
        <f>"قير 60/70 - فله"</f>
        <v>قير 60/70 - فله</v>
      </c>
      <c r="L215" s="1">
        <v>100</v>
      </c>
      <c r="M215" s="1" t="str">
        <f>"مخازن قير اصفهان"</f>
        <v>مخازن قير اصفهان</v>
      </c>
      <c r="N215" s="1">
        <v>9656</v>
      </c>
      <c r="O215" s="1">
        <v>50037395</v>
      </c>
      <c r="P215" s="1" t="str">
        <f>"  شهرداري آرين شهر"</f>
        <v xml:space="preserve">  شهرداري آرين شهر</v>
      </c>
      <c r="Q215" s="1">
        <v>20</v>
      </c>
      <c r="R215" s="1" t="str">
        <f>"فروش داخلي - سازمان شهرداري ها و دهياري هاي كشور"</f>
        <v>فروش داخلي - سازمان شهرداري ها و دهياري هاي كشور</v>
      </c>
      <c r="S215" s="1" t="str">
        <f>"قرارداد فروش"</f>
        <v>قرارداد فروش</v>
      </c>
      <c r="T215" s="1" t="str">
        <f>"ندارد"</f>
        <v>ندارد</v>
      </c>
      <c r="U215" s="1" t="str">
        <f>"تعاوني جم گستر (1001 ج 89)"</f>
        <v>تعاوني جم گستر (1001 ج 89)</v>
      </c>
      <c r="V215" s="1">
        <v>962000266</v>
      </c>
      <c r="W215" s="1">
        <v>962000266</v>
      </c>
      <c r="X215" s="1" t="str">
        <f>"1396514467"</f>
        <v>1396514467</v>
      </c>
      <c r="Y215" s="1" t="str">
        <f>"96/09/08"</f>
        <v>96/09/08</v>
      </c>
      <c r="Z215" s="1" t="str">
        <f>"37096مرحله دوم"</f>
        <v>37096مرحله دوم</v>
      </c>
      <c r="AA215" s="1" t="str">
        <f>"شهرداريها"</f>
        <v>شهرداريها</v>
      </c>
      <c r="AB215" s="1" t="str">
        <f>"96/09/04"</f>
        <v>96/09/04</v>
      </c>
      <c r="AC215" s="1" t="str">
        <f>"خراسان جنوبي"</f>
        <v>خراسان جنوبي</v>
      </c>
      <c r="AD215" s="1" t="str">
        <f>"96/07/03"</f>
        <v>96/07/03</v>
      </c>
      <c r="AE215" s="1" t="str">
        <f>"اختتام"</f>
        <v>اختتام</v>
      </c>
      <c r="AF215" s="1" t="str">
        <f>""</f>
        <v/>
      </c>
      <c r="AG215" s="1" t="str">
        <f>""</f>
        <v/>
      </c>
      <c r="AH215" s="1" t="str">
        <f>""</f>
        <v/>
      </c>
      <c r="AI215" s="1" t="str">
        <f>""</f>
        <v/>
      </c>
      <c r="AJ215" s="1" t="str">
        <f>""</f>
        <v/>
      </c>
      <c r="AK215" s="1" t="str">
        <f>""</f>
        <v/>
      </c>
    </row>
    <row r="216" spans="1:37">
      <c r="A216" s="1">
        <v>204177</v>
      </c>
      <c r="B216" s="1">
        <v>962000142</v>
      </c>
      <c r="C216" s="1" t="str">
        <f>"تخليه -خراسان جنوبي ميدان معلم جاده خروكارخانه آسفالت شهرداري"</f>
        <v>تخليه -خراسان جنوبي ميدان معلم جاده خروكارخانه آسفالت شهرداري</v>
      </c>
      <c r="D216" s="1">
        <v>9113</v>
      </c>
      <c r="E216" s="1">
        <v>204177</v>
      </c>
      <c r="F216" s="1">
        <v>96</v>
      </c>
      <c r="G216" s="1">
        <v>0</v>
      </c>
      <c r="H216" s="1" t="str">
        <f>"96/07/03"</f>
        <v>96/07/03</v>
      </c>
      <c r="I216" s="1" t="str">
        <f>"كيلوگرم"</f>
        <v>كيلوگرم</v>
      </c>
      <c r="J216" s="1" t="str">
        <f>"0000000076"</f>
        <v>0000000076</v>
      </c>
      <c r="K216" s="1" t="str">
        <f>"قير 60/70 - فله"</f>
        <v>قير 60/70 - فله</v>
      </c>
      <c r="L216" s="1">
        <v>100</v>
      </c>
      <c r="M216" s="1" t="str">
        <f>"مخازن قير اصفهان"</f>
        <v>مخازن قير اصفهان</v>
      </c>
      <c r="N216" s="1">
        <v>9690</v>
      </c>
      <c r="O216" s="1">
        <v>50036335</v>
      </c>
      <c r="P216" s="1" t="str">
        <f>"  شهرداري طبس گلشن"</f>
        <v xml:space="preserve">  شهرداري طبس گلشن</v>
      </c>
      <c r="Q216" s="1">
        <v>20</v>
      </c>
      <c r="R216" s="1" t="str">
        <f>"فروش داخلي - سازمان شهرداري ها و دهياري هاي كشور"</f>
        <v>فروش داخلي - سازمان شهرداري ها و دهياري هاي كشور</v>
      </c>
      <c r="S216" s="1" t="str">
        <f>"قرارداد فروش"</f>
        <v>قرارداد فروش</v>
      </c>
      <c r="T216" s="1" t="str">
        <f>"ندارد"</f>
        <v>ندارد</v>
      </c>
      <c r="U216" s="1" t="str">
        <f>"تعاوني جم گستر (1001 ج 89)"</f>
        <v>تعاوني جم گستر (1001 ج 89)</v>
      </c>
      <c r="V216" s="1">
        <v>962000142</v>
      </c>
      <c r="W216" s="1">
        <v>962000142</v>
      </c>
      <c r="X216" s="1" t="str">
        <f>"1396514467"</f>
        <v>1396514467</v>
      </c>
      <c r="Y216" s="1" t="str">
        <f>"96/07/03"</f>
        <v>96/07/03</v>
      </c>
      <c r="Z216" s="1" t="str">
        <f>"26723مرحله اول"</f>
        <v>26723مرحله اول</v>
      </c>
      <c r="AA216" s="1" t="str">
        <f>"شهرداريها"</f>
        <v>شهرداريها</v>
      </c>
      <c r="AB216" s="1" t="str">
        <f>"96/06/29"</f>
        <v>96/06/29</v>
      </c>
      <c r="AC216" s="1" t="str">
        <f>"خراسان جنوبي"</f>
        <v>خراسان جنوبي</v>
      </c>
      <c r="AD216" s="1" t="str">
        <f>"96/07/03"</f>
        <v>96/07/03</v>
      </c>
      <c r="AE216" s="1" t="str">
        <f>"اختتام"</f>
        <v>اختتام</v>
      </c>
      <c r="AF216" s="1" t="str">
        <f>""</f>
        <v/>
      </c>
      <c r="AG216" s="1" t="str">
        <f>""</f>
        <v/>
      </c>
      <c r="AH216" s="1" t="str">
        <f>""</f>
        <v/>
      </c>
      <c r="AI216" s="1" t="str">
        <f>""</f>
        <v/>
      </c>
      <c r="AJ216" s="1" t="str">
        <f>""</f>
        <v/>
      </c>
      <c r="AK216" s="1" t="str">
        <f>""</f>
        <v/>
      </c>
    </row>
    <row r="217" spans="1:37">
      <c r="A217" s="1">
        <v>102088</v>
      </c>
      <c r="B217" s="1">
        <v>962000263</v>
      </c>
      <c r="C217" s="1" t="str">
        <f>"تخليه -خراسان جنوبي ميدان معلم جاده خروكارخانه آسفالت شهرداري"</f>
        <v>تخليه -خراسان جنوبي ميدان معلم جاده خروكارخانه آسفالت شهرداري</v>
      </c>
      <c r="D217" s="1">
        <v>9113</v>
      </c>
      <c r="E217" s="1">
        <v>102088</v>
      </c>
      <c r="F217" s="1">
        <v>96</v>
      </c>
      <c r="G217" s="1">
        <v>0</v>
      </c>
      <c r="H217" s="1" t="str">
        <f>"96/09/08"</f>
        <v>96/09/08</v>
      </c>
      <c r="I217" s="1" t="str">
        <f>"كيلوگرم"</f>
        <v>كيلوگرم</v>
      </c>
      <c r="J217" s="1" t="str">
        <f>"0000000076"</f>
        <v>0000000076</v>
      </c>
      <c r="K217" s="1" t="str">
        <f>"قير 60/70 - فله"</f>
        <v>قير 60/70 - فله</v>
      </c>
      <c r="L217" s="1">
        <v>100</v>
      </c>
      <c r="M217" s="1" t="str">
        <f>"مخازن قير اصفهان"</f>
        <v>مخازن قير اصفهان</v>
      </c>
      <c r="N217" s="1">
        <v>9690</v>
      </c>
      <c r="O217" s="1">
        <v>50037392</v>
      </c>
      <c r="P217" s="1" t="str">
        <f>"  شهرداري طبس گلشن"</f>
        <v xml:space="preserve">  شهرداري طبس گلشن</v>
      </c>
      <c r="Q217" s="1">
        <v>20</v>
      </c>
      <c r="R217" s="1" t="str">
        <f>"فروش داخلي - سازمان شهرداري ها و دهياري هاي كشور"</f>
        <v>فروش داخلي - سازمان شهرداري ها و دهياري هاي كشور</v>
      </c>
      <c r="S217" s="1" t="str">
        <f>"قرارداد فروش"</f>
        <v>قرارداد فروش</v>
      </c>
      <c r="T217" s="1" t="str">
        <f>"ندارد"</f>
        <v>ندارد</v>
      </c>
      <c r="U217" s="1" t="str">
        <f>"تعاوني جم گستر (1001 ج 89)"</f>
        <v>تعاوني جم گستر (1001 ج 89)</v>
      </c>
      <c r="V217" s="1">
        <v>962000263</v>
      </c>
      <c r="W217" s="1">
        <v>962000263</v>
      </c>
      <c r="X217" s="1" t="str">
        <f>"1396514467"</f>
        <v>1396514467</v>
      </c>
      <c r="Y217" s="1" t="str">
        <f>"96/09/08"</f>
        <v>96/09/08</v>
      </c>
      <c r="Z217" s="1" t="str">
        <f>"37080مرحله دوم"</f>
        <v>37080مرحله دوم</v>
      </c>
      <c r="AA217" s="1" t="str">
        <f>"شهرداريها"</f>
        <v>شهرداريها</v>
      </c>
      <c r="AB217" s="1" t="str">
        <f>"96/09/04"</f>
        <v>96/09/04</v>
      </c>
      <c r="AC217" s="1" t="str">
        <f>"خراسان جنوبي"</f>
        <v>خراسان جنوبي</v>
      </c>
      <c r="AD217" s="1" t="str">
        <f>"96/07/03"</f>
        <v>96/07/03</v>
      </c>
      <c r="AE217" s="1" t="str">
        <f>"اختتام"</f>
        <v>اختتام</v>
      </c>
      <c r="AF217" s="1" t="str">
        <f>""</f>
        <v/>
      </c>
      <c r="AG217" s="1" t="str">
        <f>""</f>
        <v/>
      </c>
      <c r="AH217" s="1" t="str">
        <f>""</f>
        <v/>
      </c>
      <c r="AI217" s="1" t="str">
        <f>""</f>
        <v/>
      </c>
      <c r="AJ217" s="1" t="str">
        <f>""</f>
        <v/>
      </c>
      <c r="AK217" s="1" t="str">
        <f>""</f>
        <v/>
      </c>
    </row>
    <row r="218" spans="1:37">
      <c r="A218" s="1">
        <v>37266</v>
      </c>
      <c r="B218" s="1">
        <v>962000355</v>
      </c>
      <c r="C218" s="1" t="str">
        <f>"تخليه كرمان كوهبنان بلوارامام رضاكارخانه آسفالت شهرداري كوهبنان شركت ماندگاربناي هيراد"</f>
        <v>تخليه كرمان كوهبنان بلوارامام رضاكارخانه آسفالت شهرداري كوهبنان شركت ماندگاربناي هيراد</v>
      </c>
      <c r="D218" s="1">
        <v>12820</v>
      </c>
      <c r="E218" s="1">
        <v>37266</v>
      </c>
      <c r="F218" s="1">
        <v>96</v>
      </c>
      <c r="G218" s="1">
        <v>0</v>
      </c>
      <c r="H218" s="1" t="str">
        <f>"96/09/18"</f>
        <v>96/09/18</v>
      </c>
      <c r="I218" s="1" t="str">
        <f>"كيلوگرم"</f>
        <v>كيلوگرم</v>
      </c>
      <c r="J218" s="1" t="str">
        <f>"0000000076"</f>
        <v>0000000076</v>
      </c>
      <c r="K218" s="1" t="str">
        <f>"قير 60/70 - فله"</f>
        <v>قير 60/70 - فله</v>
      </c>
      <c r="L218" s="1">
        <v>100</v>
      </c>
      <c r="M218" s="1" t="str">
        <f>"مخازن قير اصفهان"</f>
        <v>مخازن قير اصفهان</v>
      </c>
      <c r="N218" s="1">
        <v>9710</v>
      </c>
      <c r="O218" s="1">
        <v>50037613</v>
      </c>
      <c r="P218" s="1" t="str">
        <f>"  شهرداري كيانشهر"</f>
        <v xml:space="preserve">  شهرداري كيانشهر</v>
      </c>
      <c r="Q218" s="1">
        <v>20</v>
      </c>
      <c r="R218" s="1" t="str">
        <f>"فروش داخلي - سازمان شهرداري ها و دهياري هاي كشور"</f>
        <v>فروش داخلي - سازمان شهرداري ها و دهياري هاي كشور</v>
      </c>
      <c r="S218" s="1" t="str">
        <f>"قرارداد فروش"</f>
        <v>قرارداد فروش</v>
      </c>
      <c r="T218" s="1" t="str">
        <f>"ندارد"</f>
        <v>ندارد</v>
      </c>
      <c r="U218" s="1" t="str">
        <f>"تعاوني جم گستر (1001 ج 89)"</f>
        <v>تعاوني جم گستر (1001 ج 89)</v>
      </c>
      <c r="V218" s="1">
        <v>962000355</v>
      </c>
      <c r="W218" s="1">
        <v>962000355</v>
      </c>
      <c r="X218" s="1" t="str">
        <f>"1396529711"</f>
        <v>1396529711</v>
      </c>
      <c r="Y218" s="1" t="str">
        <f>"96/09/18"</f>
        <v>96/09/18</v>
      </c>
      <c r="Z218" s="1" t="str">
        <f>"38596مرحله دوم"</f>
        <v>38596مرحله دوم</v>
      </c>
      <c r="AA218" s="1" t="str">
        <f>"شهرداريها"</f>
        <v>شهرداريها</v>
      </c>
      <c r="AB218" s="1" t="str">
        <f>"96/09/11"</f>
        <v>96/09/11</v>
      </c>
      <c r="AC218" s="1" t="str">
        <f>"استان كرمان"</f>
        <v>استان كرمان</v>
      </c>
      <c r="AD218" s="1" t="str">
        <f>"96/09/13"</f>
        <v>96/09/13</v>
      </c>
      <c r="AE218" s="1" t="str">
        <f>"اختتام"</f>
        <v>اختتام</v>
      </c>
      <c r="AF218" s="1" t="str">
        <f>""</f>
        <v/>
      </c>
      <c r="AG218" s="1" t="str">
        <f>""</f>
        <v/>
      </c>
      <c r="AH218" s="1" t="str">
        <f>""</f>
        <v/>
      </c>
      <c r="AI218" s="1" t="str">
        <f>""</f>
        <v/>
      </c>
      <c r="AJ218" s="1" t="str">
        <f>""</f>
        <v/>
      </c>
      <c r="AK218" s="1" t="str">
        <f>""</f>
        <v/>
      </c>
    </row>
    <row r="219" spans="1:37">
      <c r="A219" s="1">
        <v>50000</v>
      </c>
      <c r="B219" s="1">
        <v>961100087</v>
      </c>
      <c r="C219" s="1" t="str">
        <f>"تخليه -لرستان -اليگودرزبه سمت ازنا-كارخانه آسفالت 80تني شهرداري اليگورز"</f>
        <v>تخليه -لرستان -اليگودرزبه سمت ازنا-كارخانه آسفالت 80تني شهرداري اليگورز</v>
      </c>
      <c r="D219" s="1">
        <v>9416</v>
      </c>
      <c r="E219" s="1">
        <v>47380</v>
      </c>
      <c r="F219" s="1">
        <v>96</v>
      </c>
      <c r="G219" s="1">
        <v>2620</v>
      </c>
      <c r="H219" s="1" t="str">
        <f>"96/08/10"</f>
        <v>96/08/10</v>
      </c>
      <c r="I219" s="1" t="str">
        <f>"كيلوگرم"</f>
        <v>كيلوگرم</v>
      </c>
      <c r="J219" s="1" t="str">
        <f>"0000000076"</f>
        <v>0000000076</v>
      </c>
      <c r="K219" s="1" t="str">
        <f>"قير 60/70 - فله"</f>
        <v>قير 60/70 - فله</v>
      </c>
      <c r="L219" s="1">
        <v>100</v>
      </c>
      <c r="M219" s="1" t="str">
        <f>"مخازن قير اصفهان"</f>
        <v>مخازن قير اصفهان</v>
      </c>
      <c r="N219" s="1">
        <v>10503</v>
      </c>
      <c r="O219" s="1">
        <v>50036989</v>
      </c>
      <c r="P219" s="1" t="str">
        <f>"  شهرداري اليگودرز"</f>
        <v xml:space="preserve">  شهرداري اليگودرز</v>
      </c>
      <c r="Q219" s="1">
        <v>11</v>
      </c>
      <c r="R219" s="1" t="str">
        <f>"فروش داخلي تهران - بورس"</f>
        <v>فروش داخلي تهران - بورس</v>
      </c>
      <c r="S219" s="1" t="str">
        <f>"قرارداد فروش"</f>
        <v>قرارداد فروش</v>
      </c>
      <c r="T219" s="1" t="str">
        <f>"ندارد"</f>
        <v>ندارد</v>
      </c>
      <c r="U219" s="1" t="str">
        <f>"اميري علي(2842011)"</f>
        <v>اميري علي(2842011)</v>
      </c>
      <c r="V219" s="1">
        <v>961100087</v>
      </c>
      <c r="W219" s="1">
        <v>961100087</v>
      </c>
      <c r="X219" s="1" t="str">
        <f>"1396521969"</f>
        <v>1396521969</v>
      </c>
      <c r="Y219" s="1" t="str">
        <f>"96/08/09"</f>
        <v>96/08/09</v>
      </c>
      <c r="Z219" s="1" t="str">
        <f>"96-36495"</f>
        <v>96-36495</v>
      </c>
      <c r="AA219" s="1" t="str">
        <f>"شهرداريها"</f>
        <v>شهرداريها</v>
      </c>
      <c r="AB219" s="1" t="str">
        <f>"96/08/09"</f>
        <v>96/08/09</v>
      </c>
      <c r="AC219" s="1" t="str">
        <f>"لرستان"</f>
        <v>لرستان</v>
      </c>
      <c r="AD219" s="1" t="str">
        <f>"96/08/07"</f>
        <v>96/08/07</v>
      </c>
      <c r="AE219" s="1" t="str">
        <f>"اختتام"</f>
        <v>اختتام</v>
      </c>
      <c r="AF219" s="1" t="str">
        <f>""</f>
        <v/>
      </c>
      <c r="AG219" s="1" t="str">
        <f>""</f>
        <v/>
      </c>
      <c r="AH219" s="1" t="str">
        <f>""</f>
        <v/>
      </c>
      <c r="AI219" s="1" t="str">
        <f>""</f>
        <v/>
      </c>
      <c r="AJ219" s="1" t="str">
        <f>""</f>
        <v/>
      </c>
      <c r="AK219" s="1" t="str">
        <f>""</f>
        <v/>
      </c>
    </row>
    <row r="220" spans="1:37">
      <c r="A220" s="1">
        <v>15000</v>
      </c>
      <c r="B220" s="1">
        <v>966200605</v>
      </c>
      <c r="C220" s="1" t="str">
        <f>"تخليه-کهگيلويه - دهدشت-روستاي خيراباد-کارخانه آسفالت مظفر"</f>
        <v>تخليه-کهگيلويه - دهدشت-روستاي خيراباد-کارخانه آسفالت مظفر</v>
      </c>
      <c r="D220" s="1">
        <v>13350</v>
      </c>
      <c r="E220" s="1">
        <v>14760</v>
      </c>
      <c r="F220" s="1">
        <v>96</v>
      </c>
      <c r="G220" s="1">
        <v>240</v>
      </c>
      <c r="H220" s="1" t="str">
        <f>"96/12/09"</f>
        <v>96/12/09</v>
      </c>
      <c r="I220" s="1" t="str">
        <f>"كيلوگرم"</f>
        <v>كيلوگرم</v>
      </c>
      <c r="J220" s="1" t="str">
        <f>"0000000076"</f>
        <v>0000000076</v>
      </c>
      <c r="K220" s="1" t="str">
        <f>"قير 60/70 - فله"</f>
        <v>قير 60/70 - فله</v>
      </c>
      <c r="L220" s="1">
        <v>100</v>
      </c>
      <c r="M220" s="1" t="str">
        <f>"مخازن قير اصفهان"</f>
        <v>مخازن قير اصفهان</v>
      </c>
      <c r="N220" s="1">
        <v>10523</v>
      </c>
      <c r="O220" s="1">
        <v>50038664</v>
      </c>
      <c r="P220" s="1" t="str">
        <f>"  تراوش نويدياسوج"</f>
        <v xml:space="preserve">  تراوش نويدياسوج</v>
      </c>
      <c r="Q220" s="1">
        <v>62</v>
      </c>
      <c r="R220" s="1" t="str">
        <f>"فروش داخلي - سازمان بنيادمسكن انقلاب اسلامي"</f>
        <v>فروش داخلي - سازمان بنيادمسكن انقلاب اسلامي</v>
      </c>
      <c r="S220" s="1" t="str">
        <f>"قرارداد فروش"</f>
        <v>قرارداد فروش</v>
      </c>
      <c r="T220" s="1" t="str">
        <f>"ندارد"</f>
        <v>ندارد</v>
      </c>
      <c r="U220" s="1" t="str">
        <f>"غلام نجفي سيامك‌‌‌‌‌‌(1881082)"</f>
        <v>غلام نجفي سيامك‌‌‌‌‌‌(1881082)</v>
      </c>
      <c r="V220" s="1">
        <v>966200605</v>
      </c>
      <c r="W220" s="1">
        <v>966200605</v>
      </c>
      <c r="X220" s="1" t="str">
        <f>"1396551611"</f>
        <v>1396551611</v>
      </c>
      <c r="Y220" s="1" t="str">
        <f>"96/12/09"</f>
        <v>96/12/09</v>
      </c>
      <c r="Z220" s="1" t="str">
        <f>"55681/د"</f>
        <v>55681/د</v>
      </c>
      <c r="AA220" s="1" t="str">
        <f>"بنيادمسكن انقلاب اسلامي"</f>
        <v>بنيادمسكن انقلاب اسلامي</v>
      </c>
      <c r="AB220" s="1" t="str">
        <f>"96/12/08"</f>
        <v>96/12/08</v>
      </c>
      <c r="AC220" s="1" t="str">
        <f>"كهكيلويه و بوير احمد"</f>
        <v>كهكيلويه و بوير احمد</v>
      </c>
      <c r="AD220" s="1" t="str">
        <f>"96/12/09"</f>
        <v>96/12/09</v>
      </c>
      <c r="AE220" s="1" t="str">
        <f>"اختتام"</f>
        <v>اختتام</v>
      </c>
      <c r="AF220" s="1" t="str">
        <f>""</f>
        <v/>
      </c>
      <c r="AG220" s="1" t="str">
        <f>""</f>
        <v/>
      </c>
      <c r="AH220" s="1" t="str">
        <f>""</f>
        <v/>
      </c>
      <c r="AI220" s="1" t="str">
        <f>""</f>
        <v/>
      </c>
      <c r="AJ220" s="1" t="str">
        <f>""</f>
        <v/>
      </c>
      <c r="AK220" s="1" t="str">
        <f>""</f>
        <v/>
      </c>
    </row>
    <row r="221" spans="1:37">
      <c r="A221" s="1">
        <v>100000</v>
      </c>
      <c r="B221" s="1">
        <v>966200423</v>
      </c>
      <c r="C221" s="1" t="str">
        <f>"تخليه اصفهان كاشان كارخانه آسفالت شهرداري كاشان"</f>
        <v>تخليه اصفهان كاشان كارخانه آسفالت شهرداري كاشان</v>
      </c>
      <c r="D221" s="1">
        <v>12820</v>
      </c>
      <c r="E221" s="1">
        <v>99260</v>
      </c>
      <c r="F221" s="1">
        <v>96</v>
      </c>
      <c r="G221" s="1">
        <v>740</v>
      </c>
      <c r="H221" s="1" t="str">
        <f>"96/09/18"</f>
        <v>96/09/18</v>
      </c>
      <c r="I221" s="1" t="str">
        <f>"كيلوگرم"</f>
        <v>كيلوگرم</v>
      </c>
      <c r="J221" s="1" t="str">
        <f>"0000000076"</f>
        <v>0000000076</v>
      </c>
      <c r="K221" s="1" t="str">
        <f>"قير 60/70 - فله"</f>
        <v>قير 60/70 - فله</v>
      </c>
      <c r="L221" s="1">
        <v>100</v>
      </c>
      <c r="M221" s="1" t="str">
        <f>"مخازن قير اصفهان"</f>
        <v>مخازن قير اصفهان</v>
      </c>
      <c r="N221" s="1">
        <v>10536</v>
      </c>
      <c r="O221" s="1">
        <v>50037550</v>
      </c>
      <c r="P221" s="1" t="str">
        <f>"  آبجيل صنعت"</f>
        <v xml:space="preserve">  آبجيل صنعت</v>
      </c>
      <c r="Q221" s="1">
        <v>62</v>
      </c>
      <c r="R221" s="1" t="str">
        <f>"فروش داخلي - سازمان بنيادمسكن انقلاب اسلامي"</f>
        <v>فروش داخلي - سازمان بنيادمسكن انقلاب اسلامي</v>
      </c>
      <c r="S221" s="1" t="str">
        <f>"قرارداد فروش"</f>
        <v>قرارداد فروش</v>
      </c>
      <c r="T221" s="1" t="str">
        <f>"ندارد"</f>
        <v>ندارد</v>
      </c>
      <c r="U221" s="1" t="str">
        <f>"سيفي پور گودرز(1019ج89)"</f>
        <v>سيفي پور گودرز(1019ج89)</v>
      </c>
      <c r="V221" s="1">
        <v>966200423</v>
      </c>
      <c r="W221" s="1">
        <v>966200423</v>
      </c>
      <c r="X221" s="1" t="str">
        <f>"1396531057"</f>
        <v>1396531057</v>
      </c>
      <c r="Y221" s="1" t="str">
        <f>"96/09/18"</f>
        <v>96/09/18</v>
      </c>
      <c r="Z221" s="1" t="str">
        <f>"40627/د"</f>
        <v>40627/د</v>
      </c>
      <c r="AA221" s="1" t="str">
        <f>"بنيادمسكن انقلاب اسلامي"</f>
        <v>بنيادمسكن انقلاب اسلامي</v>
      </c>
      <c r="AB221" s="1" t="str">
        <f>"96/09/14"</f>
        <v>96/09/14</v>
      </c>
      <c r="AC221" s="1" t="str">
        <f>"استان اصفهان"</f>
        <v>استان اصفهان</v>
      </c>
      <c r="AD221" s="1" t="str">
        <f>"96/09/18"</f>
        <v>96/09/18</v>
      </c>
      <c r="AE221" s="1" t="str">
        <f>"اختتام"</f>
        <v>اختتام</v>
      </c>
      <c r="AF221" s="1" t="str">
        <f>""</f>
        <v/>
      </c>
      <c r="AG221" s="1" t="str">
        <f>""</f>
        <v/>
      </c>
      <c r="AH221" s="1" t="str">
        <f>""</f>
        <v/>
      </c>
      <c r="AI221" s="1" t="str">
        <f>""</f>
        <v/>
      </c>
      <c r="AJ221" s="1" t="str">
        <f>""</f>
        <v/>
      </c>
      <c r="AK221" s="1" t="str">
        <f>""</f>
        <v/>
      </c>
    </row>
    <row r="222" spans="1:37">
      <c r="A222" s="1">
        <v>68000</v>
      </c>
      <c r="B222" s="1">
        <v>966200536</v>
      </c>
      <c r="C222" s="1" t="str">
        <f>"تخليه -لرستان -پلدختر-سه راهي سراب جهانگير-كارخانه آسفالت جودكي"</f>
        <v>تخليه -لرستان -پلدختر-سه راهي سراب جهانگير-كارخانه آسفالت جودكي</v>
      </c>
      <c r="D222" s="1">
        <v>12850</v>
      </c>
      <c r="E222" s="1">
        <v>66940</v>
      </c>
      <c r="F222" s="1">
        <v>96</v>
      </c>
      <c r="G222" s="1">
        <v>1060</v>
      </c>
      <c r="H222" s="1" t="str">
        <f>"96/10/25"</f>
        <v>96/10/25</v>
      </c>
      <c r="I222" s="1" t="str">
        <f>"كيلوگرم"</f>
        <v>كيلوگرم</v>
      </c>
      <c r="J222" s="1" t="str">
        <f>"0000000076"</f>
        <v>0000000076</v>
      </c>
      <c r="K222" s="1" t="str">
        <f>"قير 60/70 - فله"</f>
        <v>قير 60/70 - فله</v>
      </c>
      <c r="L222" s="1">
        <v>100</v>
      </c>
      <c r="M222" s="1" t="str">
        <f>"مخازن قير اصفهان"</f>
        <v>مخازن قير اصفهان</v>
      </c>
      <c r="N222" s="1">
        <v>9413</v>
      </c>
      <c r="O222" s="1">
        <v>50038185</v>
      </c>
      <c r="P222" s="1" t="str">
        <f>"  صدف راه سازان پلدختر"</f>
        <v xml:space="preserve">  صدف راه سازان پلدختر</v>
      </c>
      <c r="Q222" s="1">
        <v>62</v>
      </c>
      <c r="R222" s="1" t="str">
        <f>"فروش داخلي - سازمان بنيادمسكن انقلاب اسلامي"</f>
        <v>فروش داخلي - سازمان بنيادمسكن انقلاب اسلامي</v>
      </c>
      <c r="S222" s="1" t="str">
        <f>"قرارداد فروش"</f>
        <v>قرارداد فروش</v>
      </c>
      <c r="T222" s="1" t="str">
        <f>"ندارد"</f>
        <v>ندارد</v>
      </c>
      <c r="U222" s="1" t="str">
        <f>"بستاني محسن (2882039)"</f>
        <v>بستاني محسن (2882039)</v>
      </c>
      <c r="V222" s="1">
        <v>966200536</v>
      </c>
      <c r="W222" s="1">
        <v>966200536</v>
      </c>
      <c r="X222" s="1" t="str">
        <f>"1396540147"</f>
        <v>1396540147</v>
      </c>
      <c r="Y222" s="1" t="str">
        <f>"96/10/25"</f>
        <v>96/10/25</v>
      </c>
      <c r="Z222" s="1" t="str">
        <f>"47454/د"</f>
        <v>47454/د</v>
      </c>
      <c r="AA222" s="1" t="str">
        <f>"بنيادمسكن انقلاب اسلامي"</f>
        <v>بنيادمسكن انقلاب اسلامي</v>
      </c>
      <c r="AB222" s="1" t="str">
        <f>"96/10/24"</f>
        <v>96/10/24</v>
      </c>
      <c r="AC222" s="1" t="str">
        <f>"لرستان"</f>
        <v>لرستان</v>
      </c>
      <c r="AD222" s="1" t="str">
        <f>"96/10/25"</f>
        <v>96/10/25</v>
      </c>
      <c r="AE222" s="1" t="str">
        <f>"اختتام"</f>
        <v>اختتام</v>
      </c>
      <c r="AF222" s="1" t="str">
        <f>""</f>
        <v/>
      </c>
      <c r="AG222" s="1" t="str">
        <f>""</f>
        <v/>
      </c>
      <c r="AH222" s="1" t="str">
        <f>""</f>
        <v/>
      </c>
      <c r="AI222" s="1" t="str">
        <f>""</f>
        <v/>
      </c>
      <c r="AJ222" s="1" t="str">
        <f>""</f>
        <v/>
      </c>
      <c r="AK222" s="1" t="str">
        <f>""</f>
        <v/>
      </c>
    </row>
    <row r="223" spans="1:37">
      <c r="A223" s="1">
        <v>72000</v>
      </c>
      <c r="B223" s="1">
        <v>966200664</v>
      </c>
      <c r="C223" s="1" t="str">
        <f>"تخليه-يزد-جاده کنارگذر-کيلومتر7 جاده کمربندي يزد به تفت جنب شن و ماسه و کارخانه آسفالت سازمان همياري شهرداريهاي يزد"</f>
        <v>تخليه-يزد-جاده کنارگذر-کيلومتر7 جاده کمربندي يزد به تفت جنب شن و ماسه و کارخانه آسفالت سازمان همياري شهرداريهاي يزد</v>
      </c>
      <c r="D223" s="1">
        <v>13350</v>
      </c>
      <c r="E223" s="1">
        <v>70760</v>
      </c>
      <c r="F223" s="1">
        <v>96</v>
      </c>
      <c r="G223" s="1">
        <v>1240</v>
      </c>
      <c r="H223" s="1" t="str">
        <f>"96/12/16"</f>
        <v>96/12/16</v>
      </c>
      <c r="I223" s="1" t="str">
        <f>"كيلوگرم"</f>
        <v>كيلوگرم</v>
      </c>
      <c r="J223" s="1" t="str">
        <f>"0000000076"</f>
        <v>0000000076</v>
      </c>
      <c r="K223" s="1" t="str">
        <f>"قير 60/70 - فله"</f>
        <v>قير 60/70 - فله</v>
      </c>
      <c r="L223" s="1">
        <v>100</v>
      </c>
      <c r="M223" s="1" t="str">
        <f>"مخازن قير اصفهان"</f>
        <v>مخازن قير اصفهان</v>
      </c>
      <c r="N223" s="1">
        <v>9416</v>
      </c>
      <c r="O223" s="1">
        <v>50038812</v>
      </c>
      <c r="P223" s="1" t="str">
        <f>"  راهسازي پوشش راه وحيد"</f>
        <v xml:space="preserve">  راهسازي پوشش راه وحيد</v>
      </c>
      <c r="Q223" s="1">
        <v>62</v>
      </c>
      <c r="R223" s="1" t="str">
        <f>"فروش داخلي - سازمان بنيادمسكن انقلاب اسلامي"</f>
        <v>فروش داخلي - سازمان بنيادمسكن انقلاب اسلامي</v>
      </c>
      <c r="S223" s="1" t="str">
        <f>"قرارداد فروش"</f>
        <v>قرارداد فروش</v>
      </c>
      <c r="T223" s="1" t="str">
        <f>"ندارد"</f>
        <v>ندارد</v>
      </c>
      <c r="U223" s="1" t="str">
        <f>"اسماعيلي پور امين (1013ج89)"</f>
        <v>اسماعيلي پور امين (1013ج89)</v>
      </c>
      <c r="V223" s="1">
        <v>966200664</v>
      </c>
      <c r="W223" s="1">
        <v>966200664</v>
      </c>
      <c r="X223" s="1" t="str">
        <f>"1396553438"</f>
        <v>1396553438</v>
      </c>
      <c r="Y223" s="1" t="str">
        <f>"96/12/16"</f>
        <v>96/12/16</v>
      </c>
      <c r="Z223" s="1" t="str">
        <f>"57179/د"</f>
        <v>57179/د</v>
      </c>
      <c r="AA223" s="1" t="str">
        <f>"بنيادمسكن انقلاب اسلامي"</f>
        <v>بنيادمسكن انقلاب اسلامي</v>
      </c>
      <c r="AB223" s="1" t="str">
        <f>"96/12/15"</f>
        <v>96/12/15</v>
      </c>
      <c r="AC223" s="1" t="str">
        <f>"استان يزد"</f>
        <v>استان يزد</v>
      </c>
      <c r="AD223" s="1" t="str">
        <f>"96/12/16"</f>
        <v>96/12/16</v>
      </c>
      <c r="AE223" s="1" t="str">
        <f>"اختتام"</f>
        <v>اختتام</v>
      </c>
      <c r="AF223" s="1" t="str">
        <f>""</f>
        <v/>
      </c>
      <c r="AG223" s="1" t="str">
        <f>""</f>
        <v/>
      </c>
      <c r="AH223" s="1" t="str">
        <f>""</f>
        <v/>
      </c>
      <c r="AI223" s="1" t="str">
        <f>""</f>
        <v/>
      </c>
      <c r="AJ223" s="1" t="str">
        <f>""</f>
        <v/>
      </c>
      <c r="AK223" s="1" t="str">
        <f>""</f>
        <v/>
      </c>
    </row>
    <row r="224" spans="1:37">
      <c r="A224" s="1">
        <v>15000</v>
      </c>
      <c r="B224" s="1">
        <v>961100029</v>
      </c>
      <c r="C224" s="1" t="str">
        <f>"تخليه -اصفهان جاده دولت آباد خيابان اكباتان"</f>
        <v>تخليه -اصفهان جاده دولت آباد خيابان اكباتان</v>
      </c>
      <c r="D224" s="1">
        <v>8704</v>
      </c>
      <c r="E224" s="1">
        <v>15000</v>
      </c>
      <c r="F224" s="1">
        <v>96</v>
      </c>
      <c r="G224" s="1">
        <v>0</v>
      </c>
      <c r="H224" s="1" t="str">
        <f>"96/03/29"</f>
        <v>96/03/29</v>
      </c>
      <c r="I224" s="1" t="str">
        <f>"كيلوگرم"</f>
        <v>كيلوگرم</v>
      </c>
      <c r="J224" s="1" t="str">
        <f>"0000000076"</f>
        <v>0000000076</v>
      </c>
      <c r="K224" s="1" t="str">
        <f>"قير 60/70 - فله"</f>
        <v>قير 60/70 - فله</v>
      </c>
      <c r="L224" s="1">
        <v>100</v>
      </c>
      <c r="M224" s="1" t="str">
        <f>"مخازن قير اصفهان"</f>
        <v>مخازن قير اصفهان</v>
      </c>
      <c r="N224" s="1">
        <v>7078</v>
      </c>
      <c r="O224" s="1">
        <v>50035030</v>
      </c>
      <c r="P224" s="1" t="str">
        <f>"  آينده شيمي اصفهان"</f>
        <v xml:space="preserve">  آينده شيمي اصفهان</v>
      </c>
      <c r="Q224" s="1">
        <v>11</v>
      </c>
      <c r="R224" s="1" t="str">
        <f>"فروش داخلي تهران - بورس"</f>
        <v>فروش داخلي تهران - بورس</v>
      </c>
      <c r="S224" s="1" t="str">
        <f>"قرارداد فروش"</f>
        <v>قرارداد فروش</v>
      </c>
      <c r="T224" s="1" t="str">
        <f>"ندارد"</f>
        <v>ندارد</v>
      </c>
      <c r="U224" s="1" t="str">
        <f>"تعاوني جم گستر (1001 ج 89)"</f>
        <v>تعاوني جم گستر (1001 ج 89)</v>
      </c>
      <c r="V224" s="1">
        <v>961100029</v>
      </c>
      <c r="W224" s="1">
        <v>961100029</v>
      </c>
      <c r="X224" s="1" t="str">
        <f>"1396488513"</f>
        <v>1396488513</v>
      </c>
      <c r="Y224" s="1" t="str">
        <f>"96/03/29"</f>
        <v>96/03/29</v>
      </c>
      <c r="Z224" s="1" t="str">
        <f>"96/85"</f>
        <v>96/85</v>
      </c>
      <c r="AA224" s="1" t="str">
        <f>"عايق كاران"</f>
        <v>عايق كاران</v>
      </c>
      <c r="AB224" s="1" t="str">
        <f>"96/03/25"</f>
        <v>96/03/25</v>
      </c>
      <c r="AC224" s="1" t="str">
        <f>"استان اصفهان"</f>
        <v>استان اصفهان</v>
      </c>
      <c r="AD224" s="1" t="str">
        <f>"96/03/27"</f>
        <v>96/03/27</v>
      </c>
      <c r="AE224" s="1" t="str">
        <f>"اختتام"</f>
        <v>اختتام</v>
      </c>
      <c r="AF224" s="1" t="str">
        <f>""</f>
        <v/>
      </c>
      <c r="AG224" s="1" t="str">
        <f>""</f>
        <v/>
      </c>
      <c r="AH224" s="1" t="str">
        <f>""</f>
        <v/>
      </c>
      <c r="AI224" s="1" t="str">
        <f>""</f>
        <v/>
      </c>
      <c r="AJ224" s="1" t="str">
        <f>""</f>
        <v/>
      </c>
      <c r="AK224" s="1" t="str">
        <f>""</f>
        <v/>
      </c>
    </row>
    <row r="225" spans="1:37">
      <c r="A225" s="1">
        <v>47528</v>
      </c>
      <c r="B225" s="1">
        <v>962000356</v>
      </c>
      <c r="C225" s="1" t="str">
        <f>"تخليه -چهارمحال وبختياري اردل كارخانه آسفالت شهرداري اردل"</f>
        <v>تخليه -چهارمحال وبختياري اردل كارخانه آسفالت شهرداري اردل</v>
      </c>
      <c r="D225" s="1">
        <v>12820</v>
      </c>
      <c r="E225" s="1">
        <v>47528</v>
      </c>
      <c r="F225" s="1">
        <v>96</v>
      </c>
      <c r="G225" s="1">
        <v>0</v>
      </c>
      <c r="H225" s="1" t="str">
        <f>"96/09/19"</f>
        <v>96/09/19</v>
      </c>
      <c r="I225" s="1" t="str">
        <f>"كيلوگرم"</f>
        <v>كيلوگرم</v>
      </c>
      <c r="J225" s="1" t="str">
        <f>"0000000076"</f>
        <v>0000000076</v>
      </c>
      <c r="K225" s="1" t="str">
        <f>"قير 60/70 - فله"</f>
        <v>قير 60/70 - فله</v>
      </c>
      <c r="L225" s="1">
        <v>100</v>
      </c>
      <c r="M225" s="1" t="str">
        <f>"مخازن قير اصفهان"</f>
        <v>مخازن قير اصفهان</v>
      </c>
      <c r="N225" s="1">
        <v>9739</v>
      </c>
      <c r="O225" s="1">
        <v>50037649</v>
      </c>
      <c r="P225" s="1" t="str">
        <f>"  شهرداري اردل"</f>
        <v xml:space="preserve">  شهرداري اردل</v>
      </c>
      <c r="Q225" s="1">
        <v>20</v>
      </c>
      <c r="R225" s="1" t="str">
        <f>"فروش داخلي - سازمان شهرداري ها و دهياري هاي كشور"</f>
        <v>فروش داخلي - سازمان شهرداري ها و دهياري هاي كشور</v>
      </c>
      <c r="S225" s="1" t="str">
        <f>"قرارداد فروش"</f>
        <v>قرارداد فروش</v>
      </c>
      <c r="T225" s="1" t="str">
        <f>"ندارد"</f>
        <v>ندارد</v>
      </c>
      <c r="U225" s="1" t="str">
        <f>"تعاوني جم گستر (1001 ج 89)"</f>
        <v>تعاوني جم گستر (1001 ج 89)</v>
      </c>
      <c r="V225" s="1">
        <v>962000356</v>
      </c>
      <c r="W225" s="1">
        <v>962000356</v>
      </c>
      <c r="X225" s="1" t="str">
        <f>"1396529711"</f>
        <v>1396529711</v>
      </c>
      <c r="Y225" s="1" t="str">
        <f>"96/09/19"</f>
        <v>96/09/19</v>
      </c>
      <c r="Z225" s="1" t="str">
        <f>"38468مرحله دوم"</f>
        <v>38468مرحله دوم</v>
      </c>
      <c r="AA225" s="1" t="str">
        <f>"شهرداريها"</f>
        <v>شهرداريها</v>
      </c>
      <c r="AB225" s="1" t="str">
        <f>"96/09/11"</f>
        <v>96/09/11</v>
      </c>
      <c r="AC225" s="1" t="str">
        <f>"استان چهارمحال بختياري"</f>
        <v>استان چهارمحال بختياري</v>
      </c>
      <c r="AD225" s="1" t="str">
        <f>"96/09/13"</f>
        <v>96/09/13</v>
      </c>
      <c r="AE225" s="1" t="str">
        <f>"تاييدشده"</f>
        <v>تاييدشده</v>
      </c>
      <c r="AF225" s="1" t="str">
        <f>""</f>
        <v/>
      </c>
      <c r="AG225" s="1" t="str">
        <f>""</f>
        <v/>
      </c>
      <c r="AH225" s="1" t="str">
        <f>""</f>
        <v/>
      </c>
      <c r="AI225" s="1" t="str">
        <f>""</f>
        <v/>
      </c>
      <c r="AJ225" s="1" t="str">
        <f>""</f>
        <v/>
      </c>
      <c r="AK225" s="1" t="str">
        <f>""</f>
        <v/>
      </c>
    </row>
    <row r="226" spans="1:37">
      <c r="A226" s="1">
        <v>123379</v>
      </c>
      <c r="B226" s="1">
        <v>962000148</v>
      </c>
      <c r="C226" s="1" t="str">
        <f>"تخليه خراسان جنوبي شهرستان درميان شهراسديه كارخانه شهرداري اسديه"</f>
        <v>تخليه خراسان جنوبي شهرستان درميان شهراسديه كارخانه شهرداري اسديه</v>
      </c>
      <c r="D226" s="1">
        <v>9113</v>
      </c>
      <c r="E226" s="1">
        <v>123379</v>
      </c>
      <c r="F226" s="1">
        <v>96</v>
      </c>
      <c r="G226" s="1">
        <v>0</v>
      </c>
      <c r="H226" s="1" t="str">
        <f>"96/07/03"</f>
        <v>96/07/03</v>
      </c>
      <c r="I226" s="1" t="str">
        <f>"كيلوگرم"</f>
        <v>كيلوگرم</v>
      </c>
      <c r="J226" s="1" t="str">
        <f>"0000000076"</f>
        <v>0000000076</v>
      </c>
      <c r="K226" s="1" t="str">
        <f>"قير 60/70 - فله"</f>
        <v>قير 60/70 - فله</v>
      </c>
      <c r="L226" s="1">
        <v>100</v>
      </c>
      <c r="M226" s="1" t="str">
        <f>"مخازن قير اصفهان"</f>
        <v>مخازن قير اصفهان</v>
      </c>
      <c r="N226" s="1">
        <v>10554</v>
      </c>
      <c r="O226" s="1">
        <v>50036342</v>
      </c>
      <c r="P226" s="1" t="str">
        <f>"  شهرداري گزيك"</f>
        <v xml:space="preserve">  شهرداري گزيك</v>
      </c>
      <c r="Q226" s="1">
        <v>20</v>
      </c>
      <c r="R226" s="1" t="str">
        <f>"فروش داخلي - سازمان شهرداري ها و دهياري هاي كشور"</f>
        <v>فروش داخلي - سازمان شهرداري ها و دهياري هاي كشور</v>
      </c>
      <c r="S226" s="1" t="str">
        <f>"قرارداد فروش"</f>
        <v>قرارداد فروش</v>
      </c>
      <c r="T226" s="1" t="str">
        <f>"ندارد"</f>
        <v>ندارد</v>
      </c>
      <c r="U226" s="1" t="str">
        <f>"تعاوني جم گستر (1001 ج 89)"</f>
        <v>تعاوني جم گستر (1001 ج 89)</v>
      </c>
      <c r="V226" s="1">
        <v>962000148</v>
      </c>
      <c r="W226" s="1">
        <v>962000148</v>
      </c>
      <c r="X226" s="1" t="str">
        <f>"1396514467"</f>
        <v>1396514467</v>
      </c>
      <c r="Y226" s="1" t="str">
        <f>"96/07/03"</f>
        <v>96/07/03</v>
      </c>
      <c r="Z226" s="1" t="str">
        <f>"26710مرحله اول"</f>
        <v>26710مرحله اول</v>
      </c>
      <c r="AA226" s="1" t="str">
        <f>"شهرداريها"</f>
        <v>شهرداريها</v>
      </c>
      <c r="AB226" s="1" t="str">
        <f>"96/06/29"</f>
        <v>96/06/29</v>
      </c>
      <c r="AC226" s="1" t="str">
        <f>"خراسان جنوبي"</f>
        <v>خراسان جنوبي</v>
      </c>
      <c r="AD226" s="1" t="str">
        <f>"96/07/03"</f>
        <v>96/07/03</v>
      </c>
      <c r="AE226" s="1" t="str">
        <f>"اختتام"</f>
        <v>اختتام</v>
      </c>
      <c r="AF226" s="1" t="str">
        <f>""</f>
        <v/>
      </c>
      <c r="AG226" s="1" t="str">
        <f>""</f>
        <v/>
      </c>
      <c r="AH226" s="1" t="str">
        <f>""</f>
        <v/>
      </c>
      <c r="AI226" s="1" t="str">
        <f>""</f>
        <v/>
      </c>
      <c r="AJ226" s="1" t="str">
        <f>""</f>
        <v/>
      </c>
      <c r="AK226" s="1" t="str">
        <f>""</f>
        <v/>
      </c>
    </row>
    <row r="227" spans="1:37">
      <c r="A227" s="1">
        <v>142411</v>
      </c>
      <c r="B227" s="1">
        <v>962000143</v>
      </c>
      <c r="C227" s="1" t="str">
        <f>"تخليه خراسان جنوبي شهرستان درميان 5كيلومتري اسديه به سمت طبس مسيناكارخانه آسفالت شهرداري اسديه"</f>
        <v>تخليه خراسان جنوبي شهرستان درميان 5كيلومتري اسديه به سمت طبس مسيناكارخانه آسفالت شهرداري اسديه</v>
      </c>
      <c r="D227" s="1">
        <v>9113</v>
      </c>
      <c r="E227" s="1">
        <v>142411</v>
      </c>
      <c r="F227" s="1">
        <v>96</v>
      </c>
      <c r="G227" s="1">
        <v>0</v>
      </c>
      <c r="H227" s="1" t="str">
        <f>"96/07/03"</f>
        <v>96/07/03</v>
      </c>
      <c r="I227" s="1" t="str">
        <f>"كيلوگرم"</f>
        <v>كيلوگرم</v>
      </c>
      <c r="J227" s="1" t="str">
        <f>"0000000076"</f>
        <v>0000000076</v>
      </c>
      <c r="K227" s="1" t="str">
        <f>"قير 60/70 - فله"</f>
        <v>قير 60/70 - فله</v>
      </c>
      <c r="L227" s="1">
        <v>100</v>
      </c>
      <c r="M227" s="1" t="str">
        <f>"مخازن قير اصفهان"</f>
        <v>مخازن قير اصفهان</v>
      </c>
      <c r="N227" s="1">
        <v>10555</v>
      </c>
      <c r="O227" s="1">
        <v>50036336</v>
      </c>
      <c r="P227" s="1" t="str">
        <f>"  شهرداري طبس مسينا"</f>
        <v xml:space="preserve">  شهرداري طبس مسينا</v>
      </c>
      <c r="Q227" s="1">
        <v>20</v>
      </c>
      <c r="R227" s="1" t="str">
        <f>"فروش داخلي - سازمان شهرداري ها و دهياري هاي كشور"</f>
        <v>فروش داخلي - سازمان شهرداري ها و دهياري هاي كشور</v>
      </c>
      <c r="S227" s="1" t="str">
        <f>"قرارداد فروش"</f>
        <v>قرارداد فروش</v>
      </c>
      <c r="T227" s="1" t="str">
        <f>"ندارد"</f>
        <v>ندارد</v>
      </c>
      <c r="U227" s="1" t="str">
        <f>"تعاوني جم گستر (1001 ج 89)"</f>
        <v>تعاوني جم گستر (1001 ج 89)</v>
      </c>
      <c r="V227" s="1">
        <v>962000143</v>
      </c>
      <c r="W227" s="1">
        <v>962000143</v>
      </c>
      <c r="X227" s="1" t="str">
        <f>"1396514467"</f>
        <v>1396514467</v>
      </c>
      <c r="Y227" s="1" t="str">
        <f>"96/07/03"</f>
        <v>96/07/03</v>
      </c>
      <c r="Z227" s="1" t="str">
        <f>"26721مرحله اول"</f>
        <v>26721مرحله اول</v>
      </c>
      <c r="AA227" s="1" t="str">
        <f>"شهرداريها"</f>
        <v>شهرداريها</v>
      </c>
      <c r="AB227" s="1" t="str">
        <f>"96/06/29"</f>
        <v>96/06/29</v>
      </c>
      <c r="AC227" s="1" t="str">
        <f>"خراسان جنوبي"</f>
        <v>خراسان جنوبي</v>
      </c>
      <c r="AD227" s="1" t="str">
        <f>"96/07/03"</f>
        <v>96/07/03</v>
      </c>
      <c r="AE227" s="1" t="str">
        <f>"اختتام"</f>
        <v>اختتام</v>
      </c>
      <c r="AF227" s="1" t="str">
        <f>""</f>
        <v/>
      </c>
      <c r="AG227" s="1" t="str">
        <f>""</f>
        <v/>
      </c>
      <c r="AH227" s="1" t="str">
        <f>""</f>
        <v/>
      </c>
      <c r="AI227" s="1" t="str">
        <f>""</f>
        <v/>
      </c>
      <c r="AJ227" s="1" t="str">
        <f>""</f>
        <v/>
      </c>
      <c r="AK227" s="1" t="str">
        <f>""</f>
        <v/>
      </c>
    </row>
    <row r="228" spans="1:37">
      <c r="A228" s="1">
        <v>26000</v>
      </c>
      <c r="B228" s="1">
        <v>966200609</v>
      </c>
      <c r="C228" s="1" t="str">
        <f>"تخليه - کهگيلويه-باشت-روستاي سرآبيز-کارخانه آسفالت آقاي حسيني"</f>
        <v>تخليه - کهگيلويه-باشت-روستاي سرآبيز-کارخانه آسفالت آقاي حسيني</v>
      </c>
      <c r="D228" s="1">
        <v>13350</v>
      </c>
      <c r="E228" s="1">
        <v>25700</v>
      </c>
      <c r="F228" s="1">
        <v>96</v>
      </c>
      <c r="G228" s="1">
        <v>300</v>
      </c>
      <c r="H228" s="1" t="str">
        <f>"96/12/09"</f>
        <v>96/12/09</v>
      </c>
      <c r="I228" s="1" t="str">
        <f>"كيلوگرم"</f>
        <v>كيلوگرم</v>
      </c>
      <c r="J228" s="1" t="str">
        <f>"0000000076"</f>
        <v>0000000076</v>
      </c>
      <c r="K228" s="1" t="str">
        <f>"قير 60/70 - فله"</f>
        <v>قير 60/70 - فله</v>
      </c>
      <c r="L228" s="1">
        <v>100</v>
      </c>
      <c r="M228" s="1" t="str">
        <f>"مخازن قير اصفهان"</f>
        <v>مخازن قير اصفهان</v>
      </c>
      <c r="N228" s="1">
        <v>10595</v>
      </c>
      <c r="O228" s="1">
        <v>50038668</v>
      </c>
      <c r="P228" s="1" t="str">
        <f>"  اميدنصرمهدي"</f>
        <v xml:space="preserve">  اميدنصرمهدي</v>
      </c>
      <c r="Q228" s="1">
        <v>62</v>
      </c>
      <c r="R228" s="1" t="str">
        <f>"فروش داخلي - سازمان بنيادمسكن انقلاب اسلامي"</f>
        <v>فروش داخلي - سازمان بنيادمسكن انقلاب اسلامي</v>
      </c>
      <c r="S228" s="1" t="str">
        <f>"قرارداد فروش"</f>
        <v>قرارداد فروش</v>
      </c>
      <c r="T228" s="1" t="str">
        <f>"ندارد"</f>
        <v>ندارد</v>
      </c>
      <c r="U228" s="1" t="str">
        <f>"غلام نجفي سيامك‌‌‌‌‌‌(1881082)"</f>
        <v>غلام نجفي سيامك‌‌‌‌‌‌(1881082)</v>
      </c>
      <c r="V228" s="1">
        <v>966200609</v>
      </c>
      <c r="W228" s="1">
        <v>966200609</v>
      </c>
      <c r="X228" s="1" t="str">
        <f>"1396551611"</f>
        <v>1396551611</v>
      </c>
      <c r="Y228" s="1" t="str">
        <f>"96/12/09"</f>
        <v>96/12/09</v>
      </c>
      <c r="Z228" s="1" t="str">
        <f>"55763/د"</f>
        <v>55763/د</v>
      </c>
      <c r="AA228" s="1" t="str">
        <f>"بنيادمسكن انقلاب اسلامي"</f>
        <v>بنيادمسكن انقلاب اسلامي</v>
      </c>
      <c r="AB228" s="1" t="str">
        <f>"96/12/08"</f>
        <v>96/12/08</v>
      </c>
      <c r="AC228" s="1" t="str">
        <f>"كهكيلويه و بوير احمد"</f>
        <v>كهكيلويه و بوير احمد</v>
      </c>
      <c r="AD228" s="1" t="str">
        <f>"96/12/09"</f>
        <v>96/12/09</v>
      </c>
      <c r="AE228" s="1" t="str">
        <f>"اختتام"</f>
        <v>اختتام</v>
      </c>
      <c r="AF228" s="1" t="str">
        <f>""</f>
        <v/>
      </c>
      <c r="AG228" s="1" t="str">
        <f>""</f>
        <v/>
      </c>
      <c r="AH228" s="1" t="str">
        <f>""</f>
        <v/>
      </c>
      <c r="AI228" s="1" t="str">
        <f>""</f>
        <v/>
      </c>
      <c r="AJ228" s="1" t="str">
        <f>""</f>
        <v/>
      </c>
      <c r="AK228" s="1" t="str">
        <f>""</f>
        <v/>
      </c>
    </row>
    <row r="229" spans="1:37">
      <c r="A229" s="1">
        <v>300000</v>
      </c>
      <c r="B229" s="1">
        <v>961100048</v>
      </c>
      <c r="C229" s="1" t="str">
        <f>"تخليه-كيلومتر10جاده زاهدان -خاش -كارخانه آسفالت شهرداري زاهدان"</f>
        <v>تخليه-كيلومتر10جاده زاهدان -خاش -كارخانه آسفالت شهرداري زاهدان</v>
      </c>
      <c r="D229" s="1">
        <v>8704</v>
      </c>
      <c r="E229" s="1">
        <v>294720</v>
      </c>
      <c r="F229" s="1">
        <v>96</v>
      </c>
      <c r="G229" s="1">
        <v>5280</v>
      </c>
      <c r="H229" s="1" t="str">
        <f>"96/05/22"</f>
        <v>96/05/22</v>
      </c>
      <c r="I229" s="1" t="str">
        <f>"كيلوگرم"</f>
        <v>كيلوگرم</v>
      </c>
      <c r="J229" s="1" t="str">
        <f>"0000000076"</f>
        <v>0000000076</v>
      </c>
      <c r="K229" s="1" t="str">
        <f>"قير 60/70 - فله"</f>
        <v>قير 60/70 - فله</v>
      </c>
      <c r="L229" s="1">
        <v>100</v>
      </c>
      <c r="M229" s="1" t="str">
        <f>"مخازن قير اصفهان"</f>
        <v>مخازن قير اصفهان</v>
      </c>
      <c r="N229" s="1">
        <v>9938</v>
      </c>
      <c r="O229" s="1">
        <v>50035626</v>
      </c>
      <c r="P229" s="1" t="str">
        <f>"  سازمان عمران شهرداري زاهدان"</f>
        <v xml:space="preserve">  سازمان عمران شهرداري زاهدان</v>
      </c>
      <c r="Q229" s="1">
        <v>11</v>
      </c>
      <c r="R229" s="1" t="str">
        <f>"فروش داخلي تهران - بورس"</f>
        <v>فروش داخلي تهران - بورس</v>
      </c>
      <c r="S229" s="1" t="str">
        <f>"قرارداد فروش"</f>
        <v>قرارداد فروش</v>
      </c>
      <c r="T229" s="1" t="str">
        <f>"ندارد"</f>
        <v>ندارد</v>
      </c>
      <c r="U229" s="1" t="str">
        <f>"ميرحسيني سيناترابر سيدمحمد(4854031)"</f>
        <v>ميرحسيني سيناترابر سيدمحمد(4854031)</v>
      </c>
      <c r="V229" s="1">
        <v>961100048</v>
      </c>
      <c r="W229" s="1">
        <v>961100048</v>
      </c>
      <c r="X229" s="1" t="str">
        <f>"1396504281"</f>
        <v>1396504281</v>
      </c>
      <c r="Y229" s="1" t="str">
        <f>"96/05/21"</f>
        <v>96/05/21</v>
      </c>
      <c r="Z229" s="1" t="str">
        <f>"1396-ع /س -617"</f>
        <v>1396-ع /س -617</v>
      </c>
      <c r="AA229" s="1" t="str">
        <f>"شهرداريها"</f>
        <v>شهرداريها</v>
      </c>
      <c r="AB229" s="1" t="str">
        <f>"96/05/08"</f>
        <v>96/05/08</v>
      </c>
      <c r="AC229" s="1" t="str">
        <f>"استان سيستان بلوچستان"</f>
        <v>استان سيستان بلوچستان</v>
      </c>
      <c r="AD229" s="1" t="str">
        <f>"96/05/18"</f>
        <v>96/05/18</v>
      </c>
      <c r="AE229" s="1" t="str">
        <f>"اختتام"</f>
        <v>اختتام</v>
      </c>
      <c r="AF229" s="1" t="str">
        <f>""</f>
        <v/>
      </c>
      <c r="AG229" s="1" t="str">
        <f>""</f>
        <v/>
      </c>
      <c r="AH229" s="1" t="str">
        <f>""</f>
        <v/>
      </c>
      <c r="AI229" s="1" t="str">
        <f>""</f>
        <v/>
      </c>
      <c r="AJ229" s="1" t="str">
        <f>""</f>
        <v/>
      </c>
      <c r="AK229" s="1" t="str">
        <f>""</f>
        <v/>
      </c>
    </row>
    <row r="230" spans="1:37">
      <c r="A230" s="1">
        <v>63547</v>
      </c>
      <c r="B230" s="1">
        <v>962000288</v>
      </c>
      <c r="C230" s="1" t="str">
        <f>"تخليه خراسان رضوي كيلومتر10جاده تايبادكارخانه آسفالت استحكام انديش طوس"</f>
        <v>تخليه خراسان رضوي كيلومتر10جاده تايبادكارخانه آسفالت استحكام انديش طوس</v>
      </c>
      <c r="D230" s="1">
        <v>9113</v>
      </c>
      <c r="E230" s="1">
        <v>62285</v>
      </c>
      <c r="F230" s="1">
        <v>96</v>
      </c>
      <c r="G230" s="1">
        <v>1262</v>
      </c>
      <c r="H230" s="1" t="str">
        <f>"96/09/13"</f>
        <v>96/09/13</v>
      </c>
      <c r="I230" s="1" t="str">
        <f>"كيلوگرم"</f>
        <v>كيلوگرم</v>
      </c>
      <c r="J230" s="1" t="str">
        <f>"0000000076"</f>
        <v>0000000076</v>
      </c>
      <c r="K230" s="1" t="str">
        <f>"قير 60/70 - فله"</f>
        <v>قير 60/70 - فله</v>
      </c>
      <c r="L230" s="1">
        <v>100</v>
      </c>
      <c r="M230" s="1" t="str">
        <f>"مخازن قير اصفهان"</f>
        <v>مخازن قير اصفهان</v>
      </c>
      <c r="N230" s="1">
        <v>9801</v>
      </c>
      <c r="O230" s="1">
        <v>50037488</v>
      </c>
      <c r="P230" s="1" t="str">
        <f>"  شهرداري نيل شهر"</f>
        <v xml:space="preserve">  شهرداري نيل شهر</v>
      </c>
      <c r="Q230" s="1">
        <v>20</v>
      </c>
      <c r="R230" s="1" t="str">
        <f>"فروش داخلي - سازمان شهرداري ها و دهياري هاي كشور"</f>
        <v>فروش داخلي - سازمان شهرداري ها و دهياري هاي كشور</v>
      </c>
      <c r="S230" s="1" t="str">
        <f>"قرارداد فروش"</f>
        <v>قرارداد فروش</v>
      </c>
      <c r="T230" s="1" t="str">
        <f>"ندارد"</f>
        <v>ندارد</v>
      </c>
      <c r="U230" s="1" t="str">
        <f>"تعاوني جم گستر (1001 ج 89)"</f>
        <v>تعاوني جم گستر (1001 ج 89)</v>
      </c>
      <c r="V230" s="1">
        <v>962000288</v>
      </c>
      <c r="W230" s="1">
        <v>962000288</v>
      </c>
      <c r="X230" s="1" t="str">
        <f>"1396514467"</f>
        <v>1396514467</v>
      </c>
      <c r="Y230" s="1" t="str">
        <f>"96/09/12"</f>
        <v>96/09/12</v>
      </c>
      <c r="Z230" s="1" t="str">
        <f>"37067مرحله دوم"</f>
        <v>37067مرحله دوم</v>
      </c>
      <c r="AA230" s="1" t="str">
        <f>"شهرداريها"</f>
        <v>شهرداريها</v>
      </c>
      <c r="AB230" s="1" t="str">
        <f>"96/09/04"</f>
        <v>96/09/04</v>
      </c>
      <c r="AC230" s="1" t="str">
        <f>"خراسان رضوي"</f>
        <v>خراسان رضوي</v>
      </c>
      <c r="AD230" s="1" t="str">
        <f>"96/07/03"</f>
        <v>96/07/03</v>
      </c>
      <c r="AE230" s="1" t="str">
        <f>"اختتام"</f>
        <v>اختتام</v>
      </c>
      <c r="AF230" s="1" t="str">
        <f>""</f>
        <v/>
      </c>
      <c r="AG230" s="1" t="str">
        <f>""</f>
        <v/>
      </c>
      <c r="AH230" s="1" t="str">
        <f>""</f>
        <v/>
      </c>
      <c r="AI230" s="1" t="str">
        <f>""</f>
        <v/>
      </c>
      <c r="AJ230" s="1" t="str">
        <f>""</f>
        <v/>
      </c>
      <c r="AK230" s="1" t="str">
        <f>""</f>
        <v/>
      </c>
    </row>
    <row r="231" spans="1:37">
      <c r="A231" s="1">
        <v>116000</v>
      </c>
      <c r="B231" s="1">
        <v>966200637</v>
      </c>
      <c r="C231" s="1" t="str">
        <f>"تخليه خرم آباد -كيلومتر13بعدازدانشگاه آزادمركزي ده پيرنرسيده به روستاي اسكين-شرکت پرتو صنعت نور"</f>
        <v>تخليه خرم آباد -كيلومتر13بعدازدانشگاه آزادمركزي ده پيرنرسيده به روستاي اسكين-شرکت پرتو صنعت نور</v>
      </c>
      <c r="D231" s="1">
        <v>13350</v>
      </c>
      <c r="E231" s="1">
        <v>116000</v>
      </c>
      <c r="F231" s="1">
        <v>96</v>
      </c>
      <c r="G231" s="1">
        <v>0</v>
      </c>
      <c r="H231" s="1" t="str">
        <f>"96/12/14"</f>
        <v>96/12/14</v>
      </c>
      <c r="I231" s="1" t="str">
        <f>"كيلوگرم"</f>
        <v>كيلوگرم</v>
      </c>
      <c r="J231" s="1" t="str">
        <f>"0000000076"</f>
        <v>0000000076</v>
      </c>
      <c r="K231" s="1" t="str">
        <f>"قير 60/70 - فله"</f>
        <v>قير 60/70 - فله</v>
      </c>
      <c r="L231" s="1">
        <v>100</v>
      </c>
      <c r="M231" s="1" t="str">
        <f>"مخازن قير اصفهان"</f>
        <v>مخازن قير اصفهان</v>
      </c>
      <c r="N231" s="1">
        <v>10010</v>
      </c>
      <c r="O231" s="1">
        <v>50038758</v>
      </c>
      <c r="P231" s="1" t="str">
        <f>"  پرتوصنعت نور"</f>
        <v xml:space="preserve">  پرتوصنعت نور</v>
      </c>
      <c r="Q231" s="1">
        <v>62</v>
      </c>
      <c r="R231" s="1" t="str">
        <f>"فروش داخلي - سازمان بنيادمسكن انقلاب اسلامي"</f>
        <v>فروش داخلي - سازمان بنيادمسكن انقلاب اسلامي</v>
      </c>
      <c r="S231" s="1" t="str">
        <f>"قرارداد فروش"</f>
        <v>قرارداد فروش</v>
      </c>
      <c r="T231" s="1" t="str">
        <f>"ندارد"</f>
        <v>ندارد</v>
      </c>
      <c r="U231" s="1" t="str">
        <f>"ريسماني حسن(1007ج89)"</f>
        <v>ريسماني حسن(1007ج89)</v>
      </c>
      <c r="V231" s="1">
        <v>966200637</v>
      </c>
      <c r="W231" s="1">
        <v>966200637</v>
      </c>
      <c r="X231" s="1" t="str">
        <f>"1396552261"</f>
        <v>1396552261</v>
      </c>
      <c r="Y231" s="1" t="str">
        <f>"96/12/14"</f>
        <v>96/12/14</v>
      </c>
      <c r="Z231" s="1" t="str">
        <f>"56652/د"</f>
        <v>56652/د</v>
      </c>
      <c r="AA231" s="1" t="str">
        <f>"بنيادمسكن انقلاب اسلامي"</f>
        <v>بنيادمسكن انقلاب اسلامي</v>
      </c>
      <c r="AB231" s="1" t="str">
        <f>"96/12/13"</f>
        <v>96/12/13</v>
      </c>
      <c r="AC231" s="1" t="str">
        <f>"لرستان"</f>
        <v>لرستان</v>
      </c>
      <c r="AD231" s="1" t="str">
        <f>"96/12/14"</f>
        <v>96/12/14</v>
      </c>
      <c r="AE231" s="1" t="str">
        <f>"اختتام"</f>
        <v>اختتام</v>
      </c>
      <c r="AF231" s="1" t="str">
        <f>""</f>
        <v/>
      </c>
      <c r="AG231" s="1" t="str">
        <f>""</f>
        <v/>
      </c>
      <c r="AH231" s="1" t="str">
        <f>""</f>
        <v/>
      </c>
      <c r="AI231" s="1" t="str">
        <f>""</f>
        <v/>
      </c>
      <c r="AJ231" s="1" t="str">
        <f>""</f>
        <v/>
      </c>
      <c r="AK231" s="1" t="str">
        <f>""</f>
        <v/>
      </c>
    </row>
    <row r="232" spans="1:37">
      <c r="A232" s="1">
        <v>260000</v>
      </c>
      <c r="B232" s="1">
        <v>961100120</v>
      </c>
      <c r="C232" s="1" t="str">
        <f>"تخليه- کرمان کيلومتر 22 جاده سيرجان شيراز شرکت محور گستر شرق"</f>
        <v>تخليه- کرمان کيلومتر 22 جاده سيرجان شيراز شرکت محور گستر شرق</v>
      </c>
      <c r="D232" s="1">
        <v>13200</v>
      </c>
      <c r="E232" s="1">
        <v>257060</v>
      </c>
      <c r="F232" s="1">
        <v>96</v>
      </c>
      <c r="G232" s="1">
        <v>2940</v>
      </c>
      <c r="H232" s="1" t="str">
        <f>"96/11/16"</f>
        <v>96/11/16</v>
      </c>
      <c r="I232" s="1" t="str">
        <f>"كيلوگرم"</f>
        <v>كيلوگرم</v>
      </c>
      <c r="J232" s="1" t="str">
        <f>"0000000076"</f>
        <v>0000000076</v>
      </c>
      <c r="K232" s="1" t="str">
        <f>"قير 60/70 - فله"</f>
        <v>قير 60/70 - فله</v>
      </c>
      <c r="L232" s="1">
        <v>100</v>
      </c>
      <c r="M232" s="1" t="str">
        <f>"مخازن قير اصفهان"</f>
        <v>مخازن قير اصفهان</v>
      </c>
      <c r="N232" s="1">
        <v>10161</v>
      </c>
      <c r="O232" s="1">
        <v>50038404</v>
      </c>
      <c r="P232" s="1" t="str">
        <f>"  محورگسترشرق"</f>
        <v xml:space="preserve">  محورگسترشرق</v>
      </c>
      <c r="Q232" s="1">
        <v>11</v>
      </c>
      <c r="R232" s="1" t="str">
        <f>"فروش داخلي تهران - بورس"</f>
        <v>فروش داخلي تهران - بورس</v>
      </c>
      <c r="S232" s="1" t="str">
        <f>"قرارداد فروش"</f>
        <v>قرارداد فروش</v>
      </c>
      <c r="T232" s="1" t="str">
        <f>"ندارد"</f>
        <v>ندارد</v>
      </c>
      <c r="U232" s="1" t="str">
        <f>"خضرائي فريدون(4844003)"</f>
        <v>خضرائي فريدون(4844003)</v>
      </c>
      <c r="V232" s="1">
        <v>961100120</v>
      </c>
      <c r="W232" s="1">
        <v>961100120</v>
      </c>
      <c r="X232" s="1" t="str">
        <f>"1396545119"</f>
        <v>1396545119</v>
      </c>
      <c r="Y232" s="1" t="str">
        <f>"96/11/15"</f>
        <v>96/11/15</v>
      </c>
      <c r="Z232" s="1" t="str">
        <f>"96-37140"</f>
        <v>96-37140</v>
      </c>
      <c r="AA232" s="1" t="str">
        <f>"شهرداريها"</f>
        <v>شهرداريها</v>
      </c>
      <c r="AB232" s="1" t="str">
        <f>"96/11/15"</f>
        <v>96/11/15</v>
      </c>
      <c r="AC232" s="1" t="str">
        <f>"استان كرمان"</f>
        <v>استان كرمان</v>
      </c>
      <c r="AD232" s="1" t="str">
        <f>"96/11/14"</f>
        <v>96/11/14</v>
      </c>
      <c r="AE232" s="1" t="str">
        <f>"اختتام"</f>
        <v>اختتام</v>
      </c>
      <c r="AF232" s="1" t="str">
        <f>""</f>
        <v/>
      </c>
      <c r="AG232" s="1" t="str">
        <f>""</f>
        <v/>
      </c>
      <c r="AH232" s="1" t="str">
        <f>""</f>
        <v/>
      </c>
      <c r="AI232" s="1" t="str">
        <f>""</f>
        <v/>
      </c>
      <c r="AJ232" s="1" t="str">
        <f>""</f>
        <v/>
      </c>
      <c r="AK232" s="1" t="str">
        <f>""</f>
        <v/>
      </c>
    </row>
    <row r="233" spans="1:37">
      <c r="A233" s="1">
        <v>35766</v>
      </c>
      <c r="B233" s="1">
        <v>962000402</v>
      </c>
      <c r="C233" s="1" t="str">
        <f>"تخليه -اصفهان كيلومتر5جاده كارخانه آسفالت ثمين راه صفاهان"</f>
        <v>تخليه -اصفهان كيلومتر5جاده كارخانه آسفالت ثمين راه صفاهان</v>
      </c>
      <c r="D233" s="1">
        <v>12820</v>
      </c>
      <c r="E233" s="1">
        <v>35766</v>
      </c>
      <c r="F233" s="1">
        <v>96</v>
      </c>
      <c r="G233" s="1">
        <v>0</v>
      </c>
      <c r="H233" s="1" t="str">
        <f>"96/09/20"</f>
        <v>96/09/20</v>
      </c>
      <c r="I233" s="1" t="str">
        <f>"كيلوگرم"</f>
        <v>كيلوگرم</v>
      </c>
      <c r="J233" s="1" t="str">
        <f>"0000000076"</f>
        <v>0000000076</v>
      </c>
      <c r="K233" s="1" t="str">
        <f>"قير 60/70 - فله"</f>
        <v>قير 60/70 - فله</v>
      </c>
      <c r="L233" s="1">
        <v>100</v>
      </c>
      <c r="M233" s="1" t="str">
        <f>"مخازن قير اصفهان"</f>
        <v>مخازن قير اصفهان</v>
      </c>
      <c r="N233" s="1">
        <v>10042</v>
      </c>
      <c r="O233" s="1">
        <v>50037715</v>
      </c>
      <c r="P233" s="1" t="str">
        <f>"  شهرداري حسن آباد"</f>
        <v xml:space="preserve">  شهرداري حسن آباد</v>
      </c>
      <c r="Q233" s="1">
        <v>20</v>
      </c>
      <c r="R233" s="1" t="str">
        <f>"فروش داخلي - سازمان شهرداري ها و دهياري هاي كشور"</f>
        <v>فروش داخلي - سازمان شهرداري ها و دهياري هاي كشور</v>
      </c>
      <c r="S233" s="1" t="str">
        <f>"قرارداد فروش"</f>
        <v>قرارداد فروش</v>
      </c>
      <c r="T233" s="1" t="str">
        <f>"ندارد"</f>
        <v>ندارد</v>
      </c>
      <c r="U233" s="1" t="str">
        <f>"تعاوني جم گستر (1001 ج 89)"</f>
        <v>تعاوني جم گستر (1001 ج 89)</v>
      </c>
      <c r="V233" s="1">
        <v>962000402</v>
      </c>
      <c r="W233" s="1">
        <v>962000402</v>
      </c>
      <c r="X233" s="1" t="str">
        <f>"1396529711"</f>
        <v>1396529711</v>
      </c>
      <c r="Y233" s="1" t="str">
        <f>"96/09/20"</f>
        <v>96/09/20</v>
      </c>
      <c r="Z233" s="1" t="str">
        <f>"37125مرحله دوم"</f>
        <v>37125مرحله دوم</v>
      </c>
      <c r="AA233" s="1" t="str">
        <f>"شهرداريها"</f>
        <v>شهرداريها</v>
      </c>
      <c r="AB233" s="1" t="str">
        <f>"96/09/04"</f>
        <v>96/09/04</v>
      </c>
      <c r="AC233" s="1" t="str">
        <f>"استان اصفهان"</f>
        <v>استان اصفهان</v>
      </c>
      <c r="AD233" s="1" t="str">
        <f>"96/09/13"</f>
        <v>96/09/13</v>
      </c>
      <c r="AE233" s="1" t="str">
        <f>"تاييدشده"</f>
        <v>تاييدشده</v>
      </c>
      <c r="AF233" s="1" t="str">
        <f>""</f>
        <v/>
      </c>
      <c r="AG233" s="1" t="str">
        <f>""</f>
        <v/>
      </c>
      <c r="AH233" s="1" t="str">
        <f>""</f>
        <v/>
      </c>
      <c r="AI233" s="1" t="str">
        <f>""</f>
        <v/>
      </c>
      <c r="AJ233" s="1" t="str">
        <f>""</f>
        <v/>
      </c>
      <c r="AK233" s="1" t="str">
        <f>""</f>
        <v/>
      </c>
    </row>
    <row r="234" spans="1:37">
      <c r="A234" s="1">
        <v>99879</v>
      </c>
      <c r="B234" s="1">
        <v>962000007</v>
      </c>
      <c r="C234" s="1" t="str">
        <f>"تخليه - اصفهان-کيلومتر 16 جاده نيک آباد-حسن آباد-کارخانه آسفالت شرکت گل راه نقش جهان"</f>
        <v>تخليه - اصفهان-کيلومتر 16 جاده نيک آباد-حسن آباد-کارخانه آسفالت شرکت گل راه نقش جهان</v>
      </c>
      <c r="D234" s="1">
        <v>9113</v>
      </c>
      <c r="E234" s="1">
        <v>99879</v>
      </c>
      <c r="F234" s="1">
        <v>96</v>
      </c>
      <c r="G234" s="1">
        <v>0</v>
      </c>
      <c r="H234" s="1" t="str">
        <f>"96/07/03"</f>
        <v>96/07/03</v>
      </c>
      <c r="I234" s="1" t="str">
        <f>"كيلوگرم"</f>
        <v>كيلوگرم</v>
      </c>
      <c r="J234" s="1" t="str">
        <f>"0000000076"</f>
        <v>0000000076</v>
      </c>
      <c r="K234" s="1" t="str">
        <f>"قير 60/70 - فله"</f>
        <v>قير 60/70 - فله</v>
      </c>
      <c r="L234" s="1">
        <v>100</v>
      </c>
      <c r="M234" s="1" t="str">
        <f>"مخازن قير اصفهان"</f>
        <v>مخازن قير اصفهان</v>
      </c>
      <c r="N234" s="1">
        <v>10047</v>
      </c>
      <c r="O234" s="1">
        <v>50036146</v>
      </c>
      <c r="P234" s="1" t="str">
        <f>"  شهرداري اژيه"</f>
        <v xml:space="preserve">  شهرداري اژيه</v>
      </c>
      <c r="Q234" s="1">
        <v>20</v>
      </c>
      <c r="R234" s="1" t="str">
        <f>"فروش داخلي - سازمان شهرداري ها و دهياري هاي كشور"</f>
        <v>فروش داخلي - سازمان شهرداري ها و دهياري هاي كشور</v>
      </c>
      <c r="S234" s="1" t="str">
        <f>"قرارداد فروش"</f>
        <v>قرارداد فروش</v>
      </c>
      <c r="T234" s="1" t="str">
        <f>"ندارد"</f>
        <v>ندارد</v>
      </c>
      <c r="U234" s="1" t="str">
        <f>"تعاوني جم گستر (1001 ج 89)"</f>
        <v>تعاوني جم گستر (1001 ج 89)</v>
      </c>
      <c r="V234" s="1">
        <v>962000007</v>
      </c>
      <c r="W234" s="1">
        <v>962000007</v>
      </c>
      <c r="X234" s="1" t="str">
        <f>"1396514467"</f>
        <v>1396514467</v>
      </c>
      <c r="Y234" s="1" t="str">
        <f>"96/07/03"</f>
        <v>96/07/03</v>
      </c>
      <c r="Z234" s="1" t="str">
        <f>"26873مرحله اول"</f>
        <v>26873مرحله اول</v>
      </c>
      <c r="AA234" s="1" t="str">
        <f>"شهرداريها"</f>
        <v>شهرداريها</v>
      </c>
      <c r="AB234" s="1" t="str">
        <f>"96/06/29"</f>
        <v>96/06/29</v>
      </c>
      <c r="AC234" s="1" t="str">
        <f>"استان اصفهان"</f>
        <v>استان اصفهان</v>
      </c>
      <c r="AD234" s="1" t="str">
        <f>"96/07/03"</f>
        <v>96/07/03</v>
      </c>
      <c r="AE234" s="1" t="str">
        <f>"اختتام"</f>
        <v>اختتام</v>
      </c>
      <c r="AF234" s="1" t="str">
        <f>""</f>
        <v/>
      </c>
      <c r="AG234" s="1" t="str">
        <f>""</f>
        <v/>
      </c>
      <c r="AH234" s="1" t="str">
        <f>""</f>
        <v/>
      </c>
      <c r="AI234" s="1" t="str">
        <f>""</f>
        <v/>
      </c>
      <c r="AJ234" s="1" t="str">
        <f>""</f>
        <v/>
      </c>
      <c r="AK234" s="1" t="str">
        <f>""</f>
        <v/>
      </c>
    </row>
    <row r="235" spans="1:37">
      <c r="A235" s="1">
        <v>36462</v>
      </c>
      <c r="B235" s="1">
        <v>962000406</v>
      </c>
      <c r="C235" s="1" t="str">
        <f>"تخليه -اصفهان كيلومتر125محوراصفهان نائين شركت توليدآسفالت نوژان خشت"</f>
        <v>تخليه -اصفهان كيلومتر125محوراصفهان نائين شركت توليدآسفالت نوژان خشت</v>
      </c>
      <c r="D235" s="1">
        <v>12820</v>
      </c>
      <c r="E235" s="1">
        <v>36462</v>
      </c>
      <c r="F235" s="1">
        <v>96</v>
      </c>
      <c r="G235" s="1">
        <v>0</v>
      </c>
      <c r="H235" s="1" t="str">
        <f>"96/09/20"</f>
        <v>96/09/20</v>
      </c>
      <c r="I235" s="1" t="str">
        <f>"كيلوگرم"</f>
        <v>كيلوگرم</v>
      </c>
      <c r="J235" s="1" t="str">
        <f>"0000000076"</f>
        <v>0000000076</v>
      </c>
      <c r="K235" s="1" t="str">
        <f>"قير 60/70 - فله"</f>
        <v>قير 60/70 - فله</v>
      </c>
      <c r="L235" s="1">
        <v>100</v>
      </c>
      <c r="M235" s="1" t="str">
        <f>"مخازن قير اصفهان"</f>
        <v>مخازن قير اصفهان</v>
      </c>
      <c r="N235" s="1">
        <v>10052</v>
      </c>
      <c r="O235" s="1">
        <v>50037719</v>
      </c>
      <c r="P235" s="1" t="str">
        <f>"  شهرداري كوهپايه"</f>
        <v xml:space="preserve">  شهرداري كوهپايه</v>
      </c>
      <c r="Q235" s="1">
        <v>20</v>
      </c>
      <c r="R235" s="1" t="str">
        <f>"فروش داخلي - سازمان شهرداري ها و دهياري هاي كشور"</f>
        <v>فروش داخلي - سازمان شهرداري ها و دهياري هاي كشور</v>
      </c>
      <c r="S235" s="1" t="str">
        <f>"قرارداد فروش"</f>
        <v>قرارداد فروش</v>
      </c>
      <c r="T235" s="1" t="str">
        <f>"ندارد"</f>
        <v>ندارد</v>
      </c>
      <c r="U235" s="1" t="str">
        <f>"تعاوني جم گستر (1001 ج 89)"</f>
        <v>تعاوني جم گستر (1001 ج 89)</v>
      </c>
      <c r="V235" s="1">
        <v>962000406</v>
      </c>
      <c r="W235" s="1">
        <v>962000406</v>
      </c>
      <c r="X235" s="1" t="str">
        <f>"1396529711"</f>
        <v>1396529711</v>
      </c>
      <c r="Y235" s="1" t="str">
        <f>"96/09/20"</f>
        <v>96/09/20</v>
      </c>
      <c r="Z235" s="1" t="str">
        <f>"37215مرحله دوم"</f>
        <v>37215مرحله دوم</v>
      </c>
      <c r="AA235" s="1" t="str">
        <f>"شهرداريها"</f>
        <v>شهرداريها</v>
      </c>
      <c r="AB235" s="1" t="str">
        <f>"96/09/05"</f>
        <v>96/09/05</v>
      </c>
      <c r="AC235" s="1" t="str">
        <f>"استان اصفهان"</f>
        <v>استان اصفهان</v>
      </c>
      <c r="AD235" s="1" t="str">
        <f>"96/09/13"</f>
        <v>96/09/13</v>
      </c>
      <c r="AE235" s="1" t="str">
        <f>"اختتام"</f>
        <v>اختتام</v>
      </c>
      <c r="AF235" s="1" t="str">
        <f>""</f>
        <v/>
      </c>
      <c r="AG235" s="1" t="str">
        <f>""</f>
        <v/>
      </c>
      <c r="AH235" s="1" t="str">
        <f>""</f>
        <v/>
      </c>
      <c r="AI235" s="1" t="str">
        <f>""</f>
        <v/>
      </c>
      <c r="AJ235" s="1" t="str">
        <f>""</f>
        <v/>
      </c>
      <c r="AK235" s="1" t="str">
        <f>""</f>
        <v/>
      </c>
    </row>
    <row r="236" spans="1:37">
      <c r="A236" s="1">
        <v>37301</v>
      </c>
      <c r="B236" s="1">
        <v>962000405</v>
      </c>
      <c r="C236" s="1" t="str">
        <f>"تخليه -اصفهان گردنه زينل كارخانه كاشمر"</f>
        <v>تخليه -اصفهان گردنه زينل كارخانه كاشمر</v>
      </c>
      <c r="D236" s="1">
        <v>12820</v>
      </c>
      <c r="E236" s="1">
        <v>37301</v>
      </c>
      <c r="F236" s="1">
        <v>96</v>
      </c>
      <c r="G236" s="1">
        <v>0</v>
      </c>
      <c r="H236" s="1" t="str">
        <f>"96/09/20"</f>
        <v>96/09/20</v>
      </c>
      <c r="I236" s="1" t="str">
        <f>"كيلوگرم"</f>
        <v>كيلوگرم</v>
      </c>
      <c r="J236" s="1" t="str">
        <f>"0000000076"</f>
        <v>0000000076</v>
      </c>
      <c r="K236" s="1" t="str">
        <f>"قير 60/70 - فله"</f>
        <v>قير 60/70 - فله</v>
      </c>
      <c r="L236" s="1">
        <v>100</v>
      </c>
      <c r="M236" s="1" t="str">
        <f>"مخازن قير اصفهان"</f>
        <v>مخازن قير اصفهان</v>
      </c>
      <c r="N236" s="1">
        <v>10060</v>
      </c>
      <c r="O236" s="1">
        <v>50037718</v>
      </c>
      <c r="P236" s="1" t="str">
        <f>"  شهرداري قهجاورستان"</f>
        <v xml:space="preserve">  شهرداري قهجاورستان</v>
      </c>
      <c r="Q236" s="1">
        <v>20</v>
      </c>
      <c r="R236" s="1" t="str">
        <f>"فروش داخلي - سازمان شهرداري ها و دهياري هاي كشور"</f>
        <v>فروش داخلي - سازمان شهرداري ها و دهياري هاي كشور</v>
      </c>
      <c r="S236" s="1" t="str">
        <f>"قرارداد فروش"</f>
        <v>قرارداد فروش</v>
      </c>
      <c r="T236" s="1" t="str">
        <f>"ندارد"</f>
        <v>ندارد</v>
      </c>
      <c r="U236" s="1" t="str">
        <f>"تعاوني جم گستر (1001 ج 89)"</f>
        <v>تعاوني جم گستر (1001 ج 89)</v>
      </c>
      <c r="V236" s="1">
        <v>962000405</v>
      </c>
      <c r="W236" s="1">
        <v>962000405</v>
      </c>
      <c r="X236" s="1" t="str">
        <f>"1396529711"</f>
        <v>1396529711</v>
      </c>
      <c r="Y236" s="1" t="str">
        <f>"96/09/20"</f>
        <v>96/09/20</v>
      </c>
      <c r="Z236" s="1" t="str">
        <f>"37192مرحله دوم"</f>
        <v>37192مرحله دوم</v>
      </c>
      <c r="AA236" s="1" t="str">
        <f>"شهرداريها"</f>
        <v>شهرداريها</v>
      </c>
      <c r="AB236" s="1" t="str">
        <f>"96/09/05"</f>
        <v>96/09/05</v>
      </c>
      <c r="AC236" s="1" t="str">
        <f>"استان اصفهان"</f>
        <v>استان اصفهان</v>
      </c>
      <c r="AD236" s="1" t="str">
        <f>"96/09/13"</f>
        <v>96/09/13</v>
      </c>
      <c r="AE236" s="1" t="str">
        <f>"تاييدشده"</f>
        <v>تاييدشده</v>
      </c>
      <c r="AF236" s="1" t="str">
        <f>""</f>
        <v/>
      </c>
      <c r="AG236" s="1" t="str">
        <f>""</f>
        <v/>
      </c>
      <c r="AH236" s="1" t="str">
        <f>""</f>
        <v/>
      </c>
      <c r="AI236" s="1" t="str">
        <f>""</f>
        <v/>
      </c>
      <c r="AJ236" s="1" t="str">
        <f>""</f>
        <v/>
      </c>
      <c r="AK236" s="1" t="str">
        <f>""</f>
        <v/>
      </c>
    </row>
    <row r="237" spans="1:37">
      <c r="A237" s="1">
        <v>443000</v>
      </c>
      <c r="B237" s="1">
        <v>966200650</v>
      </c>
      <c r="C237" s="1" t="str">
        <f>"تخليه -لرستان -خرم آبادكيلومتر5جاده چغلوندي -بخش مركزي ده پيرروستاي اسكين -شرکت پرتو صنعت نور"</f>
        <v>تخليه -لرستان -خرم آبادكيلومتر5جاده چغلوندي -بخش مركزي ده پيرروستاي اسكين -شرکت پرتو صنعت نور</v>
      </c>
      <c r="D237" s="1">
        <v>13350</v>
      </c>
      <c r="E237" s="1">
        <v>442860</v>
      </c>
      <c r="F237" s="1">
        <v>96</v>
      </c>
      <c r="G237" s="1">
        <v>140</v>
      </c>
      <c r="H237" s="1" t="str">
        <f>"96/12/14"</f>
        <v>96/12/14</v>
      </c>
      <c r="I237" s="1" t="str">
        <f>"كيلوگرم"</f>
        <v>كيلوگرم</v>
      </c>
      <c r="J237" s="1" t="str">
        <f>"0000000076"</f>
        <v>0000000076</v>
      </c>
      <c r="K237" s="1" t="str">
        <f>"قير 60/70 - فله"</f>
        <v>قير 60/70 - فله</v>
      </c>
      <c r="L237" s="1">
        <v>100</v>
      </c>
      <c r="M237" s="1" t="str">
        <f>"مخازن قير اصفهان"</f>
        <v>مخازن قير اصفهان</v>
      </c>
      <c r="N237" s="1">
        <v>9488</v>
      </c>
      <c r="O237" s="1">
        <v>50038774</v>
      </c>
      <c r="P237" s="1" t="str">
        <f>"  البرز بنيان دالاهو"</f>
        <v xml:space="preserve">  البرز بنيان دالاهو</v>
      </c>
      <c r="Q237" s="1">
        <v>62</v>
      </c>
      <c r="R237" s="1" t="str">
        <f>"فروش داخلي - سازمان بنيادمسكن انقلاب اسلامي"</f>
        <v>فروش داخلي - سازمان بنيادمسكن انقلاب اسلامي</v>
      </c>
      <c r="S237" s="1" t="str">
        <f>"قرارداد فروش"</f>
        <v>قرارداد فروش</v>
      </c>
      <c r="T237" s="1" t="str">
        <f>"ندارد"</f>
        <v>ندارد</v>
      </c>
      <c r="U237" s="1" t="str">
        <f>"ريسماني حسن(1007ج89)"</f>
        <v>ريسماني حسن(1007ج89)</v>
      </c>
      <c r="V237" s="1">
        <v>966200650</v>
      </c>
      <c r="W237" s="1">
        <v>966200650</v>
      </c>
      <c r="X237" s="1" t="str">
        <f>"1396552261"</f>
        <v>1396552261</v>
      </c>
      <c r="Y237" s="1" t="str">
        <f>"96/12/14"</f>
        <v>96/12/14</v>
      </c>
      <c r="Z237" s="1" t="str">
        <f>"56653/د"</f>
        <v>56653/د</v>
      </c>
      <c r="AA237" s="1" t="str">
        <f>"بنيادمسكن انقلاب اسلامي"</f>
        <v>بنيادمسكن انقلاب اسلامي</v>
      </c>
      <c r="AB237" s="1" t="str">
        <f>"96/12/13"</f>
        <v>96/12/13</v>
      </c>
      <c r="AC237" s="1" t="str">
        <f>"لرستان"</f>
        <v>لرستان</v>
      </c>
      <c r="AD237" s="1" t="str">
        <f>"96/12/14"</f>
        <v>96/12/14</v>
      </c>
      <c r="AE237" s="1" t="str">
        <f>"اختتام"</f>
        <v>اختتام</v>
      </c>
      <c r="AF237" s="1" t="str">
        <f>""</f>
        <v/>
      </c>
      <c r="AG237" s="1" t="str">
        <f>""</f>
        <v/>
      </c>
      <c r="AH237" s="1" t="str">
        <f>""</f>
        <v/>
      </c>
      <c r="AI237" s="1" t="str">
        <f>""</f>
        <v/>
      </c>
      <c r="AJ237" s="1" t="str">
        <f>""</f>
        <v/>
      </c>
      <c r="AK237" s="1" t="str">
        <f>""</f>
        <v/>
      </c>
    </row>
    <row r="238" spans="1:37">
      <c r="A238" s="1">
        <v>20000</v>
      </c>
      <c r="B238" s="1">
        <v>966200729</v>
      </c>
      <c r="C238" s="1" t="str">
        <f>"تخليه - کهگيلويه-باشت-روستاي سرآبيز-کارخانه آسفالت آقاي حسيني"</f>
        <v>تخليه - کهگيلويه-باشت-روستاي سرآبيز-کارخانه آسفالت آقاي حسيني</v>
      </c>
      <c r="D238" s="1">
        <v>13350</v>
      </c>
      <c r="E238" s="1">
        <v>18800</v>
      </c>
      <c r="F238" s="1">
        <v>96</v>
      </c>
      <c r="G238" s="1">
        <v>1200</v>
      </c>
      <c r="H238" s="1" t="str">
        <f>"96/12/26"</f>
        <v>96/12/26</v>
      </c>
      <c r="I238" s="1" t="str">
        <f>"كيلوگرم"</f>
        <v>كيلوگرم</v>
      </c>
      <c r="J238" s="1" t="str">
        <f>"0000000076"</f>
        <v>0000000076</v>
      </c>
      <c r="K238" s="1" t="str">
        <f>"قير 60/70 - فله"</f>
        <v>قير 60/70 - فله</v>
      </c>
      <c r="L238" s="1">
        <v>100</v>
      </c>
      <c r="M238" s="1" t="str">
        <f>"مخازن قير اصفهان"</f>
        <v>مخازن قير اصفهان</v>
      </c>
      <c r="N238" s="1">
        <v>10595</v>
      </c>
      <c r="O238" s="1">
        <v>50039090</v>
      </c>
      <c r="P238" s="1" t="str">
        <f>"  اميدنصرمهدي"</f>
        <v xml:space="preserve">  اميدنصرمهدي</v>
      </c>
      <c r="Q238" s="1">
        <v>62</v>
      </c>
      <c r="R238" s="1" t="str">
        <f>"فروش داخلي - سازمان بنيادمسكن انقلاب اسلامي"</f>
        <v>فروش داخلي - سازمان بنيادمسكن انقلاب اسلامي</v>
      </c>
      <c r="S238" s="1" t="str">
        <f>"قرارداد فروش"</f>
        <v>قرارداد فروش</v>
      </c>
      <c r="T238" s="1" t="str">
        <f>"ندارد"</f>
        <v>ندارد</v>
      </c>
      <c r="U238" s="1" t="str">
        <f>"غلام نجفي سيامك‌‌‌‌‌‌(1881082)"</f>
        <v>غلام نجفي سيامك‌‌‌‌‌‌(1881082)</v>
      </c>
      <c r="V238" s="1">
        <v>966200729</v>
      </c>
      <c r="W238" s="1">
        <v>966200729</v>
      </c>
      <c r="X238" s="1" t="str">
        <f>"1396555392"</f>
        <v>1396555392</v>
      </c>
      <c r="Y238" s="1" t="str">
        <f>"96/12/26"</f>
        <v>96/12/26</v>
      </c>
      <c r="Z238" s="1" t="str">
        <f>"59413/د"</f>
        <v>59413/د</v>
      </c>
      <c r="AA238" s="1" t="str">
        <f>"بنيادمسكن انقلاب اسلامي"</f>
        <v>بنيادمسكن انقلاب اسلامي</v>
      </c>
      <c r="AB238" s="1" t="str">
        <f>"96/12/23"</f>
        <v>96/12/23</v>
      </c>
      <c r="AC238" s="1" t="str">
        <f>"كهكيلويه و بوير احمد"</f>
        <v>كهكيلويه و بوير احمد</v>
      </c>
      <c r="AD238" s="1" t="str">
        <f>"96/12/26"</f>
        <v>96/12/26</v>
      </c>
      <c r="AE238" s="1" t="str">
        <f>"اختتام"</f>
        <v>اختتام</v>
      </c>
      <c r="AF238" s="1" t="str">
        <f>""</f>
        <v/>
      </c>
      <c r="AG238" s="1" t="str">
        <f>""</f>
        <v/>
      </c>
      <c r="AH238" s="1" t="str">
        <f>""</f>
        <v/>
      </c>
      <c r="AI238" s="1" t="str">
        <f>""</f>
        <v/>
      </c>
      <c r="AJ238" s="1" t="str">
        <f>""</f>
        <v/>
      </c>
      <c r="AK238" s="1" t="str">
        <f>""</f>
        <v/>
      </c>
    </row>
    <row r="239" spans="1:37">
      <c r="A239" s="1">
        <v>70000</v>
      </c>
      <c r="B239" s="1">
        <v>966200497</v>
      </c>
      <c r="C239" s="1" t="str">
        <f>"تخليه - مازندران-کيلومتر 9 جاده خطير کوه کارخانه مفيد تراز پي"</f>
        <v>تخليه - مازندران-کيلومتر 9 جاده خطير کوه کارخانه مفيد تراز پي</v>
      </c>
      <c r="D239" s="1">
        <v>12850</v>
      </c>
      <c r="E239" s="1">
        <v>69400</v>
      </c>
      <c r="F239" s="1">
        <v>96</v>
      </c>
      <c r="G239" s="1">
        <v>600</v>
      </c>
      <c r="H239" s="1" t="str">
        <f>"96/10/10"</f>
        <v>96/10/10</v>
      </c>
      <c r="I239" s="1" t="str">
        <f>"كيلوگرم"</f>
        <v>كيلوگرم</v>
      </c>
      <c r="J239" s="1" t="str">
        <f>"0000000076"</f>
        <v>0000000076</v>
      </c>
      <c r="K239" s="1" t="str">
        <f>"قير 60/70 - فله"</f>
        <v>قير 60/70 - فله</v>
      </c>
      <c r="L239" s="1">
        <v>100</v>
      </c>
      <c r="M239" s="1" t="str">
        <f>"مخازن قير اصفهان"</f>
        <v>مخازن قير اصفهان</v>
      </c>
      <c r="N239" s="1">
        <v>10641</v>
      </c>
      <c r="O239" s="1">
        <v>50038012</v>
      </c>
      <c r="P239" s="1" t="str">
        <f>"  مهندسي مفيدترازپي"</f>
        <v xml:space="preserve">  مهندسي مفيدترازپي</v>
      </c>
      <c r="Q239" s="1">
        <v>62</v>
      </c>
      <c r="R239" s="1" t="str">
        <f>"فروش داخلي - سازمان بنيادمسكن انقلاب اسلامي"</f>
        <v>فروش داخلي - سازمان بنيادمسكن انقلاب اسلامي</v>
      </c>
      <c r="S239" s="1" t="str">
        <f>"قرارداد فروش"</f>
        <v>قرارداد فروش</v>
      </c>
      <c r="T239" s="1" t="str">
        <f>"ندارد"</f>
        <v>ندارد</v>
      </c>
      <c r="U239" s="1" t="str">
        <f>"شيشه بر كريم(1841016)"</f>
        <v>شيشه بر كريم(1841016)</v>
      </c>
      <c r="V239" s="1">
        <v>966200497</v>
      </c>
      <c r="W239" s="1">
        <v>966200497</v>
      </c>
      <c r="X239" s="1" t="str">
        <f>"1396536279"</f>
        <v>1396536279</v>
      </c>
      <c r="Y239" s="1" t="str">
        <f>"96/10/10"</f>
        <v>96/10/10</v>
      </c>
      <c r="Z239" s="1" t="str">
        <f>"44574/د"</f>
        <v>44574/د</v>
      </c>
      <c r="AA239" s="1" t="str">
        <f>"بنيادمسكن انقلاب اسلامي"</f>
        <v>بنيادمسكن انقلاب اسلامي</v>
      </c>
      <c r="AB239" s="1" t="str">
        <f>"96/10/09"</f>
        <v>96/10/09</v>
      </c>
      <c r="AC239" s="1" t="str">
        <f>"استان مازندران"</f>
        <v>استان مازندران</v>
      </c>
      <c r="AD239" s="1" t="str">
        <f>"96/10/10"</f>
        <v>96/10/10</v>
      </c>
      <c r="AE239" s="1" t="str">
        <f>"اختتام"</f>
        <v>اختتام</v>
      </c>
      <c r="AF239" s="1" t="str">
        <f>""</f>
        <v/>
      </c>
      <c r="AG239" s="1" t="str">
        <f>""</f>
        <v/>
      </c>
      <c r="AH239" s="1" t="str">
        <f>""</f>
        <v/>
      </c>
      <c r="AI239" s="1" t="str">
        <f>""</f>
        <v/>
      </c>
      <c r="AJ239" s="1" t="str">
        <f>""</f>
        <v/>
      </c>
      <c r="AK239" s="1" t="str">
        <f>""</f>
        <v/>
      </c>
    </row>
    <row r="240" spans="1:37">
      <c r="A240" s="1">
        <v>38211</v>
      </c>
      <c r="B240" s="1">
        <v>962000443</v>
      </c>
      <c r="C240" s="1" t="str">
        <f>"تخليه - اصفهان -کيلومتر 12 شهرضا-کارخانه آسفالت گلابي"</f>
        <v>تخليه - اصفهان -کيلومتر 12 شهرضا-کارخانه آسفالت گلابي</v>
      </c>
      <c r="D240" s="1">
        <v>12820</v>
      </c>
      <c r="E240" s="1">
        <v>38211</v>
      </c>
      <c r="F240" s="1">
        <v>96</v>
      </c>
      <c r="G240" s="1">
        <v>0</v>
      </c>
      <c r="H240" s="1" t="str">
        <f>"96/09/20"</f>
        <v>96/09/20</v>
      </c>
      <c r="I240" s="1" t="str">
        <f>"كيلوگرم"</f>
        <v>كيلوگرم</v>
      </c>
      <c r="J240" s="1" t="str">
        <f>"0000000076"</f>
        <v>0000000076</v>
      </c>
      <c r="K240" s="1" t="str">
        <f>"قير 60/70 - فله"</f>
        <v>قير 60/70 - فله</v>
      </c>
      <c r="L240" s="1">
        <v>100</v>
      </c>
      <c r="M240" s="1" t="str">
        <f>"مخازن قير اصفهان"</f>
        <v>مخازن قير اصفهان</v>
      </c>
      <c r="N240" s="1">
        <v>10651</v>
      </c>
      <c r="O240" s="1">
        <v>50037765</v>
      </c>
      <c r="P240" s="1" t="str">
        <f>"  شهرداري منظريه"</f>
        <v xml:space="preserve">  شهرداري منظريه</v>
      </c>
      <c r="Q240" s="1">
        <v>20</v>
      </c>
      <c r="R240" s="1" t="str">
        <f>"فروش داخلي - سازمان شهرداري ها و دهياري هاي كشور"</f>
        <v>فروش داخلي - سازمان شهرداري ها و دهياري هاي كشور</v>
      </c>
      <c r="S240" s="1" t="str">
        <f>"قرارداد فروش"</f>
        <v>قرارداد فروش</v>
      </c>
      <c r="T240" s="1" t="str">
        <f>"ندارد"</f>
        <v>ندارد</v>
      </c>
      <c r="U240" s="1" t="str">
        <f>"تعاوني جم گستر (1001 ج 89)"</f>
        <v>تعاوني جم گستر (1001 ج 89)</v>
      </c>
      <c r="V240" s="1">
        <v>962000443</v>
      </c>
      <c r="W240" s="1">
        <v>962000443</v>
      </c>
      <c r="X240" s="1" t="str">
        <f>"1396529711"</f>
        <v>1396529711</v>
      </c>
      <c r="Y240" s="1" t="str">
        <f>"96/09/20"</f>
        <v>96/09/20</v>
      </c>
      <c r="Z240" s="1" t="str">
        <f>"37269مرحله دوم"</f>
        <v>37269مرحله دوم</v>
      </c>
      <c r="AA240" s="1" t="str">
        <f>"شهرداريها"</f>
        <v>شهرداريها</v>
      </c>
      <c r="AB240" s="1" t="str">
        <f>"96/09/05"</f>
        <v>96/09/05</v>
      </c>
      <c r="AC240" s="1" t="str">
        <f>"استان اصفهان"</f>
        <v>استان اصفهان</v>
      </c>
      <c r="AD240" s="1" t="str">
        <f>"96/09/13"</f>
        <v>96/09/13</v>
      </c>
      <c r="AE240" s="1" t="str">
        <f>"اختتام"</f>
        <v>اختتام</v>
      </c>
      <c r="AF240" s="1" t="str">
        <f>""</f>
        <v/>
      </c>
      <c r="AG240" s="1" t="str">
        <f>""</f>
        <v/>
      </c>
      <c r="AH240" s="1" t="str">
        <f>""</f>
        <v/>
      </c>
      <c r="AI240" s="1" t="str">
        <f>""</f>
        <v/>
      </c>
      <c r="AJ240" s="1" t="str">
        <f>""</f>
        <v/>
      </c>
      <c r="AK240" s="1" t="str">
        <f>""</f>
        <v/>
      </c>
    </row>
    <row r="241" spans="1:37">
      <c r="A241" s="1">
        <v>107361</v>
      </c>
      <c r="B241" s="1">
        <v>962000024</v>
      </c>
      <c r="C241" s="1" t="str">
        <f>"تخليه اصفهان نجف آباداتوبان شهيدكاظمي تنگ جوزدان كارخانه آسفالت بنيادمسكن انقلاب اسلامي نجف آباد"</f>
        <v>تخليه اصفهان نجف آباداتوبان شهيدكاظمي تنگ جوزدان كارخانه آسفالت بنيادمسكن انقلاب اسلامي نجف آباد</v>
      </c>
      <c r="D241" s="1">
        <v>9113</v>
      </c>
      <c r="E241" s="1">
        <v>107361</v>
      </c>
      <c r="F241" s="1">
        <v>96</v>
      </c>
      <c r="G241" s="1">
        <v>0</v>
      </c>
      <c r="H241" s="1" t="str">
        <f>"96/07/03"</f>
        <v>96/07/03</v>
      </c>
      <c r="I241" s="1" t="str">
        <f>"كيلوگرم"</f>
        <v>كيلوگرم</v>
      </c>
      <c r="J241" s="1" t="str">
        <f>"0000000076"</f>
        <v>0000000076</v>
      </c>
      <c r="K241" s="1" t="str">
        <f>"قير 60/70 - فله"</f>
        <v>قير 60/70 - فله</v>
      </c>
      <c r="L241" s="1">
        <v>100</v>
      </c>
      <c r="M241" s="1" t="str">
        <f>"مخازن قير اصفهان"</f>
        <v>مخازن قير اصفهان</v>
      </c>
      <c r="N241" s="1">
        <v>10654</v>
      </c>
      <c r="O241" s="1">
        <v>50036165</v>
      </c>
      <c r="P241" s="1" t="str">
        <f>"  شهرداري جوزدان"</f>
        <v xml:space="preserve">  شهرداري جوزدان</v>
      </c>
      <c r="Q241" s="1">
        <v>20</v>
      </c>
      <c r="R241" s="1" t="str">
        <f>"فروش داخلي - سازمان شهرداري ها و دهياري هاي كشور"</f>
        <v>فروش داخلي - سازمان شهرداري ها و دهياري هاي كشور</v>
      </c>
      <c r="S241" s="1" t="str">
        <f>"قرارداد فروش"</f>
        <v>قرارداد فروش</v>
      </c>
      <c r="T241" s="1" t="str">
        <f>"ندارد"</f>
        <v>ندارد</v>
      </c>
      <c r="U241" s="1" t="str">
        <f>"تعاوني جم گستر (1001 ج 89)"</f>
        <v>تعاوني جم گستر (1001 ج 89)</v>
      </c>
      <c r="V241" s="1">
        <v>962000024</v>
      </c>
      <c r="W241" s="1">
        <v>962000024</v>
      </c>
      <c r="X241" s="1" t="str">
        <f>"1396514467"</f>
        <v>1396514467</v>
      </c>
      <c r="Y241" s="1" t="str">
        <f>"96/07/03"</f>
        <v>96/07/03</v>
      </c>
      <c r="Z241" s="1" t="str">
        <f>"26866مرحله اول"</f>
        <v>26866مرحله اول</v>
      </c>
      <c r="AA241" s="1" t="str">
        <f>"شهرداريها"</f>
        <v>شهرداريها</v>
      </c>
      <c r="AB241" s="1" t="str">
        <f>"96/06/29"</f>
        <v>96/06/29</v>
      </c>
      <c r="AC241" s="1" t="str">
        <f>"استان اصفهان"</f>
        <v>استان اصفهان</v>
      </c>
      <c r="AD241" s="1" t="str">
        <f>"96/07/03"</f>
        <v>96/07/03</v>
      </c>
      <c r="AE241" s="1" t="str">
        <f>"اختتام"</f>
        <v>اختتام</v>
      </c>
      <c r="AF241" s="1" t="str">
        <f>""</f>
        <v/>
      </c>
      <c r="AG241" s="1" t="str">
        <f>""</f>
        <v/>
      </c>
      <c r="AH241" s="1" t="str">
        <f>""</f>
        <v/>
      </c>
      <c r="AI241" s="1" t="str">
        <f>""</f>
        <v/>
      </c>
      <c r="AJ241" s="1" t="str">
        <f>""</f>
        <v/>
      </c>
      <c r="AK241" s="1" t="str">
        <f>""</f>
        <v/>
      </c>
    </row>
    <row r="242" spans="1:37">
      <c r="A242" s="1">
        <v>114592</v>
      </c>
      <c r="B242" s="1">
        <v>962000095</v>
      </c>
      <c r="C242" s="1" t="str">
        <f>"تخليه اصفهان جاده سيمان سپاهان شهرك صنعتي اشترجان شركت ماژين سازه چكاد"</f>
        <v>تخليه اصفهان جاده سيمان سپاهان شهرك صنعتي اشترجان شركت ماژين سازه چكاد</v>
      </c>
      <c r="D242" s="1">
        <v>9113</v>
      </c>
      <c r="E242" s="1">
        <v>114592</v>
      </c>
      <c r="F242" s="1">
        <v>96</v>
      </c>
      <c r="G242" s="1">
        <v>0</v>
      </c>
      <c r="H242" s="1" t="str">
        <f>"96/07/03"</f>
        <v>96/07/03</v>
      </c>
      <c r="I242" s="1" t="str">
        <f>"كيلوگرم"</f>
        <v>كيلوگرم</v>
      </c>
      <c r="J242" s="1" t="str">
        <f>"0000000076"</f>
        <v>0000000076</v>
      </c>
      <c r="K242" s="1" t="str">
        <f>"قير 60/70 - فله"</f>
        <v>قير 60/70 - فله</v>
      </c>
      <c r="L242" s="1">
        <v>100</v>
      </c>
      <c r="M242" s="1" t="str">
        <f>"مخازن قير اصفهان"</f>
        <v>مخازن قير اصفهان</v>
      </c>
      <c r="N242" s="1">
        <v>10658</v>
      </c>
      <c r="O242" s="1">
        <v>50036249</v>
      </c>
      <c r="P242" s="1" t="str">
        <f>"  شهرداري ورنامخواست"</f>
        <v xml:space="preserve">  شهرداري ورنامخواست</v>
      </c>
      <c r="Q242" s="1">
        <v>20</v>
      </c>
      <c r="R242" s="1" t="str">
        <f>"فروش داخلي - سازمان شهرداري ها و دهياري هاي كشور"</f>
        <v>فروش داخلي - سازمان شهرداري ها و دهياري هاي كشور</v>
      </c>
      <c r="S242" s="1" t="str">
        <f>"قرارداد فروش"</f>
        <v>قرارداد فروش</v>
      </c>
      <c r="T242" s="1" t="str">
        <f>"ندارد"</f>
        <v>ندارد</v>
      </c>
      <c r="U242" s="1" t="str">
        <f>"تعاوني جم گستر (1001 ج 89)"</f>
        <v>تعاوني جم گستر (1001 ج 89)</v>
      </c>
      <c r="V242" s="1">
        <v>962000095</v>
      </c>
      <c r="W242" s="1">
        <v>962000095</v>
      </c>
      <c r="X242" s="1" t="str">
        <f>"1396514467"</f>
        <v>1396514467</v>
      </c>
      <c r="Y242" s="1" t="str">
        <f>"96/07/03"</f>
        <v>96/07/03</v>
      </c>
      <c r="Z242" s="1" t="str">
        <f>"26668مرحله اول"</f>
        <v>26668مرحله اول</v>
      </c>
      <c r="AA242" s="1" t="str">
        <f>"شهرداريها"</f>
        <v>شهرداريها</v>
      </c>
      <c r="AB242" s="1" t="str">
        <f>"96/06/29"</f>
        <v>96/06/29</v>
      </c>
      <c r="AC242" s="1" t="str">
        <f>"استان اصفهان"</f>
        <v>استان اصفهان</v>
      </c>
      <c r="AD242" s="1" t="str">
        <f>"96/07/03"</f>
        <v>96/07/03</v>
      </c>
      <c r="AE242" s="1" t="str">
        <f>"تاييدشده"</f>
        <v>تاييدشده</v>
      </c>
      <c r="AF242" s="1" t="str">
        <f>""</f>
        <v/>
      </c>
      <c r="AG242" s="1" t="str">
        <f>""</f>
        <v/>
      </c>
      <c r="AH242" s="1" t="str">
        <f>""</f>
        <v/>
      </c>
      <c r="AI242" s="1" t="str">
        <f>""</f>
        <v/>
      </c>
      <c r="AJ242" s="1" t="str">
        <f>""</f>
        <v/>
      </c>
      <c r="AK242" s="1" t="str">
        <f>""</f>
        <v/>
      </c>
    </row>
    <row r="243" spans="1:37">
      <c r="A243" s="1">
        <v>35035</v>
      </c>
      <c r="B243" s="1">
        <v>962000440</v>
      </c>
      <c r="C243" s="1" t="str">
        <f>"اتوبان اصفهان تهران 5کيلومتري جاده ونداد کارخانه شرکت خاکپي"</f>
        <v>اتوبان اصفهان تهران 5کيلومتري جاده ونداد کارخانه شرکت خاکپي</v>
      </c>
      <c r="D243" s="1">
        <v>12820</v>
      </c>
      <c r="E243" s="1">
        <v>35035</v>
      </c>
      <c r="F243" s="1">
        <v>96</v>
      </c>
      <c r="G243" s="1">
        <v>0</v>
      </c>
      <c r="H243" s="1" t="str">
        <f>"96/09/20"</f>
        <v>96/09/20</v>
      </c>
      <c r="I243" s="1" t="str">
        <f>"كيلوگرم"</f>
        <v>كيلوگرم</v>
      </c>
      <c r="J243" s="1" t="str">
        <f>"0000000076"</f>
        <v>0000000076</v>
      </c>
      <c r="K243" s="1" t="str">
        <f>"قير 60/70 - فله"</f>
        <v>قير 60/70 - فله</v>
      </c>
      <c r="L243" s="1">
        <v>100</v>
      </c>
      <c r="M243" s="1" t="str">
        <f>"مخازن قير اصفهان"</f>
        <v>مخازن قير اصفهان</v>
      </c>
      <c r="N243" s="1">
        <v>10663</v>
      </c>
      <c r="O243" s="1">
        <v>50037762</v>
      </c>
      <c r="P243" s="1" t="str">
        <f>"  شهرداري لايبيد"</f>
        <v xml:space="preserve">  شهرداري لايبيد</v>
      </c>
      <c r="Q243" s="1">
        <v>20</v>
      </c>
      <c r="R243" s="1" t="str">
        <f>"فروش داخلي - سازمان شهرداري ها و دهياري هاي كشور"</f>
        <v>فروش داخلي - سازمان شهرداري ها و دهياري هاي كشور</v>
      </c>
      <c r="S243" s="1" t="str">
        <f>"قرارداد فروش"</f>
        <v>قرارداد فروش</v>
      </c>
      <c r="T243" s="1" t="str">
        <f>"ندارد"</f>
        <v>ندارد</v>
      </c>
      <c r="U243" s="1" t="str">
        <f>"تعاوني جم گستر (1001 ج 89)"</f>
        <v>تعاوني جم گستر (1001 ج 89)</v>
      </c>
      <c r="V243" s="1">
        <v>962000440</v>
      </c>
      <c r="W243" s="1">
        <v>962000440</v>
      </c>
      <c r="X243" s="1" t="str">
        <f>"1396529711"</f>
        <v>1396529711</v>
      </c>
      <c r="Y243" s="1" t="str">
        <f>"96/09/20"</f>
        <v>96/09/20</v>
      </c>
      <c r="Z243" s="1" t="str">
        <f>"37232مرحله دوم"</f>
        <v>37232مرحله دوم</v>
      </c>
      <c r="AA243" s="1" t="str">
        <f>"شهرداريها"</f>
        <v>شهرداريها</v>
      </c>
      <c r="AB243" s="1" t="str">
        <f>"96/09/05"</f>
        <v>96/09/05</v>
      </c>
      <c r="AC243" s="1" t="str">
        <f>"استان اصفهان"</f>
        <v>استان اصفهان</v>
      </c>
      <c r="AD243" s="1" t="str">
        <f>"96/09/13"</f>
        <v>96/09/13</v>
      </c>
      <c r="AE243" s="1" t="str">
        <f>"اختتام"</f>
        <v>اختتام</v>
      </c>
      <c r="AF243" s="1" t="str">
        <f>""</f>
        <v/>
      </c>
      <c r="AG243" s="1" t="str">
        <f>""</f>
        <v/>
      </c>
      <c r="AH243" s="1" t="str">
        <f>""</f>
        <v/>
      </c>
      <c r="AI243" s="1" t="str">
        <f>""</f>
        <v/>
      </c>
      <c r="AJ243" s="1" t="str">
        <f>""</f>
        <v/>
      </c>
      <c r="AK243" s="1" t="str">
        <f>""</f>
        <v/>
      </c>
    </row>
    <row r="244" spans="1:37">
      <c r="A244" s="1">
        <v>59857</v>
      </c>
      <c r="B244" s="1">
        <v>962000232</v>
      </c>
      <c r="C244" s="1" t="str">
        <f>"تخليه -يزد-ابركوه -كيلومتر10جاده شيراز-كارخانه آسفالت شهرداري ابركوه"</f>
        <v>تخليه -يزد-ابركوه -كيلومتر10جاده شيراز-كارخانه آسفالت شهرداري ابركوه</v>
      </c>
      <c r="D244" s="1">
        <v>9113</v>
      </c>
      <c r="E244" s="1">
        <v>59857</v>
      </c>
      <c r="F244" s="1">
        <v>96</v>
      </c>
      <c r="G244" s="1">
        <v>0</v>
      </c>
      <c r="H244" s="1" t="str">
        <f>"96/09/07"</f>
        <v>96/09/07</v>
      </c>
      <c r="I244" s="1" t="str">
        <f>"كيلوگرم"</f>
        <v>كيلوگرم</v>
      </c>
      <c r="J244" s="1" t="str">
        <f>"0000000076"</f>
        <v>0000000076</v>
      </c>
      <c r="K244" s="1" t="str">
        <f>"قير 60/70 - فله"</f>
        <v>قير 60/70 - فله</v>
      </c>
      <c r="L244" s="1">
        <v>100</v>
      </c>
      <c r="M244" s="1" t="str">
        <f>"مخازن قير اصفهان"</f>
        <v>مخازن قير اصفهان</v>
      </c>
      <c r="N244" s="1">
        <v>9512</v>
      </c>
      <c r="O244" s="1">
        <v>50037271</v>
      </c>
      <c r="P244" s="1" t="str">
        <f>"  شهرداري مهردشت"</f>
        <v xml:space="preserve">  شهرداري مهردشت</v>
      </c>
      <c r="Q244" s="1">
        <v>20</v>
      </c>
      <c r="R244" s="1" t="str">
        <f>"فروش داخلي - سازمان شهرداري ها و دهياري هاي كشور"</f>
        <v>فروش داخلي - سازمان شهرداري ها و دهياري هاي كشور</v>
      </c>
      <c r="S244" s="1" t="str">
        <f>"قرارداد فروش"</f>
        <v>قرارداد فروش</v>
      </c>
      <c r="T244" s="1" t="str">
        <f>"ندارد"</f>
        <v>ندارد</v>
      </c>
      <c r="U244" s="1" t="str">
        <f>"تعاوني جم گستر (1001 ج 89)"</f>
        <v>تعاوني جم گستر (1001 ج 89)</v>
      </c>
      <c r="V244" s="1">
        <v>962000232</v>
      </c>
      <c r="W244" s="1">
        <v>962000232</v>
      </c>
      <c r="X244" s="1" t="str">
        <f>"1396514467"</f>
        <v>1396514467</v>
      </c>
      <c r="Y244" s="1" t="str">
        <f>"96/09/07"</f>
        <v>96/09/07</v>
      </c>
      <c r="Z244" s="1" t="str">
        <f>"36651مرحله دوم"</f>
        <v>36651مرحله دوم</v>
      </c>
      <c r="AA244" s="1" t="str">
        <f>"شهرداريها"</f>
        <v>شهرداريها</v>
      </c>
      <c r="AB244" s="1" t="str">
        <f>"96/09/01"</f>
        <v>96/09/01</v>
      </c>
      <c r="AC244" s="1" t="str">
        <f>"استان يزد"</f>
        <v>استان يزد</v>
      </c>
      <c r="AD244" s="1" t="str">
        <f>"96/07/03"</f>
        <v>96/07/03</v>
      </c>
      <c r="AE244" s="1" t="str">
        <f>"اختتام"</f>
        <v>اختتام</v>
      </c>
      <c r="AF244" s="1" t="str">
        <f>""</f>
        <v/>
      </c>
      <c r="AG244" s="1" t="str">
        <f>""</f>
        <v/>
      </c>
      <c r="AH244" s="1" t="str">
        <f>""</f>
        <v/>
      </c>
      <c r="AI244" s="1" t="str">
        <f>""</f>
        <v/>
      </c>
      <c r="AJ244" s="1" t="str">
        <f>""</f>
        <v/>
      </c>
      <c r="AK244" s="1" t="str">
        <f>""</f>
        <v/>
      </c>
    </row>
    <row r="245" spans="1:37">
      <c r="A245" s="1">
        <v>36784</v>
      </c>
      <c r="B245" s="1">
        <v>962000477</v>
      </c>
      <c r="C245" s="1" t="str">
        <f>"تخليه - پنج کيلومتري شهرانارک-شرکت فرد سازه سپاهان"</f>
        <v>تخليه - پنج کيلومتري شهرانارک-شرکت فرد سازه سپاهان</v>
      </c>
      <c r="D245" s="1">
        <v>12820</v>
      </c>
      <c r="E245" s="1">
        <v>36784</v>
      </c>
      <c r="F245" s="1">
        <v>96</v>
      </c>
      <c r="G245" s="1">
        <v>0</v>
      </c>
      <c r="H245" s="1" t="str">
        <f>"96/09/20"</f>
        <v>96/09/20</v>
      </c>
      <c r="I245" s="1" t="str">
        <f>"كيلوگرم"</f>
        <v>كيلوگرم</v>
      </c>
      <c r="J245" s="1" t="str">
        <f>"0000000076"</f>
        <v>0000000076</v>
      </c>
      <c r="K245" s="1" t="str">
        <f>"قير 60/70 - فله"</f>
        <v>قير 60/70 - فله</v>
      </c>
      <c r="L245" s="1">
        <v>100</v>
      </c>
      <c r="M245" s="1" t="str">
        <f>"مخازن قير اصفهان"</f>
        <v>مخازن قير اصفهان</v>
      </c>
      <c r="N245" s="1">
        <v>9521</v>
      </c>
      <c r="O245" s="1">
        <v>50037799</v>
      </c>
      <c r="P245" s="1" t="str">
        <f>"  شهرداري انارك"</f>
        <v xml:space="preserve">  شهرداري انارك</v>
      </c>
      <c r="Q245" s="1">
        <v>20</v>
      </c>
      <c r="R245" s="1" t="str">
        <f>"فروش داخلي - سازمان شهرداري ها و دهياري هاي كشور"</f>
        <v>فروش داخلي - سازمان شهرداري ها و دهياري هاي كشور</v>
      </c>
      <c r="S245" s="1" t="str">
        <f>"قرارداد فروش"</f>
        <v>قرارداد فروش</v>
      </c>
      <c r="T245" s="1" t="str">
        <f>"ندارد"</f>
        <v>ندارد</v>
      </c>
      <c r="U245" s="1" t="str">
        <f>"تعاوني جم گستر (1001 ج 89)"</f>
        <v>تعاوني جم گستر (1001 ج 89)</v>
      </c>
      <c r="V245" s="1">
        <v>962000477</v>
      </c>
      <c r="W245" s="1">
        <v>962000477</v>
      </c>
      <c r="X245" s="1" t="str">
        <f>"1396529711"</f>
        <v>1396529711</v>
      </c>
      <c r="Y245" s="1" t="str">
        <f>"96/09/20"</f>
        <v>96/09/20</v>
      </c>
      <c r="Z245" s="1" t="str">
        <f>"37107مرحله دوم"</f>
        <v>37107مرحله دوم</v>
      </c>
      <c r="AA245" s="1" t="str">
        <f>"شهرداريها"</f>
        <v>شهرداريها</v>
      </c>
      <c r="AB245" s="1" t="str">
        <f>"96/09/04"</f>
        <v>96/09/04</v>
      </c>
      <c r="AC245" s="1" t="str">
        <f>"استان اصفهان"</f>
        <v>استان اصفهان</v>
      </c>
      <c r="AD245" s="1" t="str">
        <f>"96/09/13"</f>
        <v>96/09/13</v>
      </c>
      <c r="AE245" s="1" t="str">
        <f>"اختتام"</f>
        <v>اختتام</v>
      </c>
      <c r="AF245" s="1" t="str">
        <f>""</f>
        <v/>
      </c>
      <c r="AG245" s="1" t="str">
        <f>""</f>
        <v/>
      </c>
      <c r="AH245" s="1" t="str">
        <f>""</f>
        <v/>
      </c>
      <c r="AI245" s="1" t="str">
        <f>""</f>
        <v/>
      </c>
      <c r="AJ245" s="1" t="str">
        <f>""</f>
        <v/>
      </c>
      <c r="AK245" s="1" t="str">
        <f>""</f>
        <v/>
      </c>
    </row>
    <row r="246" spans="1:37">
      <c r="A246" s="1">
        <v>66309</v>
      </c>
      <c r="B246" s="1">
        <v>962000260</v>
      </c>
      <c r="C246" s="1" t="str">
        <f>"تخليه خراسان جنوبي شهرستان سرايان كارخانه آسفالت شهرداري سرايان"</f>
        <v>تخليه خراسان جنوبي شهرستان سرايان كارخانه آسفالت شهرداري سرايان</v>
      </c>
      <c r="D246" s="1">
        <v>9113</v>
      </c>
      <c r="E246" s="1">
        <v>64441</v>
      </c>
      <c r="F246" s="1">
        <v>96</v>
      </c>
      <c r="G246" s="1">
        <v>1868</v>
      </c>
      <c r="H246" s="1" t="str">
        <f>"96/09/08"</f>
        <v>96/09/08</v>
      </c>
      <c r="I246" s="1" t="str">
        <f>"كيلوگرم"</f>
        <v>كيلوگرم</v>
      </c>
      <c r="J246" s="1" t="str">
        <f>"0000000076"</f>
        <v>0000000076</v>
      </c>
      <c r="K246" s="1" t="str">
        <f>"قير 60/70 - فله"</f>
        <v>قير 60/70 - فله</v>
      </c>
      <c r="L246" s="1">
        <v>100</v>
      </c>
      <c r="M246" s="1" t="str">
        <f>"مخازن قير اصفهان"</f>
        <v>مخازن قير اصفهان</v>
      </c>
      <c r="N246" s="1">
        <v>10127</v>
      </c>
      <c r="O246" s="1">
        <v>50037389</v>
      </c>
      <c r="P246" s="1" t="str">
        <f>"  شهرداري سه قلعه"</f>
        <v xml:space="preserve">  شهرداري سه قلعه</v>
      </c>
      <c r="Q246" s="1">
        <v>20</v>
      </c>
      <c r="R246" s="1" t="str">
        <f>"فروش داخلي - سازمان شهرداري ها و دهياري هاي كشور"</f>
        <v>فروش داخلي - سازمان شهرداري ها و دهياري هاي كشور</v>
      </c>
      <c r="S246" s="1" t="str">
        <f>"قرارداد فروش"</f>
        <v>قرارداد فروش</v>
      </c>
      <c r="T246" s="1" t="str">
        <f>"ندارد"</f>
        <v>ندارد</v>
      </c>
      <c r="U246" s="1" t="str">
        <f>"تعاوني جم گستر (1001 ج 89)"</f>
        <v>تعاوني جم گستر (1001 ج 89)</v>
      </c>
      <c r="V246" s="1">
        <v>962000260</v>
      </c>
      <c r="W246" s="1">
        <v>962000260</v>
      </c>
      <c r="X246" s="1" t="str">
        <f>"1396514467"</f>
        <v>1396514467</v>
      </c>
      <c r="Y246" s="1" t="str">
        <f>"96/09/08"</f>
        <v>96/09/08</v>
      </c>
      <c r="Z246" s="1" t="str">
        <f>"37082مرحله دوم"</f>
        <v>37082مرحله دوم</v>
      </c>
      <c r="AA246" s="1" t="str">
        <f>"شهرداريها"</f>
        <v>شهرداريها</v>
      </c>
      <c r="AB246" s="1" t="str">
        <f>"96/09/04"</f>
        <v>96/09/04</v>
      </c>
      <c r="AC246" s="1" t="str">
        <f>"خراسان جنوبي"</f>
        <v>خراسان جنوبي</v>
      </c>
      <c r="AD246" s="1" t="str">
        <f>"96/07/03"</f>
        <v>96/07/03</v>
      </c>
      <c r="AE246" s="1" t="str">
        <f>"اختتام"</f>
        <v>اختتام</v>
      </c>
      <c r="AF246" s="1" t="str">
        <f>""</f>
        <v/>
      </c>
      <c r="AG246" s="1" t="str">
        <f>""</f>
        <v/>
      </c>
      <c r="AH246" s="1" t="str">
        <f>""</f>
        <v/>
      </c>
      <c r="AI246" s="1" t="str">
        <f>""</f>
        <v/>
      </c>
      <c r="AJ246" s="1" t="str">
        <f>""</f>
        <v/>
      </c>
      <c r="AK246" s="1" t="str">
        <f>""</f>
        <v/>
      </c>
    </row>
    <row r="247" spans="1:37">
      <c r="A247" s="1">
        <v>52543</v>
      </c>
      <c r="B247" s="1">
        <v>962000455</v>
      </c>
      <c r="C247" s="1" t="str">
        <f>"تخليه اتوبان ذوب آهن بعدازپليس راه قطب صنعتي اشترجان شركت ماژين سازه چكاد"</f>
        <v>تخليه اتوبان ذوب آهن بعدازپليس راه قطب صنعتي اشترجان شركت ماژين سازه چكاد</v>
      </c>
      <c r="D247" s="1">
        <v>12820</v>
      </c>
      <c r="E247" s="1">
        <v>52543</v>
      </c>
      <c r="F247" s="1">
        <v>96</v>
      </c>
      <c r="G247" s="1">
        <v>0</v>
      </c>
      <c r="H247" s="1" t="str">
        <f>"96/09/20"</f>
        <v>96/09/20</v>
      </c>
      <c r="I247" s="1" t="str">
        <f>"كيلوگرم"</f>
        <v>كيلوگرم</v>
      </c>
      <c r="J247" s="1" t="str">
        <f>"0000000076"</f>
        <v>0000000076</v>
      </c>
      <c r="K247" s="1" t="str">
        <f>"قير 60/70 - فله"</f>
        <v>قير 60/70 - فله</v>
      </c>
      <c r="L247" s="1">
        <v>100</v>
      </c>
      <c r="M247" s="1" t="str">
        <f>"مخازن قير اصفهان"</f>
        <v>مخازن قير اصفهان</v>
      </c>
      <c r="N247" s="1">
        <v>9532</v>
      </c>
      <c r="O247" s="1">
        <v>50037777</v>
      </c>
      <c r="P247" s="1" t="str">
        <f>"  شهرداري قهدريجان"</f>
        <v xml:space="preserve">  شهرداري قهدريجان</v>
      </c>
      <c r="Q247" s="1">
        <v>20</v>
      </c>
      <c r="R247" s="1" t="str">
        <f>"فروش داخلي - سازمان شهرداري ها و دهياري هاي كشور"</f>
        <v>فروش داخلي - سازمان شهرداري ها و دهياري هاي كشور</v>
      </c>
      <c r="S247" s="1" t="str">
        <f>"قرارداد فروش"</f>
        <v>قرارداد فروش</v>
      </c>
      <c r="T247" s="1" t="str">
        <f>"ندارد"</f>
        <v>ندارد</v>
      </c>
      <c r="U247" s="1" t="str">
        <f>"تعاوني جم گستر (1001 ج 89)"</f>
        <v>تعاوني جم گستر (1001 ج 89)</v>
      </c>
      <c r="V247" s="1">
        <v>962000455</v>
      </c>
      <c r="W247" s="1">
        <v>962000455</v>
      </c>
      <c r="X247" s="1" t="str">
        <f>"1396529711"</f>
        <v>1396529711</v>
      </c>
      <c r="Y247" s="1" t="str">
        <f>"96/09/20"</f>
        <v>96/09/20</v>
      </c>
      <c r="Z247" s="1" t="str">
        <f>"37193مرحله دوم"</f>
        <v>37193مرحله دوم</v>
      </c>
      <c r="AA247" s="1" t="str">
        <f>"شهرداريها"</f>
        <v>شهرداريها</v>
      </c>
      <c r="AB247" s="1" t="str">
        <f>"96/09/05"</f>
        <v>96/09/05</v>
      </c>
      <c r="AC247" s="1" t="str">
        <f>"استان اصفهان"</f>
        <v>استان اصفهان</v>
      </c>
      <c r="AD247" s="1" t="str">
        <f>"96/09/13"</f>
        <v>96/09/13</v>
      </c>
      <c r="AE247" s="1" t="str">
        <f>"تاييدشده"</f>
        <v>تاييدشده</v>
      </c>
      <c r="AF247" s="1" t="str">
        <f>""</f>
        <v/>
      </c>
      <c r="AG247" s="1" t="str">
        <f>""</f>
        <v/>
      </c>
      <c r="AH247" s="1" t="str">
        <f>""</f>
        <v/>
      </c>
      <c r="AI247" s="1" t="str">
        <f>""</f>
        <v/>
      </c>
      <c r="AJ247" s="1" t="str">
        <f>""</f>
        <v/>
      </c>
      <c r="AK247" s="1" t="str">
        <f>""</f>
        <v/>
      </c>
    </row>
    <row r="248" spans="1:37">
      <c r="A248" s="1">
        <v>40835</v>
      </c>
      <c r="B248" s="1">
        <v>962000452</v>
      </c>
      <c r="C248" s="1" t="str">
        <f>"تخليه اصفهان جاده سيمان شهرك صنعتي اشترجان انتهاي خيابان يازدهم شركت راه آژند"</f>
        <v>تخليه اصفهان جاده سيمان شهرك صنعتي اشترجان انتهاي خيابان يازدهم شركت راه آژند</v>
      </c>
      <c r="D248" s="1">
        <v>12820</v>
      </c>
      <c r="E248" s="1">
        <v>40835</v>
      </c>
      <c r="F248" s="1">
        <v>96</v>
      </c>
      <c r="G248" s="1">
        <v>0</v>
      </c>
      <c r="H248" s="1" t="str">
        <f>"96/09/20"</f>
        <v>96/09/20</v>
      </c>
      <c r="I248" s="1" t="str">
        <f>"كيلوگرم"</f>
        <v>كيلوگرم</v>
      </c>
      <c r="J248" s="1" t="str">
        <f>"0000000076"</f>
        <v>0000000076</v>
      </c>
      <c r="K248" s="1" t="str">
        <f>"قير 60/70 - فله"</f>
        <v>قير 60/70 - فله</v>
      </c>
      <c r="L248" s="1">
        <v>100</v>
      </c>
      <c r="M248" s="1" t="str">
        <f>"مخازن قير اصفهان"</f>
        <v>مخازن قير اصفهان</v>
      </c>
      <c r="N248" s="1">
        <v>9537</v>
      </c>
      <c r="O248" s="1">
        <v>50037774</v>
      </c>
      <c r="P248" s="1" t="str">
        <f>"  شهرداري پيربكران"</f>
        <v xml:space="preserve">  شهرداري پيربكران</v>
      </c>
      <c r="Q248" s="1">
        <v>20</v>
      </c>
      <c r="R248" s="1" t="str">
        <f>"فروش داخلي - سازمان شهرداري ها و دهياري هاي كشور"</f>
        <v>فروش داخلي - سازمان شهرداري ها و دهياري هاي كشور</v>
      </c>
      <c r="S248" s="1" t="str">
        <f>"قرارداد فروش"</f>
        <v>قرارداد فروش</v>
      </c>
      <c r="T248" s="1" t="str">
        <f>"ندارد"</f>
        <v>ندارد</v>
      </c>
      <c r="U248" s="1" t="str">
        <f>"تعاوني جم گستر (1001 ج 89)"</f>
        <v>تعاوني جم گستر (1001 ج 89)</v>
      </c>
      <c r="V248" s="1">
        <v>962000452</v>
      </c>
      <c r="W248" s="1">
        <v>962000452</v>
      </c>
      <c r="X248" s="1" t="str">
        <f>"1396529711"</f>
        <v>1396529711</v>
      </c>
      <c r="Y248" s="1" t="str">
        <f>"96/09/20"</f>
        <v>96/09/20</v>
      </c>
      <c r="Z248" s="1" t="str">
        <f>"37117مرحله دوم"</f>
        <v>37117مرحله دوم</v>
      </c>
      <c r="AA248" s="1" t="str">
        <f>"شهرداريها"</f>
        <v>شهرداريها</v>
      </c>
      <c r="AB248" s="1" t="str">
        <f>"96/09/04"</f>
        <v>96/09/04</v>
      </c>
      <c r="AC248" s="1" t="str">
        <f>"استان اصفهان"</f>
        <v>استان اصفهان</v>
      </c>
      <c r="AD248" s="1" t="str">
        <f>"96/09/13"</f>
        <v>96/09/13</v>
      </c>
      <c r="AE248" s="1" t="str">
        <f>"اختتام"</f>
        <v>اختتام</v>
      </c>
      <c r="AF248" s="1" t="str">
        <f>""</f>
        <v/>
      </c>
      <c r="AG248" s="1" t="str">
        <f>""</f>
        <v/>
      </c>
      <c r="AH248" s="1" t="str">
        <f>""</f>
        <v/>
      </c>
      <c r="AI248" s="1" t="str">
        <f>""</f>
        <v/>
      </c>
      <c r="AJ248" s="1" t="str">
        <f>""</f>
        <v/>
      </c>
      <c r="AK248" s="1" t="str">
        <f>""</f>
        <v/>
      </c>
    </row>
    <row r="249" spans="1:37">
      <c r="A249" s="1">
        <v>109420</v>
      </c>
      <c r="B249" s="1">
        <v>962000026</v>
      </c>
      <c r="C249" s="1" t="str">
        <f>"تخليه اصفهان داران كارخانه آسفالت مشترك شهرداريهاي داران چادگان وبوئين ومياندشت"</f>
        <v>تخليه اصفهان داران كارخانه آسفالت مشترك شهرداريهاي داران چادگان وبوئين ومياندشت</v>
      </c>
      <c r="D249" s="1">
        <v>9113</v>
      </c>
      <c r="E249" s="1">
        <v>109420</v>
      </c>
      <c r="F249" s="1">
        <v>96</v>
      </c>
      <c r="G249" s="1">
        <v>0</v>
      </c>
      <c r="H249" s="1" t="str">
        <f>"96/07/03"</f>
        <v>96/07/03</v>
      </c>
      <c r="I249" s="1" t="str">
        <f>"كيلوگرم"</f>
        <v>كيلوگرم</v>
      </c>
      <c r="J249" s="1" t="str">
        <f>"0000000076"</f>
        <v>0000000076</v>
      </c>
      <c r="K249" s="1" t="str">
        <f>"قير 60/70 - فله"</f>
        <v>قير 60/70 - فله</v>
      </c>
      <c r="L249" s="1">
        <v>100</v>
      </c>
      <c r="M249" s="1" t="str">
        <f>"مخازن قير اصفهان"</f>
        <v>مخازن قير اصفهان</v>
      </c>
      <c r="N249" s="1">
        <v>10664</v>
      </c>
      <c r="O249" s="1">
        <v>50036167</v>
      </c>
      <c r="P249" s="1" t="str">
        <f>"  شهرداري چادگان"</f>
        <v xml:space="preserve">  شهرداري چادگان</v>
      </c>
      <c r="Q249" s="1">
        <v>20</v>
      </c>
      <c r="R249" s="1" t="str">
        <f>"فروش داخلي - سازمان شهرداري ها و دهياري هاي كشور"</f>
        <v>فروش داخلي - سازمان شهرداري ها و دهياري هاي كشور</v>
      </c>
      <c r="S249" s="1" t="str">
        <f>"قرارداد فروش"</f>
        <v>قرارداد فروش</v>
      </c>
      <c r="T249" s="1" t="str">
        <f>"ندارد"</f>
        <v>ندارد</v>
      </c>
      <c r="U249" s="1" t="str">
        <f>"تعاوني جم گستر (1001 ج 89)"</f>
        <v>تعاوني جم گستر (1001 ج 89)</v>
      </c>
      <c r="V249" s="1">
        <v>962000026</v>
      </c>
      <c r="W249" s="1">
        <v>962000026</v>
      </c>
      <c r="X249" s="1" t="str">
        <f>"1396514467"</f>
        <v>1396514467</v>
      </c>
      <c r="Y249" s="1" t="str">
        <f>"96/07/03"</f>
        <v>96/07/03</v>
      </c>
      <c r="Z249" s="1" t="str">
        <f>"26857مرحله اول"</f>
        <v>26857مرحله اول</v>
      </c>
      <c r="AA249" s="1" t="str">
        <f>"شهرداريها"</f>
        <v>شهرداريها</v>
      </c>
      <c r="AB249" s="1" t="str">
        <f>"96/06/29"</f>
        <v>96/06/29</v>
      </c>
      <c r="AC249" s="1" t="str">
        <f>"استان اصفهان"</f>
        <v>استان اصفهان</v>
      </c>
      <c r="AD249" s="1" t="str">
        <f>"96/07/03"</f>
        <v>96/07/03</v>
      </c>
      <c r="AE249" s="1" t="str">
        <f>"تاييدشده"</f>
        <v>تاييدشده</v>
      </c>
      <c r="AF249" s="1" t="str">
        <f>""</f>
        <v/>
      </c>
      <c r="AG249" s="1" t="str">
        <f>""</f>
        <v/>
      </c>
      <c r="AH249" s="1" t="str">
        <f>""</f>
        <v/>
      </c>
      <c r="AI249" s="1" t="str">
        <f>""</f>
        <v/>
      </c>
      <c r="AJ249" s="1" t="str">
        <f>""</f>
        <v/>
      </c>
      <c r="AK249" s="1" t="str">
        <f>""</f>
        <v/>
      </c>
    </row>
    <row r="250" spans="1:37">
      <c r="A250" s="1">
        <v>47564</v>
      </c>
      <c r="B250" s="1">
        <v>962000413</v>
      </c>
      <c r="C250" s="1" t="str">
        <f>"اصفهان تنگي-کيلومتر 7جاده فولادشهر نجف آباد جنب دانشگاه مخابرات مقابل مسکن مهر شرکت توليدي آبادگران جنوب"</f>
        <v>اصفهان تنگي-کيلومتر 7جاده فولادشهر نجف آباد جنب دانشگاه مخابرات مقابل مسکن مهر شرکت توليدي آبادگران جنوب</v>
      </c>
      <c r="D250" s="1">
        <v>12820</v>
      </c>
      <c r="E250" s="1">
        <v>47564</v>
      </c>
      <c r="F250" s="1">
        <v>96</v>
      </c>
      <c r="G250" s="1">
        <v>0</v>
      </c>
      <c r="H250" s="1" t="str">
        <f>"96/09/20"</f>
        <v>96/09/20</v>
      </c>
      <c r="I250" s="1" t="str">
        <f>"كيلوگرم"</f>
        <v>كيلوگرم</v>
      </c>
      <c r="J250" s="1" t="str">
        <f>"0000000076"</f>
        <v>0000000076</v>
      </c>
      <c r="K250" s="1" t="str">
        <f>"قير 60/70 - فله"</f>
        <v>قير 60/70 - فله</v>
      </c>
      <c r="L250" s="1">
        <v>100</v>
      </c>
      <c r="M250" s="1" t="str">
        <f>"مخازن قير اصفهان"</f>
        <v>مخازن قير اصفهان</v>
      </c>
      <c r="N250" s="1">
        <v>10665</v>
      </c>
      <c r="O250" s="1">
        <v>50037726</v>
      </c>
      <c r="P250" s="1" t="str">
        <f>"  شهرداري خورزوق"</f>
        <v xml:space="preserve">  شهرداري خورزوق</v>
      </c>
      <c r="Q250" s="1">
        <v>20</v>
      </c>
      <c r="R250" s="1" t="str">
        <f>"فروش داخلي - سازمان شهرداري ها و دهياري هاي كشور"</f>
        <v>فروش داخلي - سازمان شهرداري ها و دهياري هاي كشور</v>
      </c>
      <c r="S250" s="1" t="str">
        <f>"قرارداد فروش"</f>
        <v>قرارداد فروش</v>
      </c>
      <c r="T250" s="1" t="str">
        <f>"ندارد"</f>
        <v>ندارد</v>
      </c>
      <c r="U250" s="1" t="str">
        <f>"تعاوني جم گستر (1001 ج 89)"</f>
        <v>تعاوني جم گستر (1001 ج 89)</v>
      </c>
      <c r="V250" s="1">
        <v>962000413</v>
      </c>
      <c r="W250" s="1">
        <v>962000413</v>
      </c>
      <c r="X250" s="1" t="str">
        <f>"1396529711"</f>
        <v>1396529711</v>
      </c>
      <c r="Y250" s="1" t="str">
        <f>"96/09/20"</f>
        <v>96/09/20</v>
      </c>
      <c r="Z250" s="1" t="str">
        <f>"37131مرحله دوم"</f>
        <v>37131مرحله دوم</v>
      </c>
      <c r="AA250" s="1" t="str">
        <f>"شهرداريها"</f>
        <v>شهرداريها</v>
      </c>
      <c r="AB250" s="1" t="str">
        <f>"96/09/05"</f>
        <v>96/09/05</v>
      </c>
      <c r="AC250" s="1" t="str">
        <f>"استان اصفهان"</f>
        <v>استان اصفهان</v>
      </c>
      <c r="AD250" s="1" t="str">
        <f>"96/09/13"</f>
        <v>96/09/13</v>
      </c>
      <c r="AE250" s="1" t="str">
        <f>"تاييدشده"</f>
        <v>تاييدشده</v>
      </c>
      <c r="AF250" s="1" t="str">
        <f>""</f>
        <v/>
      </c>
      <c r="AG250" s="1" t="str">
        <f>""</f>
        <v/>
      </c>
      <c r="AH250" s="1" t="str">
        <f>""</f>
        <v/>
      </c>
      <c r="AI250" s="1" t="str">
        <f>""</f>
        <v/>
      </c>
      <c r="AJ250" s="1" t="str">
        <f>""</f>
        <v/>
      </c>
      <c r="AK250" s="1" t="str">
        <f>""</f>
        <v/>
      </c>
    </row>
    <row r="251" spans="1:37">
      <c r="A251" s="1">
        <v>101586</v>
      </c>
      <c r="B251" s="1">
        <v>962000086</v>
      </c>
      <c r="C251" s="1" t="str">
        <f>"تخليه اصفهان جاده حبيب آبادفرعي شالباف كارخانه آسفالت مهدي"</f>
        <v>تخليه اصفهان جاده حبيب آبادفرعي شالباف كارخانه آسفالت مهدي</v>
      </c>
      <c r="D251" s="1">
        <v>9113</v>
      </c>
      <c r="E251" s="1">
        <v>101586</v>
      </c>
      <c r="F251" s="1">
        <v>96</v>
      </c>
      <c r="G251" s="1">
        <v>0</v>
      </c>
      <c r="H251" s="1" t="str">
        <f>"96/07/03"</f>
        <v>96/07/03</v>
      </c>
      <c r="I251" s="1" t="str">
        <f>"كيلوگرم"</f>
        <v>كيلوگرم</v>
      </c>
      <c r="J251" s="1" t="str">
        <f>"0000000076"</f>
        <v>0000000076</v>
      </c>
      <c r="K251" s="1" t="str">
        <f>"قير 60/70 - فله"</f>
        <v>قير 60/70 - فله</v>
      </c>
      <c r="L251" s="1">
        <v>100</v>
      </c>
      <c r="M251" s="1" t="str">
        <f>"مخازن قير اصفهان"</f>
        <v>مخازن قير اصفهان</v>
      </c>
      <c r="N251" s="1">
        <v>10674</v>
      </c>
      <c r="O251" s="1">
        <v>50036240</v>
      </c>
      <c r="P251" s="1" t="str">
        <f>"  شهرداري مهاباداصفهان"</f>
        <v xml:space="preserve">  شهرداري مهاباداصفهان</v>
      </c>
      <c r="Q251" s="1">
        <v>20</v>
      </c>
      <c r="R251" s="1" t="str">
        <f>"فروش داخلي - سازمان شهرداري ها و دهياري هاي كشور"</f>
        <v>فروش داخلي - سازمان شهرداري ها و دهياري هاي كشور</v>
      </c>
      <c r="S251" s="1" t="str">
        <f>"قرارداد فروش"</f>
        <v>قرارداد فروش</v>
      </c>
      <c r="T251" s="1" t="str">
        <f>"ندارد"</f>
        <v>ندارد</v>
      </c>
      <c r="U251" s="1" t="str">
        <f>"تعاوني جم گستر (1001 ج 89)"</f>
        <v>تعاوني جم گستر (1001 ج 89)</v>
      </c>
      <c r="V251" s="1">
        <v>962000086</v>
      </c>
      <c r="W251" s="1">
        <v>962000086</v>
      </c>
      <c r="X251" s="1" t="str">
        <f>"1396514467"</f>
        <v>1396514467</v>
      </c>
      <c r="Y251" s="1" t="str">
        <f>"96/07/03"</f>
        <v>96/07/03</v>
      </c>
      <c r="Z251" s="1" t="str">
        <f>"26647مرحله اول"</f>
        <v>26647مرحله اول</v>
      </c>
      <c r="AA251" s="1" t="str">
        <f>"شهرداريها"</f>
        <v>شهرداريها</v>
      </c>
      <c r="AB251" s="1" t="str">
        <f>"96/06/29"</f>
        <v>96/06/29</v>
      </c>
      <c r="AC251" s="1" t="str">
        <f>"استان اصفهان"</f>
        <v>استان اصفهان</v>
      </c>
      <c r="AD251" s="1" t="str">
        <f>"96/07/03"</f>
        <v>96/07/03</v>
      </c>
      <c r="AE251" s="1" t="str">
        <f>"اختتام"</f>
        <v>اختتام</v>
      </c>
      <c r="AF251" s="1" t="str">
        <f>""</f>
        <v/>
      </c>
      <c r="AG251" s="1" t="str">
        <f>""</f>
        <v/>
      </c>
      <c r="AH251" s="1" t="str">
        <f>""</f>
        <v/>
      </c>
      <c r="AI251" s="1" t="str">
        <f>""</f>
        <v/>
      </c>
      <c r="AJ251" s="1" t="str">
        <f>""</f>
        <v/>
      </c>
      <c r="AK251" s="1" t="str">
        <f>""</f>
        <v/>
      </c>
    </row>
    <row r="252" spans="1:37">
      <c r="A252" s="1">
        <v>118308</v>
      </c>
      <c r="B252" s="1">
        <v>962000076</v>
      </c>
      <c r="C252" s="1" t="str">
        <f>"تخليه اصفهان روبروي پليس راه اصفهان تهران جاده علويجه كيلومتر12كارخانه آسفالت افق راه ماندگار"</f>
        <v>تخليه اصفهان روبروي پليس راه اصفهان تهران جاده علويجه كيلومتر12كارخانه آسفالت افق راه ماندگار</v>
      </c>
      <c r="D252" s="1">
        <v>9113</v>
      </c>
      <c r="E252" s="1">
        <v>118308</v>
      </c>
      <c r="F252" s="1">
        <v>96</v>
      </c>
      <c r="G252" s="1">
        <v>0</v>
      </c>
      <c r="H252" s="1" t="str">
        <f>"96/07/03"</f>
        <v>96/07/03</v>
      </c>
      <c r="I252" s="1" t="str">
        <f>"كيلوگرم"</f>
        <v>كيلوگرم</v>
      </c>
      <c r="J252" s="1" t="str">
        <f>"0000000076"</f>
        <v>0000000076</v>
      </c>
      <c r="K252" s="1" t="str">
        <f>"قير 60/70 - فله"</f>
        <v>قير 60/70 - فله</v>
      </c>
      <c r="L252" s="1">
        <v>100</v>
      </c>
      <c r="M252" s="1" t="str">
        <f>"مخازن قير اصفهان"</f>
        <v>مخازن قير اصفهان</v>
      </c>
      <c r="N252" s="1">
        <v>10678</v>
      </c>
      <c r="O252" s="1">
        <v>50036229</v>
      </c>
      <c r="P252" s="1" t="str">
        <f>"  شهرداري گزبرخوار"</f>
        <v xml:space="preserve">  شهرداري گزبرخوار</v>
      </c>
      <c r="Q252" s="1">
        <v>20</v>
      </c>
      <c r="R252" s="1" t="str">
        <f>"فروش داخلي - سازمان شهرداري ها و دهياري هاي كشور"</f>
        <v>فروش داخلي - سازمان شهرداري ها و دهياري هاي كشور</v>
      </c>
      <c r="S252" s="1" t="str">
        <f>"قرارداد فروش"</f>
        <v>قرارداد فروش</v>
      </c>
      <c r="T252" s="1" t="str">
        <f>"ندارد"</f>
        <v>ندارد</v>
      </c>
      <c r="U252" s="1" t="str">
        <f>"تعاوني جم گستر (1001 ج 89)"</f>
        <v>تعاوني جم گستر (1001 ج 89)</v>
      </c>
      <c r="V252" s="1">
        <v>962000076</v>
      </c>
      <c r="W252" s="1">
        <v>962000076</v>
      </c>
      <c r="X252" s="1" t="str">
        <f>"1396514467"</f>
        <v>1396514467</v>
      </c>
      <c r="Y252" s="1" t="str">
        <f>"96/07/03"</f>
        <v>96/07/03</v>
      </c>
      <c r="Z252" s="1" t="str">
        <f>"26672مرحله اول"</f>
        <v>26672مرحله اول</v>
      </c>
      <c r="AA252" s="1" t="str">
        <f>"شهرداريها"</f>
        <v>شهرداريها</v>
      </c>
      <c r="AB252" s="1" t="str">
        <f>"96/06/29"</f>
        <v>96/06/29</v>
      </c>
      <c r="AC252" s="1" t="str">
        <f>"استان اصفهان"</f>
        <v>استان اصفهان</v>
      </c>
      <c r="AD252" s="1" t="str">
        <f>"96/07/03"</f>
        <v>96/07/03</v>
      </c>
      <c r="AE252" s="1" t="str">
        <f>"اختتام"</f>
        <v>اختتام</v>
      </c>
      <c r="AF252" s="1" t="str">
        <f>""</f>
        <v/>
      </c>
      <c r="AG252" s="1" t="str">
        <f>""</f>
        <v/>
      </c>
      <c r="AH252" s="1" t="str">
        <f>""</f>
        <v/>
      </c>
      <c r="AI252" s="1" t="str">
        <f>""</f>
        <v/>
      </c>
      <c r="AJ252" s="1" t="str">
        <f>""</f>
        <v/>
      </c>
      <c r="AK252" s="1" t="str">
        <f>""</f>
        <v/>
      </c>
    </row>
    <row r="253" spans="1:37">
      <c r="A253" s="1">
        <v>400000</v>
      </c>
      <c r="B253" s="1">
        <v>961100090</v>
      </c>
      <c r="C253" s="1" t="str">
        <f>"كيلومتر 12 محور بيرجند به زاهدان كارخانه‌آسفالت شهرداري"</f>
        <v>كيلومتر 12 محور بيرجند به زاهدان كارخانه‌آسفالت شهرداري</v>
      </c>
      <c r="D253" s="1">
        <v>9416</v>
      </c>
      <c r="E253" s="1">
        <v>400000</v>
      </c>
      <c r="F253" s="1">
        <v>96</v>
      </c>
      <c r="G253" s="1">
        <v>0</v>
      </c>
      <c r="H253" s="1" t="str">
        <f>"96/08/16"</f>
        <v>96/08/16</v>
      </c>
      <c r="I253" s="1" t="str">
        <f>"كيلوگرم"</f>
        <v>كيلوگرم</v>
      </c>
      <c r="J253" s="1" t="str">
        <f>"0000000076"</f>
        <v>0000000076</v>
      </c>
      <c r="K253" s="1" t="str">
        <f>"قير 60/70 - فله"</f>
        <v>قير 60/70 - فله</v>
      </c>
      <c r="L253" s="1">
        <v>100</v>
      </c>
      <c r="M253" s="1" t="str">
        <f>"مخازن قير اصفهان"</f>
        <v>مخازن قير اصفهان</v>
      </c>
      <c r="N253" s="1">
        <v>9573</v>
      </c>
      <c r="O253" s="1">
        <v>50037091</v>
      </c>
      <c r="P253" s="1" t="str">
        <f>"  سازمان عمران و بازآفريني فضاهاي شهري شهرداري بيرجند"</f>
        <v xml:space="preserve">  سازمان عمران و بازآفريني فضاهاي شهري شهرداري بيرجند</v>
      </c>
      <c r="Q253" s="1">
        <v>11</v>
      </c>
      <c r="R253" s="1" t="str">
        <f>"فروش داخلي تهران - بورس"</f>
        <v>فروش داخلي تهران - بورس</v>
      </c>
      <c r="S253" s="1" t="str">
        <f>"قرارداد فروش"</f>
        <v>قرارداد فروش</v>
      </c>
      <c r="T253" s="1" t="str">
        <f>"ندارد"</f>
        <v>ندارد</v>
      </c>
      <c r="U253" s="1" t="str">
        <f>"آقا علي منوچهر(1016ج89)"</f>
        <v>آقا علي منوچهر(1016ج89)</v>
      </c>
      <c r="V253" s="1">
        <v>961100090</v>
      </c>
      <c r="W253" s="1">
        <v>961100090</v>
      </c>
      <c r="X253" s="1" t="str">
        <f>"1396523295"</f>
        <v>1396523295</v>
      </c>
      <c r="Y253" s="1" t="str">
        <f>"96/08/16"</f>
        <v>96/08/16</v>
      </c>
      <c r="Z253" s="1" t="str">
        <f>""</f>
        <v/>
      </c>
      <c r="AA253" s="1" t="str">
        <f>""</f>
        <v/>
      </c>
      <c r="AB253" s="1" t="str">
        <f>""</f>
        <v/>
      </c>
      <c r="AC253" s="1" t="str">
        <f>"خراسان جنوبي"</f>
        <v>خراسان جنوبي</v>
      </c>
      <c r="AD253" s="1" t="str">
        <f>"96/08/10"</f>
        <v>96/08/10</v>
      </c>
      <c r="AE253" s="1" t="str">
        <f>"اختتام"</f>
        <v>اختتام</v>
      </c>
      <c r="AF253" s="1" t="str">
        <f>""</f>
        <v/>
      </c>
      <c r="AG253" s="1" t="str">
        <f>""</f>
        <v/>
      </c>
      <c r="AH253" s="1" t="str">
        <f>""</f>
        <v/>
      </c>
      <c r="AI253" s="1" t="str">
        <f>""</f>
        <v/>
      </c>
      <c r="AJ253" s="1" t="str">
        <f>""</f>
        <v/>
      </c>
      <c r="AK253" s="1" t="str">
        <f>""</f>
        <v/>
      </c>
    </row>
    <row r="254" spans="1:37">
      <c r="A254" s="1">
        <v>78000</v>
      </c>
      <c r="B254" s="1">
        <v>966300067</v>
      </c>
      <c r="C254" s="1" t="str">
        <f>"تخليه آباده شيرازسورمق روبروي كارخانه سيمان شركت توليدي عايق هاي رطوبتي شرق دنيا"</f>
        <v>تخليه آباده شيرازسورمق روبروي كارخانه سيمان شركت توليدي عايق هاي رطوبتي شرق دنيا</v>
      </c>
      <c r="D254" s="1">
        <v>13350</v>
      </c>
      <c r="E254" s="1">
        <v>73860</v>
      </c>
      <c r="F254" s="1">
        <v>96</v>
      </c>
      <c r="G254" s="1">
        <v>4140</v>
      </c>
      <c r="H254" s="1" t="str">
        <f>"96/12/06"</f>
        <v>96/12/06</v>
      </c>
      <c r="I254" s="1" t="str">
        <f>"كيلوگرم"</f>
        <v>كيلوگرم</v>
      </c>
      <c r="J254" s="1" t="str">
        <f>"0000000076"</f>
        <v>0000000076</v>
      </c>
      <c r="K254" s="1" t="str">
        <f>"قير 60/70 - فله"</f>
        <v>قير 60/70 - فله</v>
      </c>
      <c r="L254" s="1">
        <v>100</v>
      </c>
      <c r="M254" s="1" t="str">
        <f>"مخازن قير اصفهان"</f>
        <v>مخازن قير اصفهان</v>
      </c>
      <c r="N254" s="1">
        <v>10210</v>
      </c>
      <c r="O254" s="1">
        <v>50038623</v>
      </c>
      <c r="P254" s="1" t="str">
        <f>"  عايق هاي رطوبتي شرق دنيا"</f>
        <v xml:space="preserve">  عايق هاي رطوبتي شرق دنيا</v>
      </c>
      <c r="Q254" s="1">
        <v>63</v>
      </c>
      <c r="R254" s="1" t="str">
        <f>"سازمان نوسازي،توسعه و تجهيز مدارس كشور"</f>
        <v>سازمان نوسازي،توسعه و تجهيز مدارس كشور</v>
      </c>
      <c r="S254" s="1" t="str">
        <f>"قرارداد فروش"</f>
        <v>قرارداد فروش</v>
      </c>
      <c r="T254" s="1" t="str">
        <f>"ندارد"</f>
        <v>ندارد</v>
      </c>
      <c r="U254" s="1" t="str">
        <f>"بابامحمدي عنايت اله(4844000)"</f>
        <v>بابامحمدي عنايت اله(4844000)</v>
      </c>
      <c r="V254" s="1">
        <v>966300067</v>
      </c>
      <c r="W254" s="1">
        <v>966300067</v>
      </c>
      <c r="X254" s="1" t="str">
        <f>"1396550458"</f>
        <v>1396550458</v>
      </c>
      <c r="Y254" s="1" t="str">
        <f>"96/12/06"</f>
        <v>96/12/06</v>
      </c>
      <c r="Z254" s="1" t="str">
        <f>"10600/1"</f>
        <v>10600/1</v>
      </c>
      <c r="AA254" s="1" t="str">
        <f>"سازمان نوسازي توسعه وتجهيزمدارس كشور"</f>
        <v>سازمان نوسازي توسعه وتجهيزمدارس كشور</v>
      </c>
      <c r="AB254" s="1" t="str">
        <f>"96/11/28"</f>
        <v>96/11/28</v>
      </c>
      <c r="AC254" s="1" t="str">
        <f>"استان يزد"</f>
        <v>استان يزد</v>
      </c>
      <c r="AD254" s="1" t="str">
        <f>"96/12/06"</f>
        <v>96/12/06</v>
      </c>
      <c r="AE254" s="1" t="str">
        <f>"اختتام"</f>
        <v>اختتام</v>
      </c>
      <c r="AF254" s="1" t="str">
        <f>""</f>
        <v/>
      </c>
      <c r="AG254" s="1" t="str">
        <f>""</f>
        <v/>
      </c>
      <c r="AH254" s="1" t="str">
        <f>""</f>
        <v/>
      </c>
      <c r="AI254" s="1" t="str">
        <f>""</f>
        <v/>
      </c>
      <c r="AJ254" s="1" t="str">
        <f>""</f>
        <v/>
      </c>
      <c r="AK254" s="1" t="str">
        <f>""</f>
        <v/>
      </c>
    </row>
    <row r="255" spans="1:37">
      <c r="A255" s="1">
        <v>106658</v>
      </c>
      <c r="B255" s="1">
        <v>962000043</v>
      </c>
      <c r="C255" s="1" t="str">
        <f>"تخليه اصفهان شهرك صنعتي مباركه جنب پلي اكريل كارخانه آسفالت غفراني شركت پوياسازه ارمند"</f>
        <v>تخليه اصفهان شهرك صنعتي مباركه جنب پلي اكريل كارخانه آسفالت غفراني شركت پوياسازه ارمند</v>
      </c>
      <c r="D255" s="1">
        <v>9113</v>
      </c>
      <c r="E255" s="1">
        <v>106658</v>
      </c>
      <c r="F255" s="1">
        <v>96</v>
      </c>
      <c r="G255" s="1">
        <v>0</v>
      </c>
      <c r="H255" s="1" t="str">
        <f>"96/07/03"</f>
        <v>96/07/03</v>
      </c>
      <c r="I255" s="1" t="str">
        <f>"كيلوگرم"</f>
        <v>كيلوگرم</v>
      </c>
      <c r="J255" s="1" t="str">
        <f>"0000000076"</f>
        <v>0000000076</v>
      </c>
      <c r="K255" s="1" t="str">
        <f>"قير 60/70 - فله"</f>
        <v>قير 60/70 - فله</v>
      </c>
      <c r="L255" s="1">
        <v>100</v>
      </c>
      <c r="M255" s="1" t="str">
        <f>"مخازن قير اصفهان"</f>
        <v>مخازن قير اصفهان</v>
      </c>
      <c r="N255" s="1">
        <v>10679</v>
      </c>
      <c r="O255" s="1">
        <v>50036189</v>
      </c>
      <c r="P255" s="1" t="str">
        <f>"  شهرداري ديزيچه"</f>
        <v xml:space="preserve">  شهرداري ديزيچه</v>
      </c>
      <c r="Q255" s="1">
        <v>20</v>
      </c>
      <c r="R255" s="1" t="str">
        <f>"فروش داخلي - سازمان شهرداري ها و دهياري هاي كشور"</f>
        <v>فروش داخلي - سازمان شهرداري ها و دهياري هاي كشور</v>
      </c>
      <c r="S255" s="1" t="str">
        <f>"قرارداد فروش"</f>
        <v>قرارداد فروش</v>
      </c>
      <c r="T255" s="1" t="str">
        <f>"ندارد"</f>
        <v>ندارد</v>
      </c>
      <c r="U255" s="1" t="str">
        <f>"تعاوني جم گستر (1001 ج 89)"</f>
        <v>تعاوني جم گستر (1001 ج 89)</v>
      </c>
      <c r="V255" s="1">
        <v>962000043</v>
      </c>
      <c r="W255" s="1">
        <v>962000043</v>
      </c>
      <c r="X255" s="1" t="str">
        <f>"1396514467"</f>
        <v>1396514467</v>
      </c>
      <c r="Y255" s="1" t="str">
        <f>"96/07/03"</f>
        <v>96/07/03</v>
      </c>
      <c r="Z255" s="1" t="str">
        <f>"26813مرحله اول"</f>
        <v>26813مرحله اول</v>
      </c>
      <c r="AA255" s="1" t="str">
        <f>"شهرداريها"</f>
        <v>شهرداريها</v>
      </c>
      <c r="AB255" s="1" t="str">
        <f>"96/06/29"</f>
        <v>96/06/29</v>
      </c>
      <c r="AC255" s="1" t="str">
        <f>"استان اصفهان"</f>
        <v>استان اصفهان</v>
      </c>
      <c r="AD255" s="1" t="str">
        <f>"96/07/03"</f>
        <v>96/07/03</v>
      </c>
      <c r="AE255" s="1" t="str">
        <f>"تاييدشده"</f>
        <v>تاييدشده</v>
      </c>
      <c r="AF255" s="1" t="str">
        <f>""</f>
        <v/>
      </c>
      <c r="AG255" s="1" t="str">
        <f>""</f>
        <v/>
      </c>
      <c r="AH255" s="1" t="str">
        <f>""</f>
        <v/>
      </c>
      <c r="AI255" s="1" t="str">
        <f>""</f>
        <v/>
      </c>
      <c r="AJ255" s="1" t="str">
        <f>""</f>
        <v/>
      </c>
      <c r="AK255" s="1" t="str">
        <f>""</f>
        <v/>
      </c>
    </row>
    <row r="256" spans="1:37">
      <c r="A256" s="1">
        <v>50000</v>
      </c>
      <c r="B256" s="1">
        <v>961100007</v>
      </c>
      <c r="C256" s="1" t="str">
        <f>"تخليه-شهرستان آباده-روبروي کارخانه سيمان"</f>
        <v>تخليه-شهرستان آباده-روبروي کارخانه سيمان</v>
      </c>
      <c r="D256" s="1">
        <v>8198</v>
      </c>
      <c r="E256" s="1">
        <v>50000</v>
      </c>
      <c r="F256" s="1">
        <v>96</v>
      </c>
      <c r="G256" s="1">
        <v>0</v>
      </c>
      <c r="H256" s="1" t="str">
        <f>"96/02/03"</f>
        <v>96/02/03</v>
      </c>
      <c r="I256" s="1" t="str">
        <f>"كيلوگرم"</f>
        <v>كيلوگرم</v>
      </c>
      <c r="J256" s="1" t="str">
        <f>"0000000076"</f>
        <v>0000000076</v>
      </c>
      <c r="K256" s="1" t="str">
        <f>"قير 60/70 - فله"</f>
        <v>قير 60/70 - فله</v>
      </c>
      <c r="L256" s="1">
        <v>100</v>
      </c>
      <c r="M256" s="1" t="str">
        <f>"مخازن قير اصفهان"</f>
        <v>مخازن قير اصفهان</v>
      </c>
      <c r="N256" s="1">
        <v>10683</v>
      </c>
      <c r="O256" s="1">
        <v>50034658</v>
      </c>
      <c r="P256" s="1" t="str">
        <f>"  عايق اندود شرق سيصدو دو آسيا"</f>
        <v xml:space="preserve">  عايق اندود شرق سيصدو دو آسيا</v>
      </c>
      <c r="Q256" s="1">
        <v>11</v>
      </c>
      <c r="R256" s="1" t="str">
        <f>"فروش داخلي تهران - بورس"</f>
        <v>فروش داخلي تهران - بورس</v>
      </c>
      <c r="S256" s="1" t="str">
        <f>"قرارداد فروش"</f>
        <v>قرارداد فروش</v>
      </c>
      <c r="T256" s="1" t="str">
        <f>"ندارد"</f>
        <v>ندارد</v>
      </c>
      <c r="U256" s="1" t="str">
        <f>"تاج سعيد هوشنگ (1031ج 89)"</f>
        <v>تاج سعيد هوشنگ (1031ج 89)</v>
      </c>
      <c r="V256" s="1">
        <v>961100007</v>
      </c>
      <c r="W256" s="1">
        <v>961100007</v>
      </c>
      <c r="X256" s="1" t="str">
        <f>"1396474836"</f>
        <v>1396474836</v>
      </c>
      <c r="Y256" s="1" t="str">
        <f>"96/02/02"</f>
        <v>96/02/02</v>
      </c>
      <c r="Z256" s="1" t="str">
        <f>"96-35364"</f>
        <v>96-35364</v>
      </c>
      <c r="AA256" s="1" t="str">
        <f>"راه سازي"</f>
        <v>راه سازي</v>
      </c>
      <c r="AB256" s="1" t="str">
        <f>"96/02/02"</f>
        <v>96/02/02</v>
      </c>
      <c r="AC256" s="1" t="str">
        <f>"استان فارس"</f>
        <v>استان فارس</v>
      </c>
      <c r="AD256" s="1" t="str">
        <f>"96/01/28"</f>
        <v>96/01/28</v>
      </c>
      <c r="AE256" s="1" t="str">
        <f>"اختتام"</f>
        <v>اختتام</v>
      </c>
      <c r="AF256" s="1" t="str">
        <f>""</f>
        <v/>
      </c>
      <c r="AG256" s="1" t="str">
        <f>""</f>
        <v/>
      </c>
      <c r="AH256" s="1" t="str">
        <f>""</f>
        <v/>
      </c>
      <c r="AI256" s="1" t="str">
        <f>""</f>
        <v/>
      </c>
      <c r="AJ256" s="1" t="str">
        <f>""</f>
        <v/>
      </c>
      <c r="AK256" s="1" t="str">
        <f>""</f>
        <v/>
      </c>
    </row>
    <row r="257" spans="1:37">
      <c r="A257" s="1">
        <v>25000</v>
      </c>
      <c r="B257" s="1">
        <v>961100103</v>
      </c>
      <c r="C257" s="1" t="str">
        <f>"تخليه-شهرستان آباده-روبروي کارخانه سيمان"</f>
        <v>تخليه-شهرستان آباده-روبروي کارخانه سيمان</v>
      </c>
      <c r="D257" s="1">
        <v>12820</v>
      </c>
      <c r="E257" s="1">
        <v>22860</v>
      </c>
      <c r="F257" s="1">
        <v>96</v>
      </c>
      <c r="G257" s="1">
        <v>2140</v>
      </c>
      <c r="H257" s="1" t="str">
        <f>"96/09/21"</f>
        <v>96/09/21</v>
      </c>
      <c r="I257" s="1" t="str">
        <f>"كيلوگرم"</f>
        <v>كيلوگرم</v>
      </c>
      <c r="J257" s="1" t="str">
        <f>"0000000076"</f>
        <v>0000000076</v>
      </c>
      <c r="K257" s="1" t="str">
        <f>"قير 60/70 - فله"</f>
        <v>قير 60/70 - فله</v>
      </c>
      <c r="L257" s="1">
        <v>100</v>
      </c>
      <c r="M257" s="1" t="str">
        <f>"مخازن قير اصفهان"</f>
        <v>مخازن قير اصفهان</v>
      </c>
      <c r="N257" s="1">
        <v>10683</v>
      </c>
      <c r="O257" s="1">
        <v>50037663</v>
      </c>
      <c r="P257" s="1" t="str">
        <f>"  عايق اندود شرق سيصدو دو آسيا"</f>
        <v xml:space="preserve">  عايق اندود شرق سيصدو دو آسيا</v>
      </c>
      <c r="Q257" s="1">
        <v>11</v>
      </c>
      <c r="R257" s="1" t="str">
        <f>"فروش داخلي تهران - بورس"</f>
        <v>فروش داخلي تهران - بورس</v>
      </c>
      <c r="S257" s="1" t="str">
        <f>"قرارداد فروش"</f>
        <v>قرارداد فروش</v>
      </c>
      <c r="T257" s="1" t="str">
        <f>"ندارد"</f>
        <v>ندارد</v>
      </c>
      <c r="U257" s="1" t="str">
        <f>"تاج سعيد هوشنگ (1031ج 89)"</f>
        <v>تاج سعيد هوشنگ (1031ج 89)</v>
      </c>
      <c r="V257" s="1">
        <v>961100103</v>
      </c>
      <c r="W257" s="1">
        <v>961100103</v>
      </c>
      <c r="X257" s="1" t="str">
        <f>"1396531052"</f>
        <v>1396531052</v>
      </c>
      <c r="Y257" s="1" t="str">
        <f>"96/09/20"</f>
        <v>96/09/20</v>
      </c>
      <c r="Z257" s="1" t="str">
        <f>"96-36800"</f>
        <v>96-36800</v>
      </c>
      <c r="AA257" s="1" t="str">
        <f>"راه سازي"</f>
        <v>راه سازي</v>
      </c>
      <c r="AB257" s="1" t="str">
        <f>"96/09/20"</f>
        <v>96/09/20</v>
      </c>
      <c r="AC257" s="1" t="str">
        <f>"استان فارس"</f>
        <v>استان فارس</v>
      </c>
      <c r="AD257" s="1" t="str">
        <f>"96/09/18"</f>
        <v>96/09/18</v>
      </c>
      <c r="AE257" s="1" t="str">
        <f>"اختتام"</f>
        <v>اختتام</v>
      </c>
      <c r="AF257" s="1" t="str">
        <f>""</f>
        <v/>
      </c>
      <c r="AG257" s="1" t="str">
        <f>""</f>
        <v/>
      </c>
      <c r="AH257" s="1" t="str">
        <f>""</f>
        <v/>
      </c>
      <c r="AI257" s="1" t="str">
        <f>""</f>
        <v/>
      </c>
      <c r="AJ257" s="1" t="str">
        <f>""</f>
        <v/>
      </c>
      <c r="AK257" s="1" t="str">
        <f>""</f>
        <v/>
      </c>
    </row>
    <row r="258" spans="1:37">
      <c r="A258" s="1">
        <v>41121</v>
      </c>
      <c r="B258" s="1">
        <v>962000432</v>
      </c>
      <c r="C258" s="1" t="str">
        <f>"تخليه اصفهان جاده بروجن مبركه جاده قاميشلوشركت تك شن"</f>
        <v>تخليه اصفهان جاده بروجن مبركه جاده قاميشلوشركت تك شن</v>
      </c>
      <c r="D258" s="1">
        <v>12820</v>
      </c>
      <c r="E258" s="1">
        <v>41121</v>
      </c>
      <c r="F258" s="1">
        <v>96</v>
      </c>
      <c r="G258" s="1">
        <v>0</v>
      </c>
      <c r="H258" s="1" t="str">
        <f>"96/09/20"</f>
        <v>96/09/20</v>
      </c>
      <c r="I258" s="1" t="str">
        <f>"كيلوگرم"</f>
        <v>كيلوگرم</v>
      </c>
      <c r="J258" s="1" t="str">
        <f>"0000000076"</f>
        <v>0000000076</v>
      </c>
      <c r="K258" s="1" t="str">
        <f>"قير 60/70 - فله"</f>
        <v>قير 60/70 - فله</v>
      </c>
      <c r="L258" s="1">
        <v>100</v>
      </c>
      <c r="M258" s="1" t="str">
        <f>"مخازن قير اصفهان"</f>
        <v>مخازن قير اصفهان</v>
      </c>
      <c r="N258" s="1">
        <v>9601</v>
      </c>
      <c r="O258" s="1">
        <v>50037754</v>
      </c>
      <c r="P258" s="1" t="str">
        <f>"  شهرداري دهاقان"</f>
        <v xml:space="preserve">  شهرداري دهاقان</v>
      </c>
      <c r="Q258" s="1">
        <v>20</v>
      </c>
      <c r="R258" s="1" t="str">
        <f>"فروش داخلي - سازمان شهرداري ها و دهياري هاي كشور"</f>
        <v>فروش داخلي - سازمان شهرداري ها و دهياري هاي كشور</v>
      </c>
      <c r="S258" s="1" t="str">
        <f>"قرارداد فروش"</f>
        <v>قرارداد فروش</v>
      </c>
      <c r="T258" s="1" t="str">
        <f>"ندارد"</f>
        <v>ندارد</v>
      </c>
      <c r="U258" s="1" t="str">
        <f>"تعاوني جم گستر (1001 ج 89)"</f>
        <v>تعاوني جم گستر (1001 ج 89)</v>
      </c>
      <c r="V258" s="1">
        <v>962000432</v>
      </c>
      <c r="W258" s="1">
        <v>962000432</v>
      </c>
      <c r="X258" s="1" t="str">
        <f>"1396529711"</f>
        <v>1396529711</v>
      </c>
      <c r="Y258" s="1" t="str">
        <f>"96/09/20"</f>
        <v>96/09/20</v>
      </c>
      <c r="Z258" s="1" t="str">
        <f>"37137مرحله دوم"</f>
        <v>37137مرحله دوم</v>
      </c>
      <c r="AA258" s="1" t="str">
        <f>"شهرداريها"</f>
        <v>شهرداريها</v>
      </c>
      <c r="AB258" s="1" t="str">
        <f>"96/09/05"</f>
        <v>96/09/05</v>
      </c>
      <c r="AC258" s="1" t="str">
        <f>"استان اصفهان"</f>
        <v>استان اصفهان</v>
      </c>
      <c r="AD258" s="1" t="str">
        <f>"96/09/13"</f>
        <v>96/09/13</v>
      </c>
      <c r="AE258" s="1" t="str">
        <f>"اختتام"</f>
        <v>اختتام</v>
      </c>
      <c r="AF258" s="1" t="str">
        <f>""</f>
        <v/>
      </c>
      <c r="AG258" s="1" t="str">
        <f>""</f>
        <v/>
      </c>
      <c r="AH258" s="1" t="str">
        <f>""</f>
        <v/>
      </c>
      <c r="AI258" s="1" t="str">
        <f>""</f>
        <v/>
      </c>
      <c r="AJ258" s="1" t="str">
        <f>""</f>
        <v/>
      </c>
      <c r="AK258" s="1" t="str">
        <f>""</f>
        <v/>
      </c>
    </row>
    <row r="259" spans="1:37">
      <c r="A259" s="1">
        <v>196000</v>
      </c>
      <c r="B259" s="1">
        <v>966200080</v>
      </c>
      <c r="C259" s="1" t="str">
        <f>"تخليه - لرستان-خرم آباد-بخش ده پيرروستاي اسکين عليا-شرکت پرتو صنعت نور"</f>
        <v>تخليه - لرستان-خرم آباد-بخش ده پيرروستاي اسکين عليا-شرکت پرتو صنعت نور</v>
      </c>
      <c r="D259" s="1">
        <v>8918</v>
      </c>
      <c r="E259" s="1">
        <v>196000</v>
      </c>
      <c r="F259" s="1">
        <v>96</v>
      </c>
      <c r="G259" s="1">
        <v>0</v>
      </c>
      <c r="H259" s="1" t="str">
        <f>"96/02/26"</f>
        <v>96/02/26</v>
      </c>
      <c r="I259" s="1" t="str">
        <f>"كيلوگرم"</f>
        <v>كيلوگرم</v>
      </c>
      <c r="J259" s="1" t="str">
        <f>"0000000076"</f>
        <v>0000000076</v>
      </c>
      <c r="K259" s="1" t="str">
        <f>"قير 60/70 - فله"</f>
        <v>قير 60/70 - فله</v>
      </c>
      <c r="L259" s="1">
        <v>100</v>
      </c>
      <c r="M259" s="1" t="str">
        <f>"مخازن قير اصفهان"</f>
        <v>مخازن قير اصفهان</v>
      </c>
      <c r="N259" s="1">
        <v>10010</v>
      </c>
      <c r="O259" s="1">
        <v>50034847</v>
      </c>
      <c r="P259" s="1" t="str">
        <f>"  پرتوصنعت نور"</f>
        <v xml:space="preserve">  پرتوصنعت نور</v>
      </c>
      <c r="Q259" s="1">
        <v>62</v>
      </c>
      <c r="R259" s="1" t="str">
        <f>"فروش داخلي - سازمان بنيادمسكن انقلاب اسلامي"</f>
        <v>فروش داخلي - سازمان بنيادمسكن انقلاب اسلامي</v>
      </c>
      <c r="S259" s="1" t="str">
        <f>"قرارداد فروش"</f>
        <v>قرارداد فروش</v>
      </c>
      <c r="T259" s="1" t="str">
        <f>"ندارد"</f>
        <v>ندارد</v>
      </c>
      <c r="U259" s="1" t="str">
        <f>"رضائي كلهر حسن (1901099)"</f>
        <v>رضائي كلهر حسن (1901099)</v>
      </c>
      <c r="V259" s="1">
        <v>966200080</v>
      </c>
      <c r="W259" s="1">
        <v>966200080</v>
      </c>
      <c r="X259" s="1" t="str">
        <f>"1396481180"</f>
        <v>1396481180</v>
      </c>
      <c r="Y259" s="1" t="str">
        <f>"96/02/26"</f>
        <v>96/02/26</v>
      </c>
      <c r="Z259" s="1" t="str">
        <f>"6826/د"</f>
        <v>6826/د</v>
      </c>
      <c r="AA259" s="1" t="str">
        <f>"بنيادمسكن انقلاب اسلامي"</f>
        <v>بنيادمسكن انقلاب اسلامي</v>
      </c>
      <c r="AB259" s="1" t="str">
        <f>"96/02/25"</f>
        <v>96/02/25</v>
      </c>
      <c r="AC259" s="1" t="str">
        <f>"لرستان"</f>
        <v>لرستان</v>
      </c>
      <c r="AD259" s="1" t="str">
        <f>"96/02/26"</f>
        <v>96/02/26</v>
      </c>
      <c r="AE259" s="1" t="str">
        <f>"اختتام"</f>
        <v>اختتام</v>
      </c>
      <c r="AF259" s="1" t="str">
        <f>""</f>
        <v/>
      </c>
      <c r="AG259" s="1" t="str">
        <f>""</f>
        <v/>
      </c>
      <c r="AH259" s="1" t="str">
        <f>""</f>
        <v/>
      </c>
      <c r="AI259" s="1" t="str">
        <f>""</f>
        <v/>
      </c>
      <c r="AJ259" s="1" t="str">
        <f>""</f>
        <v/>
      </c>
      <c r="AK259" s="1" t="str">
        <f>""</f>
        <v/>
      </c>
    </row>
    <row r="260" spans="1:37">
      <c r="A260" s="1">
        <v>3000000</v>
      </c>
      <c r="B260" s="1">
        <v>961100003</v>
      </c>
      <c r="C260" s="1" t="str">
        <f>"تخليه -يزد15كيلومتري جاده خضرآباد-كارخانه آسفالت شهرداري يزد"</f>
        <v>تخليه -يزد15كيلومتري جاده خضرآباد-كارخانه آسفالت شهرداري يزد</v>
      </c>
      <c r="D260" s="1">
        <v>8198</v>
      </c>
      <c r="E260" s="1">
        <v>2994220</v>
      </c>
      <c r="F260" s="1">
        <v>96</v>
      </c>
      <c r="G260" s="1">
        <v>5780</v>
      </c>
      <c r="H260" s="1" t="str">
        <f>"96/01/24"</f>
        <v>96/01/24</v>
      </c>
      <c r="I260" s="1" t="str">
        <f>"كيلوگرم"</f>
        <v>كيلوگرم</v>
      </c>
      <c r="J260" s="1" t="str">
        <f>"0000000076"</f>
        <v>0000000076</v>
      </c>
      <c r="K260" s="1" t="str">
        <f>"قير 60/70 - فله"</f>
        <v>قير 60/70 - فله</v>
      </c>
      <c r="L260" s="1">
        <v>100</v>
      </c>
      <c r="M260" s="1" t="str">
        <f>"مخازن قير اصفهان"</f>
        <v>مخازن قير اصفهان</v>
      </c>
      <c r="N260" s="1">
        <v>10012</v>
      </c>
      <c r="O260" s="1">
        <v>50034586</v>
      </c>
      <c r="P260" s="1" t="str">
        <f>"  شهرداري يزد"</f>
        <v xml:space="preserve">  شهرداري يزد</v>
      </c>
      <c r="Q260" s="1">
        <v>11</v>
      </c>
      <c r="R260" s="1" t="str">
        <f>"فروش داخلي تهران - بورس"</f>
        <v>فروش داخلي تهران - بورس</v>
      </c>
      <c r="S260" s="1" t="str">
        <f>"قرارداد فروش"</f>
        <v>قرارداد فروش</v>
      </c>
      <c r="T260" s="1" t="str">
        <f>"ندارد"</f>
        <v>ندارد</v>
      </c>
      <c r="U260" s="1" t="str">
        <f>"غلام نجفي سيامك‌‌‌‌‌‌(1881082)"</f>
        <v>غلام نجفي سيامك‌‌‌‌‌‌(1881082)</v>
      </c>
      <c r="V260" s="1">
        <v>961100003</v>
      </c>
      <c r="W260" s="1">
        <v>961100003</v>
      </c>
      <c r="X260" s="1" t="str">
        <f>"1396474030"</f>
        <v>1396474030</v>
      </c>
      <c r="Y260" s="1" t="str">
        <f>"96/01/23"</f>
        <v>96/01/23</v>
      </c>
      <c r="Z260" s="1" t="str">
        <f>"960000629/340"</f>
        <v>960000629/340</v>
      </c>
      <c r="AA260" s="1" t="str">
        <f>"شهرداريها"</f>
        <v>شهرداريها</v>
      </c>
      <c r="AB260" s="1" t="str">
        <f>"96/01/10"</f>
        <v>96/01/10</v>
      </c>
      <c r="AC260" s="1" t="str">
        <f>"استان يزد"</f>
        <v>استان يزد</v>
      </c>
      <c r="AD260" s="1" t="str">
        <f>"96/01/23"</f>
        <v>96/01/23</v>
      </c>
      <c r="AE260" s="1" t="str">
        <f>"اختتام"</f>
        <v>اختتام</v>
      </c>
      <c r="AF260" s="1" t="str">
        <f>""</f>
        <v/>
      </c>
      <c r="AG260" s="1" t="str">
        <f>""</f>
        <v/>
      </c>
      <c r="AH260" s="1" t="str">
        <f>""</f>
        <v/>
      </c>
      <c r="AI260" s="1" t="str">
        <f>""</f>
        <v/>
      </c>
      <c r="AJ260" s="1" t="str">
        <f>""</f>
        <v/>
      </c>
      <c r="AK260" s="1" t="str">
        <f>""</f>
        <v/>
      </c>
    </row>
    <row r="261" spans="1:37">
      <c r="A261" s="1">
        <v>132920</v>
      </c>
      <c r="B261" s="1">
        <v>962000152</v>
      </c>
      <c r="C261" s="1" t="str">
        <f>"تخليه خراسان جنوبي -قاينات -نيمبلوك شهرك صنعتي كارخانه آسفالت پيوندسازان بجنورد"</f>
        <v>تخليه خراسان جنوبي -قاينات -نيمبلوك شهرك صنعتي كارخانه آسفالت پيوندسازان بجنورد</v>
      </c>
      <c r="D261" s="1">
        <v>9113</v>
      </c>
      <c r="E261" s="1">
        <v>132920</v>
      </c>
      <c r="F261" s="1">
        <v>96</v>
      </c>
      <c r="G261" s="1">
        <v>0</v>
      </c>
      <c r="H261" s="1" t="str">
        <f>"96/07/03"</f>
        <v>96/07/03</v>
      </c>
      <c r="I261" s="1" t="str">
        <f>"كيلوگرم"</f>
        <v>كيلوگرم</v>
      </c>
      <c r="J261" s="1" t="str">
        <f>"0000000076"</f>
        <v>0000000076</v>
      </c>
      <c r="K261" s="1" t="str">
        <f>"قير 60/70 - فله"</f>
        <v>قير 60/70 - فله</v>
      </c>
      <c r="L261" s="1">
        <v>100</v>
      </c>
      <c r="M261" s="1" t="str">
        <f>"مخازن قير اصفهان"</f>
        <v>مخازن قير اصفهان</v>
      </c>
      <c r="N261" s="1">
        <v>10707</v>
      </c>
      <c r="O261" s="1">
        <v>50036347</v>
      </c>
      <c r="P261" s="1" t="str">
        <f>"  شهرداري نيمبلوك"</f>
        <v xml:space="preserve">  شهرداري نيمبلوك</v>
      </c>
      <c r="Q261" s="1">
        <v>20</v>
      </c>
      <c r="R261" s="1" t="str">
        <f>"فروش داخلي - سازمان شهرداري ها و دهياري هاي كشور"</f>
        <v>فروش داخلي - سازمان شهرداري ها و دهياري هاي كشور</v>
      </c>
      <c r="S261" s="1" t="str">
        <f>"قرارداد فروش"</f>
        <v>قرارداد فروش</v>
      </c>
      <c r="T261" s="1" t="str">
        <f>"ندارد"</f>
        <v>ندارد</v>
      </c>
      <c r="U261" s="1" t="str">
        <f>"تعاوني جم گستر (1001 ج 89)"</f>
        <v>تعاوني جم گستر (1001 ج 89)</v>
      </c>
      <c r="V261" s="1">
        <v>962000152</v>
      </c>
      <c r="W261" s="1">
        <v>962000152</v>
      </c>
      <c r="X261" s="1" t="str">
        <f>"1396514467"</f>
        <v>1396514467</v>
      </c>
      <c r="Y261" s="1" t="str">
        <f>"96/07/03"</f>
        <v>96/07/03</v>
      </c>
      <c r="Z261" s="1" t="str">
        <f>"26605مرحله اول"</f>
        <v>26605مرحله اول</v>
      </c>
      <c r="AA261" s="1" t="str">
        <f>"شهرداريها"</f>
        <v>شهرداريها</v>
      </c>
      <c r="AB261" s="1" t="str">
        <f>"96/06/29"</f>
        <v>96/06/29</v>
      </c>
      <c r="AC261" s="1" t="str">
        <f>"خراسان جنوبي"</f>
        <v>خراسان جنوبي</v>
      </c>
      <c r="AD261" s="1" t="str">
        <f>"96/07/03"</f>
        <v>96/07/03</v>
      </c>
      <c r="AE261" s="1" t="str">
        <f>"اختتام"</f>
        <v>اختتام</v>
      </c>
      <c r="AF261" s="1" t="str">
        <f>""</f>
        <v/>
      </c>
      <c r="AG261" s="1" t="str">
        <f>""</f>
        <v/>
      </c>
      <c r="AH261" s="1" t="str">
        <f>""</f>
        <v/>
      </c>
      <c r="AI261" s="1" t="str">
        <f>""</f>
        <v/>
      </c>
      <c r="AJ261" s="1" t="str">
        <f>""</f>
        <v/>
      </c>
      <c r="AK261" s="1" t="str">
        <f>""</f>
        <v/>
      </c>
    </row>
    <row r="262" spans="1:37">
      <c r="A262" s="1">
        <v>66460</v>
      </c>
      <c r="B262" s="1">
        <v>962000270</v>
      </c>
      <c r="C262" s="1" t="str">
        <f>"تخليه خراسان جنوبي -قاينات -نيمبلوك شهرك صنعتي كارخانه آسفالت پيوندسازان بجنورد"</f>
        <v>تخليه خراسان جنوبي -قاينات -نيمبلوك شهرك صنعتي كارخانه آسفالت پيوندسازان بجنورد</v>
      </c>
      <c r="D262" s="1">
        <v>9113</v>
      </c>
      <c r="E262" s="1">
        <v>66460</v>
      </c>
      <c r="F262" s="1">
        <v>96</v>
      </c>
      <c r="G262" s="1">
        <v>0</v>
      </c>
      <c r="H262" s="1" t="str">
        <f>"96/09/08"</f>
        <v>96/09/08</v>
      </c>
      <c r="I262" s="1" t="str">
        <f>"كيلوگرم"</f>
        <v>كيلوگرم</v>
      </c>
      <c r="J262" s="1" t="str">
        <f>"0000000076"</f>
        <v>0000000076</v>
      </c>
      <c r="K262" s="1" t="str">
        <f>"قير 60/70 - فله"</f>
        <v>قير 60/70 - فله</v>
      </c>
      <c r="L262" s="1">
        <v>100</v>
      </c>
      <c r="M262" s="1" t="str">
        <f>"مخازن قير اصفهان"</f>
        <v>مخازن قير اصفهان</v>
      </c>
      <c r="N262" s="1">
        <v>10707</v>
      </c>
      <c r="O262" s="1">
        <v>50037399</v>
      </c>
      <c r="P262" s="1" t="str">
        <f>"  شهرداري نيمبلوك"</f>
        <v xml:space="preserve">  شهرداري نيمبلوك</v>
      </c>
      <c r="Q262" s="1">
        <v>20</v>
      </c>
      <c r="R262" s="1" t="str">
        <f>"فروش داخلي - سازمان شهرداري ها و دهياري هاي كشور"</f>
        <v>فروش داخلي - سازمان شهرداري ها و دهياري هاي كشور</v>
      </c>
      <c r="S262" s="1" t="str">
        <f>"قرارداد فروش"</f>
        <v>قرارداد فروش</v>
      </c>
      <c r="T262" s="1" t="str">
        <f>"ندارد"</f>
        <v>ندارد</v>
      </c>
      <c r="U262" s="1" t="str">
        <f>"تعاوني جم گستر (1001 ج 89)"</f>
        <v>تعاوني جم گستر (1001 ج 89)</v>
      </c>
      <c r="V262" s="1">
        <v>962000270</v>
      </c>
      <c r="W262" s="1">
        <v>962000270</v>
      </c>
      <c r="X262" s="1" t="str">
        <f>"1396514467"</f>
        <v>1396514467</v>
      </c>
      <c r="Y262" s="1" t="str">
        <f>"96/09/08"</f>
        <v>96/09/08</v>
      </c>
      <c r="Z262" s="1" t="str">
        <f>"37101مرحله دوم"</f>
        <v>37101مرحله دوم</v>
      </c>
      <c r="AA262" s="1" t="str">
        <f>"شهرداريها"</f>
        <v>شهرداريها</v>
      </c>
      <c r="AB262" s="1" t="str">
        <f>"96/09/04"</f>
        <v>96/09/04</v>
      </c>
      <c r="AC262" s="1" t="str">
        <f>"خراسان جنوبي"</f>
        <v>خراسان جنوبي</v>
      </c>
      <c r="AD262" s="1" t="str">
        <f>"96/07/03"</f>
        <v>96/07/03</v>
      </c>
      <c r="AE262" s="1" t="str">
        <f>"اختتام"</f>
        <v>اختتام</v>
      </c>
      <c r="AF262" s="1" t="str">
        <f>""</f>
        <v/>
      </c>
      <c r="AG262" s="1" t="str">
        <f>""</f>
        <v/>
      </c>
      <c r="AH262" s="1" t="str">
        <f>""</f>
        <v/>
      </c>
      <c r="AI262" s="1" t="str">
        <f>""</f>
        <v/>
      </c>
      <c r="AJ262" s="1" t="str">
        <f>""</f>
        <v/>
      </c>
      <c r="AK262" s="1" t="str">
        <f>""</f>
        <v/>
      </c>
    </row>
    <row r="263" spans="1:37">
      <c r="A263" s="1">
        <v>35481</v>
      </c>
      <c r="B263" s="1">
        <v>962000459</v>
      </c>
      <c r="C263" s="1" t="str">
        <f>"تخليه -اصفهان -جاده قمصركيلومتر17-كارخانه بتن آسفالت مهر"</f>
        <v>تخليه -اصفهان -جاده قمصركيلومتر17-كارخانه بتن آسفالت مهر</v>
      </c>
      <c r="D263" s="1">
        <v>12820</v>
      </c>
      <c r="E263" s="1">
        <v>35481</v>
      </c>
      <c r="F263" s="1">
        <v>96</v>
      </c>
      <c r="G263" s="1">
        <v>0</v>
      </c>
      <c r="H263" s="1" t="str">
        <f>"96/09/20"</f>
        <v>96/09/20</v>
      </c>
      <c r="I263" s="1" t="str">
        <f>"كيلوگرم"</f>
        <v>كيلوگرم</v>
      </c>
      <c r="J263" s="1" t="str">
        <f>"0000000076"</f>
        <v>0000000076</v>
      </c>
      <c r="K263" s="1" t="str">
        <f>"قير 60/70 - فله"</f>
        <v>قير 60/70 - فله</v>
      </c>
      <c r="L263" s="1">
        <v>100</v>
      </c>
      <c r="M263" s="1" t="str">
        <f>"مخازن قير اصفهان"</f>
        <v>مخازن قير اصفهان</v>
      </c>
      <c r="N263" s="1">
        <v>10708</v>
      </c>
      <c r="O263" s="1">
        <v>50037781</v>
      </c>
      <c r="P263" s="1" t="str">
        <f>"  شهرداري قمصر"</f>
        <v xml:space="preserve">  شهرداري قمصر</v>
      </c>
      <c r="Q263" s="1">
        <v>20</v>
      </c>
      <c r="R263" s="1" t="str">
        <f>"فروش داخلي - سازمان شهرداري ها و دهياري هاي كشور"</f>
        <v>فروش داخلي - سازمان شهرداري ها و دهياري هاي كشور</v>
      </c>
      <c r="S263" s="1" t="str">
        <f>"قرارداد فروش"</f>
        <v>قرارداد فروش</v>
      </c>
      <c r="T263" s="1" t="str">
        <f>"ندارد"</f>
        <v>ندارد</v>
      </c>
      <c r="U263" s="1" t="str">
        <f>"تعاوني جم گستر (1001 ج 89)"</f>
        <v>تعاوني جم گستر (1001 ج 89)</v>
      </c>
      <c r="V263" s="1">
        <v>962000459</v>
      </c>
      <c r="W263" s="1">
        <v>962000459</v>
      </c>
      <c r="X263" s="1" t="str">
        <f>"1396529711"</f>
        <v>1396529711</v>
      </c>
      <c r="Y263" s="1" t="str">
        <f>"96/09/20"</f>
        <v>96/09/20</v>
      </c>
      <c r="Z263" s="1" t="str">
        <f>"37190مرحله دوم"</f>
        <v>37190مرحله دوم</v>
      </c>
      <c r="AA263" s="1" t="str">
        <f>"شهرداريها"</f>
        <v>شهرداريها</v>
      </c>
      <c r="AB263" s="1" t="str">
        <f>"96/09/05"</f>
        <v>96/09/05</v>
      </c>
      <c r="AC263" s="1" t="str">
        <f>"استان اصفهان"</f>
        <v>استان اصفهان</v>
      </c>
      <c r="AD263" s="1" t="str">
        <f>"96/09/13"</f>
        <v>96/09/13</v>
      </c>
      <c r="AE263" s="1" t="str">
        <f>"اختتام"</f>
        <v>اختتام</v>
      </c>
      <c r="AF263" s="1" t="str">
        <f>""</f>
        <v/>
      </c>
      <c r="AG263" s="1" t="str">
        <f>""</f>
        <v/>
      </c>
      <c r="AH263" s="1" t="str">
        <f>""</f>
        <v/>
      </c>
      <c r="AI263" s="1" t="str">
        <f>""</f>
        <v/>
      </c>
      <c r="AJ263" s="1" t="str">
        <f>""</f>
        <v/>
      </c>
      <c r="AK263" s="1" t="str">
        <f>""</f>
        <v/>
      </c>
    </row>
    <row r="264" spans="1:37">
      <c r="A264" s="1">
        <v>116148</v>
      </c>
      <c r="B264" s="1">
        <v>962000072</v>
      </c>
      <c r="C264" s="1" t="str">
        <f>"تخليه اصفهان جاده شالباف كارخانه آسفالت فاضل"</f>
        <v>تخليه اصفهان جاده شالباف كارخانه آسفالت فاضل</v>
      </c>
      <c r="D264" s="1">
        <v>9113</v>
      </c>
      <c r="E264" s="1">
        <v>116148</v>
      </c>
      <c r="F264" s="1">
        <v>96</v>
      </c>
      <c r="G264" s="1">
        <v>0</v>
      </c>
      <c r="H264" s="1" t="str">
        <f>"96/07/03"</f>
        <v>96/07/03</v>
      </c>
      <c r="I264" s="1" t="str">
        <f>"كيلوگرم"</f>
        <v>كيلوگرم</v>
      </c>
      <c r="J264" s="1" t="str">
        <f>"0000000076"</f>
        <v>0000000076</v>
      </c>
      <c r="K264" s="1" t="str">
        <f>"قير 60/70 - فله"</f>
        <v>قير 60/70 - فله</v>
      </c>
      <c r="L264" s="1">
        <v>100</v>
      </c>
      <c r="M264" s="1" t="str">
        <f>"مخازن قير اصفهان"</f>
        <v>مخازن قير اصفهان</v>
      </c>
      <c r="N264" s="1">
        <v>10713</v>
      </c>
      <c r="O264" s="1">
        <v>50036224</v>
      </c>
      <c r="P264" s="1" t="str">
        <f>"  شهرداري كوشك"</f>
        <v xml:space="preserve">  شهرداري كوشك</v>
      </c>
      <c r="Q264" s="1">
        <v>20</v>
      </c>
      <c r="R264" s="1" t="str">
        <f>"فروش داخلي - سازمان شهرداري ها و دهياري هاي كشور"</f>
        <v>فروش داخلي - سازمان شهرداري ها و دهياري هاي كشور</v>
      </c>
      <c r="S264" s="1" t="str">
        <f>"قرارداد فروش"</f>
        <v>قرارداد فروش</v>
      </c>
      <c r="T264" s="1" t="str">
        <f>"ندارد"</f>
        <v>ندارد</v>
      </c>
      <c r="U264" s="1" t="str">
        <f>"تعاوني جم گستر (1001 ج 89)"</f>
        <v>تعاوني جم گستر (1001 ج 89)</v>
      </c>
      <c r="V264" s="1">
        <v>962000072</v>
      </c>
      <c r="W264" s="1">
        <v>962000072</v>
      </c>
      <c r="X264" s="1" t="str">
        <f>"1396514467"</f>
        <v>1396514467</v>
      </c>
      <c r="Y264" s="1" t="str">
        <f>"96/07/03"</f>
        <v>96/07/03</v>
      </c>
      <c r="Z264" s="1" t="str">
        <f>"26701مرحله اول"</f>
        <v>26701مرحله اول</v>
      </c>
      <c r="AA264" s="1" t="str">
        <f>"شهرداريها"</f>
        <v>شهرداريها</v>
      </c>
      <c r="AB264" s="1" t="str">
        <f>"96/06/29"</f>
        <v>96/06/29</v>
      </c>
      <c r="AC264" s="1" t="str">
        <f>"استان اصفهان"</f>
        <v>استان اصفهان</v>
      </c>
      <c r="AD264" s="1" t="str">
        <f>"96/07/03"</f>
        <v>96/07/03</v>
      </c>
      <c r="AE264" s="1" t="str">
        <f>"تاييدشده"</f>
        <v>تاييدشده</v>
      </c>
      <c r="AF264" s="1" t="str">
        <f>""</f>
        <v/>
      </c>
      <c r="AG264" s="1" t="str">
        <f>""</f>
        <v/>
      </c>
      <c r="AH264" s="1" t="str">
        <f>""</f>
        <v/>
      </c>
      <c r="AI264" s="1" t="str">
        <f>""</f>
        <v/>
      </c>
      <c r="AJ264" s="1" t="str">
        <f>""</f>
        <v/>
      </c>
      <c r="AK264" s="1" t="str">
        <f>""</f>
        <v/>
      </c>
    </row>
    <row r="265" spans="1:37">
      <c r="A265" s="1">
        <v>201000</v>
      </c>
      <c r="B265" s="1">
        <v>966200386</v>
      </c>
      <c r="C265" s="1" t="str">
        <f>"تخليه -کيلومتر10جاده شهرضا-اصفهان -جنب امامزاده علي اکبر-کارخانه آسفالت  گلابي"</f>
        <v>تخليه -کيلومتر10جاده شهرضا-اصفهان -جنب امامزاده علي اکبر-کارخانه آسفالت  گلابي</v>
      </c>
      <c r="D265" s="1">
        <v>12820</v>
      </c>
      <c r="E265" s="1">
        <v>200640</v>
      </c>
      <c r="F265" s="1">
        <v>96</v>
      </c>
      <c r="G265" s="1">
        <v>360</v>
      </c>
      <c r="H265" s="1" t="str">
        <f>"96/09/08"</f>
        <v>96/09/08</v>
      </c>
      <c r="I265" s="1" t="str">
        <f>"كيلوگرم"</f>
        <v>كيلوگرم</v>
      </c>
      <c r="J265" s="1" t="str">
        <f>"0000000076"</f>
        <v>0000000076</v>
      </c>
      <c r="K265" s="1" t="str">
        <f>"قير 60/70 - فله"</f>
        <v>قير 60/70 - فله</v>
      </c>
      <c r="L265" s="1">
        <v>100</v>
      </c>
      <c r="M265" s="1" t="str">
        <f>"مخازن قير اصفهان"</f>
        <v>مخازن قير اصفهان</v>
      </c>
      <c r="N265" s="1">
        <v>10271</v>
      </c>
      <c r="O265" s="1">
        <v>50037333</v>
      </c>
      <c r="P265" s="1" t="str">
        <f>"  آرياگسترشهرضا"</f>
        <v xml:space="preserve">  آرياگسترشهرضا</v>
      </c>
      <c r="Q265" s="1">
        <v>62</v>
      </c>
      <c r="R265" s="1" t="str">
        <f>"فروش داخلي - سازمان بنيادمسكن انقلاب اسلامي"</f>
        <v>فروش داخلي - سازمان بنيادمسكن انقلاب اسلامي</v>
      </c>
      <c r="S265" s="1" t="str">
        <f>"قرارداد فروش"</f>
        <v>قرارداد فروش</v>
      </c>
      <c r="T265" s="1" t="str">
        <f>"ندارد"</f>
        <v>ندارد</v>
      </c>
      <c r="U265" s="1" t="str">
        <f>"علي عابدي ابوالقاسم(1003ج89)"</f>
        <v>علي عابدي ابوالقاسم(1003ج89)</v>
      </c>
      <c r="V265" s="1">
        <v>966200386</v>
      </c>
      <c r="W265" s="1">
        <v>966200386</v>
      </c>
      <c r="X265" s="1" t="str">
        <f>"1396529172"</f>
        <v>1396529172</v>
      </c>
      <c r="Y265" s="1" t="str">
        <f>"96/09/08"</f>
        <v>96/09/08</v>
      </c>
      <c r="Z265" s="1" t="str">
        <f>"37292/د"</f>
        <v>37292/د</v>
      </c>
      <c r="AA265" s="1" t="str">
        <f>"بنيادمسكن انقلاب اسلامي"</f>
        <v>بنيادمسكن انقلاب اسلامي</v>
      </c>
      <c r="AB265" s="1" t="str">
        <f>"96/08/21"</f>
        <v>96/08/21</v>
      </c>
      <c r="AC265" s="1" t="str">
        <f>"استان اصفهان"</f>
        <v>استان اصفهان</v>
      </c>
      <c r="AD265" s="1" t="str">
        <f>"96/09/08"</f>
        <v>96/09/08</v>
      </c>
      <c r="AE265" s="1" t="str">
        <f>"اختتام"</f>
        <v>اختتام</v>
      </c>
      <c r="AF265" s="1" t="str">
        <f>""</f>
        <v/>
      </c>
      <c r="AG265" s="1" t="str">
        <f>""</f>
        <v/>
      </c>
      <c r="AH265" s="1" t="str">
        <f>""</f>
        <v/>
      </c>
      <c r="AI265" s="1" t="str">
        <f>""</f>
        <v/>
      </c>
      <c r="AJ265" s="1" t="str">
        <f>""</f>
        <v/>
      </c>
      <c r="AK265" s="1" t="str">
        <f>""</f>
        <v/>
      </c>
    </row>
    <row r="266" spans="1:37">
      <c r="A266" s="1">
        <v>70000</v>
      </c>
      <c r="B266" s="1">
        <v>966200425</v>
      </c>
      <c r="C266" s="1" t="str">
        <f>"تخليه-محور نجف آباد -تيران- پشت شهرک صنعتي تيران"</f>
        <v>تخليه-محور نجف آباد -تيران- پشت شهرک صنعتي تيران</v>
      </c>
      <c r="D266" s="1">
        <v>12820</v>
      </c>
      <c r="E266" s="1">
        <v>68980</v>
      </c>
      <c r="F266" s="1">
        <v>96</v>
      </c>
      <c r="G266" s="1">
        <v>1020</v>
      </c>
      <c r="H266" s="1" t="str">
        <f>"96/09/18"</f>
        <v>96/09/18</v>
      </c>
      <c r="I266" s="1" t="str">
        <f>"كيلوگرم"</f>
        <v>كيلوگرم</v>
      </c>
      <c r="J266" s="1" t="str">
        <f>"0000000076"</f>
        <v>0000000076</v>
      </c>
      <c r="K266" s="1" t="str">
        <f>"قير 60/70 - فله"</f>
        <v>قير 60/70 - فله</v>
      </c>
      <c r="L266" s="1">
        <v>100</v>
      </c>
      <c r="M266" s="1" t="str">
        <f>"مخازن قير اصفهان"</f>
        <v>مخازن قير اصفهان</v>
      </c>
      <c r="N266" s="1">
        <v>8643</v>
      </c>
      <c r="O266" s="1">
        <v>50037552</v>
      </c>
      <c r="P266" s="1" t="str">
        <f>"  ميلاد راه سپاهان"</f>
        <v xml:space="preserve">  ميلاد راه سپاهان</v>
      </c>
      <c r="Q266" s="1">
        <v>62</v>
      </c>
      <c r="R266" s="1" t="str">
        <f>"فروش داخلي - سازمان بنيادمسكن انقلاب اسلامي"</f>
        <v>فروش داخلي - سازمان بنيادمسكن انقلاب اسلامي</v>
      </c>
      <c r="S266" s="1" t="str">
        <f>"قرارداد فروش"</f>
        <v>قرارداد فروش</v>
      </c>
      <c r="T266" s="1" t="str">
        <f>"ندارد"</f>
        <v>ندارد</v>
      </c>
      <c r="U266" s="1" t="str">
        <f>"مظلوم فريبرز(1008ج89)"</f>
        <v>مظلوم فريبرز(1008ج89)</v>
      </c>
      <c r="V266" s="1">
        <v>966200425</v>
      </c>
      <c r="W266" s="1">
        <v>966200425</v>
      </c>
      <c r="X266" s="1" t="str">
        <f>"1396531057"</f>
        <v>1396531057</v>
      </c>
      <c r="Y266" s="1" t="str">
        <f>"96/09/18"</f>
        <v>96/09/18</v>
      </c>
      <c r="Z266" s="1" t="str">
        <f>"40626/د"</f>
        <v>40626/د</v>
      </c>
      <c r="AA266" s="1" t="str">
        <f>"بنيادمسكن انقلاب اسلامي"</f>
        <v>بنيادمسكن انقلاب اسلامي</v>
      </c>
      <c r="AB266" s="1" t="str">
        <f>"96/09/14"</f>
        <v>96/09/14</v>
      </c>
      <c r="AC266" s="1" t="str">
        <f>"استان اصفهان"</f>
        <v>استان اصفهان</v>
      </c>
      <c r="AD266" s="1" t="str">
        <f>"96/09/18"</f>
        <v>96/09/18</v>
      </c>
      <c r="AE266" s="1" t="str">
        <f>"اختتام"</f>
        <v>اختتام</v>
      </c>
      <c r="AF266" s="1" t="str">
        <f>""</f>
        <v/>
      </c>
      <c r="AG266" s="1" t="str">
        <f>""</f>
        <v/>
      </c>
      <c r="AH266" s="1" t="str">
        <f>""</f>
        <v/>
      </c>
      <c r="AI266" s="1" t="str">
        <f>""</f>
        <v/>
      </c>
      <c r="AJ266" s="1" t="str">
        <f>""</f>
        <v/>
      </c>
      <c r="AK266" s="1" t="str">
        <f>""</f>
        <v/>
      </c>
    </row>
    <row r="267" spans="1:37">
      <c r="A267" s="1">
        <v>127000</v>
      </c>
      <c r="B267" s="1">
        <v>966200208</v>
      </c>
      <c r="C267" s="1" t="str">
        <f>"تخليه -سيستان وبلوچستان -هامون شهرمحمدآباد-كيلومتر5روستاي شهرك مير-كارخانه آسفالت برادران طباطبائي"</f>
        <v>تخليه -سيستان وبلوچستان -هامون شهرمحمدآباد-كيلومتر5روستاي شهرك مير-كارخانه آسفالت برادران طباطبائي</v>
      </c>
      <c r="D267" s="1">
        <v>8704</v>
      </c>
      <c r="E267" s="1">
        <v>127000</v>
      </c>
      <c r="F267" s="1">
        <v>96</v>
      </c>
      <c r="G267" s="1">
        <v>0</v>
      </c>
      <c r="H267" s="1" t="str">
        <f>"96/05/31"</f>
        <v>96/05/31</v>
      </c>
      <c r="I267" s="1" t="str">
        <f>"كيلوگرم"</f>
        <v>كيلوگرم</v>
      </c>
      <c r="J267" s="1" t="str">
        <f>"0000000076"</f>
        <v>0000000076</v>
      </c>
      <c r="K267" s="1" t="str">
        <f>"قير 60/70 - فله"</f>
        <v>قير 60/70 - فله</v>
      </c>
      <c r="L267" s="1">
        <v>100</v>
      </c>
      <c r="M267" s="1" t="str">
        <f>"مخازن قير اصفهان"</f>
        <v>مخازن قير اصفهان</v>
      </c>
      <c r="N267" s="1">
        <v>10421</v>
      </c>
      <c r="O267" s="1">
        <v>50035776</v>
      </c>
      <c r="P267" s="1" t="str">
        <f>"  تعاوني راه وساختمان  3136سيستان سازه زابل"</f>
        <v xml:space="preserve">  تعاوني راه وساختمان  3136سيستان سازه زابل</v>
      </c>
      <c r="Q267" s="1">
        <v>62</v>
      </c>
      <c r="R267" s="1" t="str">
        <f>"فروش داخلي - سازمان بنيادمسكن انقلاب اسلامي"</f>
        <v>فروش داخلي - سازمان بنيادمسكن انقلاب اسلامي</v>
      </c>
      <c r="S267" s="1" t="str">
        <f>"قرارداد فروش"</f>
        <v>قرارداد فروش</v>
      </c>
      <c r="T267" s="1" t="str">
        <f>"ندارد"</f>
        <v>ندارد</v>
      </c>
      <c r="U267" s="1" t="str">
        <f>"قانعي محمدرضا(1011ج89)"</f>
        <v>قانعي محمدرضا(1011ج89)</v>
      </c>
      <c r="V267" s="1">
        <v>966200208</v>
      </c>
      <c r="W267" s="1">
        <v>966200208</v>
      </c>
      <c r="X267" s="1" t="str">
        <f>"1396507045"</f>
        <v>1396507045</v>
      </c>
      <c r="Y267" s="1" t="str">
        <f>"96/05/31"</f>
        <v>96/05/31</v>
      </c>
      <c r="Z267" s="1" t="str">
        <f>"23012/د"</f>
        <v>23012/د</v>
      </c>
      <c r="AA267" s="1" t="str">
        <f>"بنيادمسكن انقلاب اسلامي"</f>
        <v>بنيادمسكن انقلاب اسلامي</v>
      </c>
      <c r="AB267" s="1" t="str">
        <f>"96/05/29"</f>
        <v>96/05/29</v>
      </c>
      <c r="AC267" s="1" t="str">
        <f>"استان سيستان بلوچستان"</f>
        <v>استان سيستان بلوچستان</v>
      </c>
      <c r="AD267" s="1" t="str">
        <f>"96/05/31"</f>
        <v>96/05/31</v>
      </c>
      <c r="AE267" s="1" t="str">
        <f>"اختتام"</f>
        <v>اختتام</v>
      </c>
      <c r="AF267" s="1" t="str">
        <f>""</f>
        <v/>
      </c>
      <c r="AG267" s="1" t="str">
        <f>""</f>
        <v/>
      </c>
      <c r="AH267" s="1" t="str">
        <f>""</f>
        <v/>
      </c>
      <c r="AI267" s="1" t="str">
        <f>""</f>
        <v/>
      </c>
      <c r="AJ267" s="1" t="str">
        <f>""</f>
        <v/>
      </c>
      <c r="AK267" s="1" t="str">
        <f>""</f>
        <v/>
      </c>
    </row>
    <row r="268" spans="1:37">
      <c r="A268" s="1">
        <v>125000</v>
      </c>
      <c r="B268" s="1">
        <v>966200321</v>
      </c>
      <c r="C268" s="1" t="str">
        <f>"تخليه -سيستان وبلوچستان -هامون شهرمحمدآباد-كيلومتر5روستاي شهرك مير-كارخانه آسفالت برادران طباطبائي"</f>
        <v>تخليه -سيستان وبلوچستان -هامون شهرمحمدآباد-كيلومتر5روستاي شهرك مير-كارخانه آسفالت برادران طباطبائي</v>
      </c>
      <c r="D268" s="1">
        <v>9113</v>
      </c>
      <c r="E268" s="1">
        <v>123920</v>
      </c>
      <c r="F268" s="1">
        <v>96</v>
      </c>
      <c r="G268" s="1">
        <v>1080</v>
      </c>
      <c r="H268" s="1" t="str">
        <f>"96/07/24"</f>
        <v>96/07/24</v>
      </c>
      <c r="I268" s="1" t="str">
        <f>"كيلوگرم"</f>
        <v>كيلوگرم</v>
      </c>
      <c r="J268" s="1" t="str">
        <f>"0000000076"</f>
        <v>0000000076</v>
      </c>
      <c r="K268" s="1" t="str">
        <f>"قير 60/70 - فله"</f>
        <v>قير 60/70 - فله</v>
      </c>
      <c r="L268" s="1">
        <v>100</v>
      </c>
      <c r="M268" s="1" t="str">
        <f>"مخازن قير اصفهان"</f>
        <v>مخازن قير اصفهان</v>
      </c>
      <c r="N268" s="1">
        <v>10421</v>
      </c>
      <c r="O268" s="1">
        <v>50036751</v>
      </c>
      <c r="P268" s="1" t="str">
        <f>"  تعاوني راه وساختمان  3136سيستان سازه زابل"</f>
        <v xml:space="preserve">  تعاوني راه وساختمان  3136سيستان سازه زابل</v>
      </c>
      <c r="Q268" s="1">
        <v>62</v>
      </c>
      <c r="R268" s="1" t="str">
        <f>"فروش داخلي - سازمان بنيادمسكن انقلاب اسلامي"</f>
        <v>فروش داخلي - سازمان بنيادمسكن انقلاب اسلامي</v>
      </c>
      <c r="S268" s="1" t="str">
        <f>"قرارداد فروش"</f>
        <v>قرارداد فروش</v>
      </c>
      <c r="T268" s="1" t="str">
        <f>"ندارد"</f>
        <v>ندارد</v>
      </c>
      <c r="U268" s="1" t="str">
        <f>"قانعي محمدرضا(1011ج89)"</f>
        <v>قانعي محمدرضا(1011ج89)</v>
      </c>
      <c r="V268" s="1">
        <v>966200321</v>
      </c>
      <c r="W268" s="1">
        <v>966200321</v>
      </c>
      <c r="X268" s="1" t="str">
        <f>"1396518902"</f>
        <v>1396518902</v>
      </c>
      <c r="Y268" s="1" t="str">
        <f>"96/07/24"</f>
        <v>96/07/24</v>
      </c>
      <c r="Z268" s="1" t="str">
        <f>"32903/د"</f>
        <v>32903/د</v>
      </c>
      <c r="AA268" s="1" t="str">
        <f>"بنيادمسكن انقلاب اسلامي"</f>
        <v>بنيادمسكن انقلاب اسلامي</v>
      </c>
      <c r="AB268" s="1" t="str">
        <f>"96/07/24"</f>
        <v>96/07/24</v>
      </c>
      <c r="AC268" s="1" t="str">
        <f>"استان سيستان بلوچستان"</f>
        <v>استان سيستان بلوچستان</v>
      </c>
      <c r="AD268" s="1" t="str">
        <f>"96/07/24"</f>
        <v>96/07/24</v>
      </c>
      <c r="AE268" s="1" t="str">
        <f>"اختتام"</f>
        <v>اختتام</v>
      </c>
      <c r="AF268" s="1" t="str">
        <f>""</f>
        <v/>
      </c>
      <c r="AG268" s="1" t="str">
        <f>""</f>
        <v/>
      </c>
      <c r="AH268" s="1" t="str">
        <f>""</f>
        <v/>
      </c>
      <c r="AI268" s="1" t="str">
        <f>""</f>
        <v/>
      </c>
      <c r="AJ268" s="1" t="str">
        <f>""</f>
        <v/>
      </c>
      <c r="AK268" s="1" t="str">
        <f>""</f>
        <v/>
      </c>
    </row>
    <row r="269" spans="1:37">
      <c r="A269" s="1">
        <v>123580</v>
      </c>
      <c r="B269" s="1">
        <v>962000199</v>
      </c>
      <c r="C269" s="1" t="str">
        <f>"تخليه -جاده قديم قم -اصفهان بعدازامامزاده عبدالله روبروي كارخانه سيمان نيزار-شركت فراسوي خزر"</f>
        <v>تخليه -جاده قديم قم -اصفهان بعدازامامزاده عبدالله روبروي كارخانه سيمان نيزار-شركت فراسوي خزر</v>
      </c>
      <c r="D269" s="1">
        <v>9113</v>
      </c>
      <c r="E269" s="1">
        <v>119600</v>
      </c>
      <c r="F269" s="1">
        <v>96</v>
      </c>
      <c r="G269" s="1">
        <v>3980</v>
      </c>
      <c r="H269" s="1" t="str">
        <f>"96/07/03"</f>
        <v>96/07/03</v>
      </c>
      <c r="I269" s="1" t="str">
        <f>"كيلوگرم"</f>
        <v>كيلوگرم</v>
      </c>
      <c r="J269" s="1" t="str">
        <f>"0000000076"</f>
        <v>0000000076</v>
      </c>
      <c r="K269" s="1" t="str">
        <f>"قير 60/70 - فله"</f>
        <v>قير 60/70 - فله</v>
      </c>
      <c r="L269" s="1">
        <v>100</v>
      </c>
      <c r="M269" s="1" t="str">
        <f>"مخازن قير اصفهان"</f>
        <v>مخازن قير اصفهان</v>
      </c>
      <c r="N269" s="1">
        <v>9660</v>
      </c>
      <c r="O269" s="1">
        <v>50036423</v>
      </c>
      <c r="P269" s="1" t="str">
        <f>"  شهرداري دستجرد"</f>
        <v xml:space="preserve">  شهرداري دستجرد</v>
      </c>
      <c r="Q269" s="1">
        <v>20</v>
      </c>
      <c r="R269" s="1" t="str">
        <f>"فروش داخلي - سازمان شهرداري ها و دهياري هاي كشور"</f>
        <v>فروش داخلي - سازمان شهرداري ها و دهياري هاي كشور</v>
      </c>
      <c r="S269" s="1" t="str">
        <f>"قرارداد فروش"</f>
        <v>قرارداد فروش</v>
      </c>
      <c r="T269" s="1" t="str">
        <f>"ندارد"</f>
        <v>ندارد</v>
      </c>
      <c r="U269" s="1" t="str">
        <f>"تعاوني جم گستر (1001 ج 89)"</f>
        <v>تعاوني جم گستر (1001 ج 89)</v>
      </c>
      <c r="V269" s="1">
        <v>962000199</v>
      </c>
      <c r="W269" s="1">
        <v>962000199</v>
      </c>
      <c r="X269" s="1" t="str">
        <f>"1396514467"</f>
        <v>1396514467</v>
      </c>
      <c r="Y269" s="1" t="str">
        <f>"96/07/03"</f>
        <v>96/07/03</v>
      </c>
      <c r="Z269" s="1" t="str">
        <f>"26808مرحله اول"</f>
        <v>26808مرحله اول</v>
      </c>
      <c r="AA269" s="1" t="str">
        <f>"شهرداريها"</f>
        <v>شهرداريها</v>
      </c>
      <c r="AB269" s="1" t="str">
        <f>"96/06/29"</f>
        <v>96/06/29</v>
      </c>
      <c r="AC269" s="1" t="str">
        <f>"قم"</f>
        <v>قم</v>
      </c>
      <c r="AD269" s="1" t="str">
        <f>"96/07/03"</f>
        <v>96/07/03</v>
      </c>
      <c r="AE269" s="1" t="str">
        <f>"اختتام"</f>
        <v>اختتام</v>
      </c>
      <c r="AF269" s="1" t="str">
        <f>""</f>
        <v/>
      </c>
      <c r="AG269" s="1" t="str">
        <f>""</f>
        <v/>
      </c>
      <c r="AH269" s="1" t="str">
        <f>""</f>
        <v/>
      </c>
      <c r="AI269" s="1" t="str">
        <f>""</f>
        <v/>
      </c>
      <c r="AJ269" s="1" t="str">
        <f>""</f>
        <v/>
      </c>
      <c r="AK269" s="1" t="str">
        <f>""</f>
        <v/>
      </c>
    </row>
    <row r="270" spans="1:37">
      <c r="A270" s="1">
        <v>127246</v>
      </c>
      <c r="B270" s="1">
        <v>962000226</v>
      </c>
      <c r="C270" s="1" t="str">
        <f>"تخليه -يزدهرات كيلومتر7جاده شهربابك -كارخانه آسفالت پوياسازش"</f>
        <v>تخليه -يزدهرات كيلومتر7جاده شهربابك -كارخانه آسفالت پوياسازش</v>
      </c>
      <c r="D270" s="1">
        <v>9113</v>
      </c>
      <c r="E270" s="1">
        <v>127246</v>
      </c>
      <c r="F270" s="1">
        <v>96</v>
      </c>
      <c r="G270" s="1">
        <v>0</v>
      </c>
      <c r="H270" s="1" t="str">
        <f>"96/07/03"</f>
        <v>96/07/03</v>
      </c>
      <c r="I270" s="1" t="str">
        <f>"كيلوگرم"</f>
        <v>كيلوگرم</v>
      </c>
      <c r="J270" s="1" t="str">
        <f>"0000000076"</f>
        <v>0000000076</v>
      </c>
      <c r="K270" s="1" t="str">
        <f>"قير 60/70 - فله"</f>
        <v>قير 60/70 - فله</v>
      </c>
      <c r="L270" s="1">
        <v>100</v>
      </c>
      <c r="M270" s="1" t="str">
        <f>"مخازن قير اصفهان"</f>
        <v>مخازن قير اصفهان</v>
      </c>
      <c r="N270" s="1">
        <v>9692</v>
      </c>
      <c r="O270" s="1">
        <v>50036463</v>
      </c>
      <c r="P270" s="1" t="str">
        <f>"  شهرداري مروست"</f>
        <v xml:space="preserve">  شهرداري مروست</v>
      </c>
      <c r="Q270" s="1">
        <v>20</v>
      </c>
      <c r="R270" s="1" t="str">
        <f>"فروش داخلي - سازمان شهرداري ها و دهياري هاي كشور"</f>
        <v>فروش داخلي - سازمان شهرداري ها و دهياري هاي كشور</v>
      </c>
      <c r="S270" s="1" t="str">
        <f>"قرارداد فروش"</f>
        <v>قرارداد فروش</v>
      </c>
      <c r="T270" s="1" t="str">
        <f>"ندارد"</f>
        <v>ندارد</v>
      </c>
      <c r="U270" s="1" t="str">
        <f>"تعاوني جم گستر (1001 ج 89)"</f>
        <v>تعاوني جم گستر (1001 ج 89)</v>
      </c>
      <c r="V270" s="1">
        <v>962000226</v>
      </c>
      <c r="W270" s="1">
        <v>962000226</v>
      </c>
      <c r="X270" s="1" t="str">
        <f>"1396514467"</f>
        <v>1396514467</v>
      </c>
      <c r="Y270" s="1" t="str">
        <f>"96/07/03"</f>
        <v>96/07/03</v>
      </c>
      <c r="Z270" s="1" t="str">
        <f>"26652مرحله اول"</f>
        <v>26652مرحله اول</v>
      </c>
      <c r="AA270" s="1" t="str">
        <f>"شهرداريها"</f>
        <v>شهرداريها</v>
      </c>
      <c r="AB270" s="1" t="str">
        <f>"96/06/29"</f>
        <v>96/06/29</v>
      </c>
      <c r="AC270" s="1" t="str">
        <f>"استان يزد"</f>
        <v>استان يزد</v>
      </c>
      <c r="AD270" s="1" t="str">
        <f>"96/07/03"</f>
        <v>96/07/03</v>
      </c>
      <c r="AE270" s="1" t="str">
        <f>"اختتام"</f>
        <v>اختتام</v>
      </c>
      <c r="AF270" s="1" t="str">
        <f>""</f>
        <v/>
      </c>
      <c r="AG270" s="1" t="str">
        <f>""</f>
        <v/>
      </c>
      <c r="AH270" s="1" t="str">
        <f>""</f>
        <v/>
      </c>
      <c r="AI270" s="1" t="str">
        <f>""</f>
        <v/>
      </c>
      <c r="AJ270" s="1" t="str">
        <f>""</f>
        <v/>
      </c>
      <c r="AK270" s="1" t="str">
        <f>""</f>
        <v/>
      </c>
    </row>
    <row r="271" spans="1:37">
      <c r="A271" s="1">
        <v>38854</v>
      </c>
      <c r="B271" s="1">
        <v>962000430</v>
      </c>
      <c r="C271" s="1" t="str">
        <f>"تخليه اصفهان كيلومتر17جاده خورطبس كارگاه زرين سپاهان"</f>
        <v>تخليه اصفهان كيلومتر17جاده خورطبس كارگاه زرين سپاهان</v>
      </c>
      <c r="D271" s="1">
        <v>12820</v>
      </c>
      <c r="E271" s="1">
        <v>38854</v>
      </c>
      <c r="F271" s="1">
        <v>96</v>
      </c>
      <c r="G271" s="1">
        <v>0</v>
      </c>
      <c r="H271" s="1" t="str">
        <f>"96/09/20"</f>
        <v>96/09/20</v>
      </c>
      <c r="I271" s="1" t="str">
        <f>"كيلوگرم"</f>
        <v>كيلوگرم</v>
      </c>
      <c r="J271" s="1" t="str">
        <f>"0000000076"</f>
        <v>0000000076</v>
      </c>
      <c r="K271" s="1" t="str">
        <f>"قير 60/70 - فله"</f>
        <v>قير 60/70 - فله</v>
      </c>
      <c r="L271" s="1">
        <v>100</v>
      </c>
      <c r="M271" s="1" t="str">
        <f>"مخازن قير اصفهان"</f>
        <v>مخازن قير اصفهان</v>
      </c>
      <c r="N271" s="1">
        <v>10748</v>
      </c>
      <c r="O271" s="1">
        <v>50037752</v>
      </c>
      <c r="P271" s="1" t="str">
        <f>"  شهرداري خور"</f>
        <v xml:space="preserve">  شهرداري خور</v>
      </c>
      <c r="Q271" s="1">
        <v>20</v>
      </c>
      <c r="R271" s="1" t="str">
        <f>"فروش داخلي - سازمان شهرداري ها و دهياري هاي كشور"</f>
        <v>فروش داخلي - سازمان شهرداري ها و دهياري هاي كشور</v>
      </c>
      <c r="S271" s="1" t="str">
        <f>"قرارداد فروش"</f>
        <v>قرارداد فروش</v>
      </c>
      <c r="T271" s="1" t="str">
        <f>"ندارد"</f>
        <v>ندارد</v>
      </c>
      <c r="U271" s="1" t="str">
        <f>"تعاوني جم گستر (1001 ج 89)"</f>
        <v>تعاوني جم گستر (1001 ج 89)</v>
      </c>
      <c r="V271" s="1">
        <v>962000430</v>
      </c>
      <c r="W271" s="1">
        <v>962000430</v>
      </c>
      <c r="X271" s="1" t="str">
        <f>"1396529711"</f>
        <v>1396529711</v>
      </c>
      <c r="Y271" s="1" t="str">
        <f>"96/09/20"</f>
        <v>96/09/20</v>
      </c>
      <c r="Z271" s="1" t="str">
        <f>"37130مرحله دوم"</f>
        <v>37130مرحله دوم</v>
      </c>
      <c r="AA271" s="1" t="str">
        <f>"شهرداريها"</f>
        <v>شهرداريها</v>
      </c>
      <c r="AB271" s="1" t="str">
        <f>"96/09/04"</f>
        <v>96/09/04</v>
      </c>
      <c r="AC271" s="1" t="str">
        <f>"استان اصفهان"</f>
        <v>استان اصفهان</v>
      </c>
      <c r="AD271" s="1" t="str">
        <f>"96/09/13"</f>
        <v>96/09/13</v>
      </c>
      <c r="AE271" s="1" t="str">
        <f>"تاييدشده"</f>
        <v>تاييدشده</v>
      </c>
      <c r="AF271" s="1" t="str">
        <f>""</f>
        <v/>
      </c>
      <c r="AG271" s="1" t="str">
        <f>""</f>
        <v/>
      </c>
      <c r="AH271" s="1" t="str">
        <f>""</f>
        <v/>
      </c>
      <c r="AI271" s="1" t="str">
        <f>""</f>
        <v/>
      </c>
      <c r="AJ271" s="1" t="str">
        <f>""</f>
        <v/>
      </c>
      <c r="AK271" s="1" t="str">
        <f>""</f>
        <v/>
      </c>
    </row>
    <row r="272" spans="1:37">
      <c r="A272" s="1">
        <v>113000</v>
      </c>
      <c r="B272" s="1">
        <v>966200128</v>
      </c>
      <c r="C272" s="1" t="str">
        <f>"تخليه :لرستان الشتر - شهر فيروز آباد - کارخانه شرکت زاگرس راه نصر"</f>
        <v>تخليه :لرستان الشتر - شهر فيروز آباد - کارخانه شرکت زاگرس راه نصر</v>
      </c>
      <c r="D272" s="1">
        <v>8704</v>
      </c>
      <c r="E272" s="1">
        <v>113000</v>
      </c>
      <c r="F272" s="1">
        <v>96</v>
      </c>
      <c r="G272" s="1">
        <v>0</v>
      </c>
      <c r="H272" s="1" t="str">
        <f>"96/04/13"</f>
        <v>96/04/13</v>
      </c>
      <c r="I272" s="1" t="str">
        <f>"كيلوگرم"</f>
        <v>كيلوگرم</v>
      </c>
      <c r="J272" s="1" t="str">
        <f>"0000000076"</f>
        <v>0000000076</v>
      </c>
      <c r="K272" s="1" t="str">
        <f>"قير 60/70 - فله"</f>
        <v>قير 60/70 - فله</v>
      </c>
      <c r="L272" s="1">
        <v>100</v>
      </c>
      <c r="M272" s="1" t="str">
        <f>"مخازن قير اصفهان"</f>
        <v>مخازن قير اصفهان</v>
      </c>
      <c r="N272" s="1">
        <v>10506</v>
      </c>
      <c r="O272" s="1">
        <v>50035097</v>
      </c>
      <c r="P272" s="1" t="str">
        <f>"  يكتابتن پرشين"</f>
        <v xml:space="preserve">  يكتابتن پرشين</v>
      </c>
      <c r="Q272" s="1">
        <v>62</v>
      </c>
      <c r="R272" s="1" t="str">
        <f>"فروش داخلي - سازمان بنيادمسكن انقلاب اسلامي"</f>
        <v>فروش داخلي - سازمان بنيادمسكن انقلاب اسلامي</v>
      </c>
      <c r="S272" s="1" t="str">
        <f>"قرارداد فروش"</f>
        <v>قرارداد فروش</v>
      </c>
      <c r="T272" s="1" t="str">
        <f>"ندارد"</f>
        <v>ندارد</v>
      </c>
      <c r="U272" s="1" t="str">
        <f>"عظيمي محمد(2842015)"</f>
        <v>عظيمي محمد(2842015)</v>
      </c>
      <c r="V272" s="1">
        <v>966200128</v>
      </c>
      <c r="W272" s="1">
        <v>966200128</v>
      </c>
      <c r="X272" s="1" t="str">
        <f>"1396493156"</f>
        <v>1396493156</v>
      </c>
      <c r="Y272" s="1" t="str">
        <f>"96/04/13"</f>
        <v>96/04/13</v>
      </c>
      <c r="Z272" s="1" t="str">
        <f>"14323/د"</f>
        <v>14323/د</v>
      </c>
      <c r="AA272" s="1" t="str">
        <f>"بنيادمسكن انقلاب اسلامي"</f>
        <v>بنيادمسكن انقلاب اسلامي</v>
      </c>
      <c r="AB272" s="1" t="str">
        <f>"96/04/12"</f>
        <v>96/04/12</v>
      </c>
      <c r="AC272" s="1" t="str">
        <f>"لرستان"</f>
        <v>لرستان</v>
      </c>
      <c r="AD272" s="1" t="str">
        <f>"96/04/13"</f>
        <v>96/04/13</v>
      </c>
      <c r="AE272" s="1" t="str">
        <f>"اختتام"</f>
        <v>اختتام</v>
      </c>
      <c r="AF272" s="1" t="str">
        <f>""</f>
        <v/>
      </c>
      <c r="AG272" s="1" t="str">
        <f>""</f>
        <v/>
      </c>
      <c r="AH272" s="1" t="str">
        <f>""</f>
        <v/>
      </c>
      <c r="AI272" s="1" t="str">
        <f>""</f>
        <v/>
      </c>
      <c r="AJ272" s="1" t="str">
        <f>""</f>
        <v/>
      </c>
      <c r="AK272" s="1" t="str">
        <f>""</f>
        <v/>
      </c>
    </row>
    <row r="273" spans="1:37">
      <c r="A273" s="1">
        <v>40000</v>
      </c>
      <c r="B273" s="1">
        <v>966200722</v>
      </c>
      <c r="C273" s="1" t="str">
        <f>"تخليه - کهگيلويه و بوير احمد-گچساران-روستاي خيرآباد-کارخانه آسفالت محسن زارع"</f>
        <v>تخليه - کهگيلويه و بوير احمد-گچساران-روستاي خيرآباد-کارخانه آسفالت محسن زارع</v>
      </c>
      <c r="D273" s="1">
        <v>13350</v>
      </c>
      <c r="E273" s="1">
        <v>40000</v>
      </c>
      <c r="F273" s="1">
        <v>96</v>
      </c>
      <c r="G273" s="1">
        <v>0</v>
      </c>
      <c r="H273" s="1" t="str">
        <f>"96/12/26"</f>
        <v>96/12/26</v>
      </c>
      <c r="I273" s="1" t="str">
        <f>"كيلوگرم"</f>
        <v>كيلوگرم</v>
      </c>
      <c r="J273" s="1" t="str">
        <f>"0000000076"</f>
        <v>0000000076</v>
      </c>
      <c r="K273" s="1" t="str">
        <f>"قير 60/70 - فله"</f>
        <v>قير 60/70 - فله</v>
      </c>
      <c r="L273" s="1">
        <v>100</v>
      </c>
      <c r="M273" s="1" t="str">
        <f>"مخازن قير اصفهان"</f>
        <v>مخازن قير اصفهان</v>
      </c>
      <c r="N273" s="1">
        <v>10543</v>
      </c>
      <c r="O273" s="1">
        <v>50039082</v>
      </c>
      <c r="P273" s="1" t="str">
        <f>"  پارسيان برج ايليا"</f>
        <v xml:space="preserve">  پارسيان برج ايليا</v>
      </c>
      <c r="Q273" s="1">
        <v>62</v>
      </c>
      <c r="R273" s="1" t="str">
        <f>"فروش داخلي - سازمان بنيادمسكن انقلاب اسلامي"</f>
        <v>فروش داخلي - سازمان بنيادمسكن انقلاب اسلامي</v>
      </c>
      <c r="S273" s="1" t="str">
        <f>"قرارداد فروش"</f>
        <v>قرارداد فروش</v>
      </c>
      <c r="T273" s="1" t="str">
        <f>"ندارد"</f>
        <v>ندارد</v>
      </c>
      <c r="U273" s="1" t="str">
        <f>"غلام نجفي سيامك‌‌‌‌‌‌(1881082)"</f>
        <v>غلام نجفي سيامك‌‌‌‌‌‌(1881082)</v>
      </c>
      <c r="V273" s="1">
        <v>966200722</v>
      </c>
      <c r="W273" s="1">
        <v>966200722</v>
      </c>
      <c r="X273" s="1" t="str">
        <f>"1396555392"</f>
        <v>1396555392</v>
      </c>
      <c r="Y273" s="1" t="str">
        <f>"96/12/26"</f>
        <v>96/12/26</v>
      </c>
      <c r="Z273" s="1" t="str">
        <f>"59315/د"</f>
        <v>59315/د</v>
      </c>
      <c r="AA273" s="1" t="str">
        <f>"بنيادمسكن انقلاب اسلامي"</f>
        <v>بنيادمسكن انقلاب اسلامي</v>
      </c>
      <c r="AB273" s="1" t="str">
        <f>"96/12/23"</f>
        <v>96/12/23</v>
      </c>
      <c r="AC273" s="1" t="str">
        <f>"كهكيلويه و بوير احمد"</f>
        <v>كهكيلويه و بوير احمد</v>
      </c>
      <c r="AD273" s="1" t="str">
        <f>"96/12/26"</f>
        <v>96/12/26</v>
      </c>
      <c r="AE273" s="1" t="str">
        <f>"اختتام"</f>
        <v>اختتام</v>
      </c>
      <c r="AF273" s="1" t="str">
        <f>""</f>
        <v/>
      </c>
      <c r="AG273" s="1" t="str">
        <f>""</f>
        <v/>
      </c>
      <c r="AH273" s="1" t="str">
        <f>""</f>
        <v/>
      </c>
      <c r="AI273" s="1" t="str">
        <f>""</f>
        <v/>
      </c>
      <c r="AJ273" s="1" t="str">
        <f>""</f>
        <v/>
      </c>
      <c r="AK273" s="1" t="str">
        <f>""</f>
        <v/>
      </c>
    </row>
    <row r="274" spans="1:37">
      <c r="A274" s="1">
        <v>61689</v>
      </c>
      <c r="B274" s="1">
        <v>962000255</v>
      </c>
      <c r="C274" s="1" t="str">
        <f>"تخليه خراسان جنوبي شهرستان درميان شهراسديه كارخانه شهرداري اسديه"</f>
        <v>تخليه خراسان جنوبي شهرستان درميان شهراسديه كارخانه شهرداري اسديه</v>
      </c>
      <c r="D274" s="1">
        <v>9113</v>
      </c>
      <c r="E274" s="1">
        <v>61689</v>
      </c>
      <c r="F274" s="1">
        <v>96</v>
      </c>
      <c r="G274" s="1">
        <v>0</v>
      </c>
      <c r="H274" s="1" t="str">
        <f>"96/09/08"</f>
        <v>96/09/08</v>
      </c>
      <c r="I274" s="1" t="str">
        <f>"كيلوگرم"</f>
        <v>كيلوگرم</v>
      </c>
      <c r="J274" s="1" t="str">
        <f>"0000000076"</f>
        <v>0000000076</v>
      </c>
      <c r="K274" s="1" t="str">
        <f>"قير 60/70 - فله"</f>
        <v>قير 60/70 - فله</v>
      </c>
      <c r="L274" s="1">
        <v>100</v>
      </c>
      <c r="M274" s="1" t="str">
        <f>"مخازن قير اصفهان"</f>
        <v>مخازن قير اصفهان</v>
      </c>
      <c r="N274" s="1">
        <v>10554</v>
      </c>
      <c r="O274" s="1">
        <v>50037384</v>
      </c>
      <c r="P274" s="1" t="str">
        <f>"  شهرداري گزيك"</f>
        <v xml:space="preserve">  شهرداري گزيك</v>
      </c>
      <c r="Q274" s="1">
        <v>20</v>
      </c>
      <c r="R274" s="1" t="str">
        <f>"فروش داخلي - سازمان شهرداري ها و دهياري هاي كشور"</f>
        <v>فروش داخلي - سازمان شهرداري ها و دهياري هاي كشور</v>
      </c>
      <c r="S274" s="1" t="str">
        <f>"قرارداد فروش"</f>
        <v>قرارداد فروش</v>
      </c>
      <c r="T274" s="1" t="str">
        <f>"ندارد"</f>
        <v>ندارد</v>
      </c>
      <c r="U274" s="1" t="str">
        <f>"تعاوني جم گستر (1001 ج 89)"</f>
        <v>تعاوني جم گستر (1001 ج 89)</v>
      </c>
      <c r="V274" s="1">
        <v>962000255</v>
      </c>
      <c r="W274" s="1">
        <v>962000255</v>
      </c>
      <c r="X274" s="1" t="str">
        <f>"1396514467"</f>
        <v>1396514467</v>
      </c>
      <c r="Y274" s="1" t="str">
        <f>"96/09/08"</f>
        <v>96/09/08</v>
      </c>
      <c r="Z274" s="1" t="str">
        <f>"37095مرحله دوم"</f>
        <v>37095مرحله دوم</v>
      </c>
      <c r="AA274" s="1" t="str">
        <f>"شهرداريها"</f>
        <v>شهرداريها</v>
      </c>
      <c r="AB274" s="1" t="str">
        <f>"96/09/04"</f>
        <v>96/09/04</v>
      </c>
      <c r="AC274" s="1" t="str">
        <f>"خراسان جنوبي"</f>
        <v>خراسان جنوبي</v>
      </c>
      <c r="AD274" s="1" t="str">
        <f>"96/07/03"</f>
        <v>96/07/03</v>
      </c>
      <c r="AE274" s="1" t="str">
        <f>"اختتام"</f>
        <v>اختتام</v>
      </c>
      <c r="AF274" s="1" t="str">
        <f>""</f>
        <v/>
      </c>
      <c r="AG274" s="1" t="str">
        <f>""</f>
        <v/>
      </c>
      <c r="AH274" s="1" t="str">
        <f>""</f>
        <v/>
      </c>
      <c r="AI274" s="1" t="str">
        <f>""</f>
        <v/>
      </c>
      <c r="AJ274" s="1" t="str">
        <f>""</f>
        <v/>
      </c>
      <c r="AK274" s="1" t="str">
        <f>""</f>
        <v/>
      </c>
    </row>
    <row r="275" spans="1:37">
      <c r="A275" s="1">
        <v>470000</v>
      </c>
      <c r="B275" s="1">
        <v>966200594</v>
      </c>
      <c r="C275" s="1" t="str">
        <f>"تخليه -قزوين -تاکستان-شهرک صنعتي خرمدشت-کارخانه اسفالت سريع سازان البرز"</f>
        <v>تخليه -قزوين -تاکستان-شهرک صنعتي خرمدشت-کارخانه اسفالت سريع سازان البرز</v>
      </c>
      <c r="D275" s="1">
        <v>13350</v>
      </c>
      <c r="E275" s="1">
        <v>469340</v>
      </c>
      <c r="F275" s="1">
        <v>96</v>
      </c>
      <c r="G275" s="1">
        <v>660</v>
      </c>
      <c r="H275" s="1" t="str">
        <f>"96/12/08"</f>
        <v>96/12/08</v>
      </c>
      <c r="I275" s="1" t="str">
        <f>"كيلوگرم"</f>
        <v>كيلوگرم</v>
      </c>
      <c r="J275" s="1" t="str">
        <f>"0000000076"</f>
        <v>0000000076</v>
      </c>
      <c r="K275" s="1" t="str">
        <f>"قير 60/70 - فله"</f>
        <v>قير 60/70 - فله</v>
      </c>
      <c r="L275" s="1">
        <v>100</v>
      </c>
      <c r="M275" s="1" t="str">
        <f>"مخازن قير اصفهان"</f>
        <v>مخازن قير اصفهان</v>
      </c>
      <c r="N275" s="1">
        <v>10565</v>
      </c>
      <c r="O275" s="1">
        <v>50038640</v>
      </c>
      <c r="P275" s="1" t="str">
        <f>"  سريع سازان البرز"</f>
        <v xml:space="preserve">  سريع سازان البرز</v>
      </c>
      <c r="Q275" s="1">
        <v>62</v>
      </c>
      <c r="R275" s="1" t="str">
        <f>"فروش داخلي - سازمان بنيادمسكن انقلاب اسلامي"</f>
        <v>فروش داخلي - سازمان بنيادمسكن انقلاب اسلامي</v>
      </c>
      <c r="S275" s="1" t="str">
        <f>"قرارداد فروش"</f>
        <v>قرارداد فروش</v>
      </c>
      <c r="T275" s="1" t="str">
        <f>"ندارد"</f>
        <v>ندارد</v>
      </c>
      <c r="U275" s="1" t="str">
        <f>"سليمي پارساعارف عماد(1901096)"</f>
        <v>سليمي پارساعارف عماد(1901096)</v>
      </c>
      <c r="V275" s="1">
        <v>966200594</v>
      </c>
      <c r="W275" s="1">
        <v>966200594</v>
      </c>
      <c r="X275" s="1" t="str">
        <f>"1396551022"</f>
        <v>1396551022</v>
      </c>
      <c r="Y275" s="1" t="str">
        <f>"96/12/08"</f>
        <v>96/12/08</v>
      </c>
      <c r="Z275" s="1" t="str">
        <f>"55352/د"</f>
        <v>55352/د</v>
      </c>
      <c r="AA275" s="1" t="str">
        <f>"بنيادمسكن انقلاب اسلامي"</f>
        <v>بنيادمسكن انقلاب اسلامي</v>
      </c>
      <c r="AB275" s="1" t="str">
        <f>"96/12/07"</f>
        <v>96/12/07</v>
      </c>
      <c r="AC275" s="1" t="str">
        <f>"قزوين"</f>
        <v>قزوين</v>
      </c>
      <c r="AD275" s="1" t="str">
        <f>"96/12/08"</f>
        <v>96/12/08</v>
      </c>
      <c r="AE275" s="1" t="str">
        <f>"اختتام"</f>
        <v>اختتام</v>
      </c>
      <c r="AF275" s="1" t="str">
        <f>""</f>
        <v/>
      </c>
      <c r="AG275" s="1" t="str">
        <f>""</f>
        <v/>
      </c>
      <c r="AH275" s="1" t="str">
        <f>""</f>
        <v/>
      </c>
      <c r="AI275" s="1" t="str">
        <f>""</f>
        <v/>
      </c>
      <c r="AJ275" s="1" t="str">
        <f>""</f>
        <v/>
      </c>
      <c r="AK275" s="1" t="str">
        <f>""</f>
        <v/>
      </c>
    </row>
    <row r="276" spans="1:37">
      <c r="A276" s="1">
        <v>120000</v>
      </c>
      <c r="B276" s="1">
        <v>966200658</v>
      </c>
      <c r="C276" s="1" t="str">
        <f>"تخليه-کيلومتر 18 جاده يزد-بافق"</f>
        <v>تخليه-کيلومتر 18 جاده يزد-بافق</v>
      </c>
      <c r="D276" s="1">
        <v>13350</v>
      </c>
      <c r="E276" s="1">
        <v>119400</v>
      </c>
      <c r="F276" s="1">
        <v>96</v>
      </c>
      <c r="G276" s="1">
        <v>600</v>
      </c>
      <c r="H276" s="1" t="str">
        <f>"96/12/15"</f>
        <v>96/12/15</v>
      </c>
      <c r="I276" s="1" t="str">
        <f>"كيلوگرم"</f>
        <v>كيلوگرم</v>
      </c>
      <c r="J276" s="1" t="str">
        <f>"0000000076"</f>
        <v>0000000076</v>
      </c>
      <c r="K276" s="1" t="str">
        <f>"قير 60/70 - فله"</f>
        <v>قير 60/70 - فله</v>
      </c>
      <c r="L276" s="1">
        <v>100</v>
      </c>
      <c r="M276" s="1" t="str">
        <f>"مخازن قير اصفهان"</f>
        <v>مخازن قير اصفهان</v>
      </c>
      <c r="N276" s="1">
        <v>10148</v>
      </c>
      <c r="O276" s="1">
        <v>50038786</v>
      </c>
      <c r="P276" s="1" t="str">
        <f>"  مشکين راه يزد"</f>
        <v xml:space="preserve">  مشکين راه يزد</v>
      </c>
      <c r="Q276" s="1">
        <v>62</v>
      </c>
      <c r="R276" s="1" t="str">
        <f>"فروش داخلي - سازمان بنيادمسكن انقلاب اسلامي"</f>
        <v>فروش داخلي - سازمان بنيادمسكن انقلاب اسلامي</v>
      </c>
      <c r="S276" s="1" t="str">
        <f>"قرارداد فروش"</f>
        <v>قرارداد فروش</v>
      </c>
      <c r="T276" s="1" t="str">
        <f>"ندارد"</f>
        <v>ندارد</v>
      </c>
      <c r="U276" s="1" t="str">
        <f>"عزيزي صفر(1006ج 89)"</f>
        <v>عزيزي صفر(1006ج 89)</v>
      </c>
      <c r="V276" s="1">
        <v>966200658</v>
      </c>
      <c r="W276" s="1">
        <v>966200658</v>
      </c>
      <c r="X276" s="1" t="str">
        <f>"1396552658"</f>
        <v>1396552658</v>
      </c>
      <c r="Y276" s="1" t="str">
        <f>"96/12/15"</f>
        <v>96/12/15</v>
      </c>
      <c r="Z276" s="1" t="str">
        <f>"57107/د"</f>
        <v>57107/د</v>
      </c>
      <c r="AA276" s="1" t="str">
        <f>"بنيادمسكن انقلاب اسلامي"</f>
        <v>بنيادمسكن انقلاب اسلامي</v>
      </c>
      <c r="AB276" s="1" t="str">
        <f>"96/12/15"</f>
        <v>96/12/15</v>
      </c>
      <c r="AC276" s="1" t="str">
        <f>"استان يزد"</f>
        <v>استان يزد</v>
      </c>
      <c r="AD276" s="1" t="str">
        <f>"96/12/15"</f>
        <v>96/12/15</v>
      </c>
      <c r="AE276" s="1" t="str">
        <f>"اختتام"</f>
        <v>اختتام</v>
      </c>
      <c r="AF276" s="1" t="str">
        <f>""</f>
        <v/>
      </c>
      <c r="AG276" s="1" t="str">
        <f>""</f>
        <v/>
      </c>
      <c r="AH276" s="1" t="str">
        <f>""</f>
        <v/>
      </c>
      <c r="AI276" s="1" t="str">
        <f>""</f>
        <v/>
      </c>
      <c r="AJ276" s="1" t="str">
        <f>""</f>
        <v/>
      </c>
      <c r="AK276" s="1" t="str">
        <f>""</f>
        <v/>
      </c>
    </row>
    <row r="277" spans="1:37">
      <c r="A277" s="1">
        <v>60000</v>
      </c>
      <c r="B277" s="1">
        <v>966200480</v>
      </c>
      <c r="C277" s="1" t="str">
        <f>"تخليه -كهگيلويه وبويراحمدشهرستان باشت روستاي سراب بيزكارخانه آسفالت سيدفخرالدين حسيني"</f>
        <v>تخليه -كهگيلويه وبويراحمدشهرستان باشت روستاي سراب بيزكارخانه آسفالت سيدفخرالدين حسيني</v>
      </c>
      <c r="D277" s="1">
        <v>12820</v>
      </c>
      <c r="E277" s="1">
        <v>59440</v>
      </c>
      <c r="F277" s="1">
        <v>96</v>
      </c>
      <c r="G277" s="1">
        <v>560</v>
      </c>
      <c r="H277" s="1" t="str">
        <f>"96/09/27"</f>
        <v>96/09/27</v>
      </c>
      <c r="I277" s="1" t="str">
        <f>"كيلوگرم"</f>
        <v>كيلوگرم</v>
      </c>
      <c r="J277" s="1" t="str">
        <f>"0000000076"</f>
        <v>0000000076</v>
      </c>
      <c r="K277" s="1" t="str">
        <f>"قير 60/70 - فله"</f>
        <v>قير 60/70 - فله</v>
      </c>
      <c r="L277" s="1">
        <v>100</v>
      </c>
      <c r="M277" s="1" t="str">
        <f>"مخازن قير اصفهان"</f>
        <v>مخازن قير اصفهان</v>
      </c>
      <c r="N277" s="1">
        <v>10595</v>
      </c>
      <c r="O277" s="1">
        <v>50037925</v>
      </c>
      <c r="P277" s="1" t="str">
        <f>"  اميدنصرمهدي"</f>
        <v xml:space="preserve">  اميدنصرمهدي</v>
      </c>
      <c r="Q277" s="1">
        <v>62</v>
      </c>
      <c r="R277" s="1" t="str">
        <f>"فروش داخلي - سازمان بنيادمسكن انقلاب اسلامي"</f>
        <v>فروش داخلي - سازمان بنيادمسكن انقلاب اسلامي</v>
      </c>
      <c r="S277" s="1" t="str">
        <f>"قرارداد فروش"</f>
        <v>قرارداد فروش</v>
      </c>
      <c r="T277" s="1" t="str">
        <f>"ندارد"</f>
        <v>ندارد</v>
      </c>
      <c r="U277" s="1" t="str">
        <f>"غلام نجفي سيامك‌‌‌‌‌‌(1881082)"</f>
        <v>غلام نجفي سيامك‌‌‌‌‌‌(1881082)</v>
      </c>
      <c r="V277" s="1">
        <v>966200480</v>
      </c>
      <c r="W277" s="1">
        <v>966200480</v>
      </c>
      <c r="X277" s="1" t="str">
        <f>"1396533043"</f>
        <v>1396533043</v>
      </c>
      <c r="Y277" s="1" t="str">
        <f>"96/09/27"</f>
        <v>96/09/27</v>
      </c>
      <c r="Z277" s="1" t="str">
        <f>"42443/د"</f>
        <v>42443/د</v>
      </c>
      <c r="AA277" s="1" t="str">
        <f>"بنيادمسكن انقلاب اسلامي"</f>
        <v>بنيادمسكن انقلاب اسلامي</v>
      </c>
      <c r="AB277" s="1" t="str">
        <f>"96/09/26"</f>
        <v>96/09/26</v>
      </c>
      <c r="AC277" s="1" t="str">
        <f>"كهكيلويه و بوير احمد"</f>
        <v>كهكيلويه و بوير احمد</v>
      </c>
      <c r="AD277" s="1" t="str">
        <f>"96/09/27"</f>
        <v>96/09/27</v>
      </c>
      <c r="AE277" s="1" t="str">
        <f>"اختتام"</f>
        <v>اختتام</v>
      </c>
      <c r="AF277" s="1" t="str">
        <f>""</f>
        <v/>
      </c>
      <c r="AG277" s="1" t="str">
        <f>""</f>
        <v/>
      </c>
      <c r="AH277" s="1" t="str">
        <f>""</f>
        <v/>
      </c>
      <c r="AI277" s="1" t="str">
        <f>""</f>
        <v/>
      </c>
      <c r="AJ277" s="1" t="str">
        <f>""</f>
        <v/>
      </c>
      <c r="AK277" s="1" t="str">
        <f>""</f>
        <v/>
      </c>
    </row>
    <row r="278" spans="1:37">
      <c r="A278" s="1">
        <v>107511</v>
      </c>
      <c r="B278" s="1">
        <v>962000085</v>
      </c>
      <c r="C278" s="1" t="str">
        <f>"تخليه - اصفهان -کيلومتر 12 شهرضا-کارخانه آسفالت گلابي"</f>
        <v>تخليه - اصفهان -کيلومتر 12 شهرضا-کارخانه آسفالت گلابي</v>
      </c>
      <c r="D278" s="1">
        <v>9113</v>
      </c>
      <c r="E278" s="1">
        <v>107511</v>
      </c>
      <c r="F278" s="1">
        <v>96</v>
      </c>
      <c r="G278" s="1">
        <v>0</v>
      </c>
      <c r="H278" s="1" t="str">
        <f>"96/07/03"</f>
        <v>96/07/03</v>
      </c>
      <c r="I278" s="1" t="str">
        <f>"كيلوگرم"</f>
        <v>كيلوگرم</v>
      </c>
      <c r="J278" s="1" t="str">
        <f>"0000000076"</f>
        <v>0000000076</v>
      </c>
      <c r="K278" s="1" t="str">
        <f>"قير 60/70 - فله"</f>
        <v>قير 60/70 - فله</v>
      </c>
      <c r="L278" s="1">
        <v>100</v>
      </c>
      <c r="M278" s="1" t="str">
        <f>"مخازن قير اصفهان"</f>
        <v>مخازن قير اصفهان</v>
      </c>
      <c r="N278" s="1">
        <v>10651</v>
      </c>
      <c r="O278" s="1">
        <v>50036239</v>
      </c>
      <c r="P278" s="1" t="str">
        <f>"  شهرداري منظريه"</f>
        <v xml:space="preserve">  شهرداري منظريه</v>
      </c>
      <c r="Q278" s="1">
        <v>20</v>
      </c>
      <c r="R278" s="1" t="str">
        <f>"فروش داخلي - سازمان شهرداري ها و دهياري هاي كشور"</f>
        <v>فروش داخلي - سازمان شهرداري ها و دهياري هاي كشور</v>
      </c>
      <c r="S278" s="1" t="str">
        <f>"قرارداد فروش"</f>
        <v>قرارداد فروش</v>
      </c>
      <c r="T278" s="1" t="str">
        <f>"ندارد"</f>
        <v>ندارد</v>
      </c>
      <c r="U278" s="1" t="str">
        <f>"تعاوني جم گستر (1001 ج 89)"</f>
        <v>تعاوني جم گستر (1001 ج 89)</v>
      </c>
      <c r="V278" s="1">
        <v>962000085</v>
      </c>
      <c r="W278" s="1">
        <v>962000085</v>
      </c>
      <c r="X278" s="1" t="str">
        <f>"1396514467"</f>
        <v>1396514467</v>
      </c>
      <c r="Y278" s="1" t="str">
        <f>"96/07/03"</f>
        <v>96/07/03</v>
      </c>
      <c r="Z278" s="1" t="str">
        <f>"26649مرحله اول"</f>
        <v>26649مرحله اول</v>
      </c>
      <c r="AA278" s="1" t="str">
        <f>"شهرداريها"</f>
        <v>شهرداريها</v>
      </c>
      <c r="AB278" s="1" t="str">
        <f>"96/06/29"</f>
        <v>96/06/29</v>
      </c>
      <c r="AC278" s="1" t="str">
        <f>"استان اصفهان"</f>
        <v>استان اصفهان</v>
      </c>
      <c r="AD278" s="1" t="str">
        <f>"96/07/03"</f>
        <v>96/07/03</v>
      </c>
      <c r="AE278" s="1" t="str">
        <f>"اختتام"</f>
        <v>اختتام</v>
      </c>
      <c r="AF278" s="1" t="str">
        <f>""</f>
        <v/>
      </c>
      <c r="AG278" s="1" t="str">
        <f>""</f>
        <v/>
      </c>
      <c r="AH278" s="1" t="str">
        <f>""</f>
        <v/>
      </c>
      <c r="AI278" s="1" t="str">
        <f>""</f>
        <v/>
      </c>
      <c r="AJ278" s="1" t="str">
        <f>""</f>
        <v/>
      </c>
      <c r="AK278" s="1" t="str">
        <f>""</f>
        <v/>
      </c>
    </row>
    <row r="279" spans="1:37">
      <c r="A279" s="1">
        <v>102038</v>
      </c>
      <c r="B279" s="1">
        <v>962000096</v>
      </c>
      <c r="C279" s="1" t="str">
        <f>"تخليه - اصفهان- شهرضا امام زاده علي اکبر ابتداي جاده نصرآباد"</f>
        <v>تخليه - اصفهان- شهرضا امام زاده علي اکبر ابتداي جاده نصرآباد</v>
      </c>
      <c r="D279" s="1">
        <v>9113</v>
      </c>
      <c r="E279" s="1">
        <v>102038</v>
      </c>
      <c r="F279" s="1">
        <v>96</v>
      </c>
      <c r="G279" s="1">
        <v>0</v>
      </c>
      <c r="H279" s="1" t="str">
        <f>"96/07/03"</f>
        <v>96/07/03</v>
      </c>
      <c r="I279" s="1" t="str">
        <f>"كيلوگرم"</f>
        <v>كيلوگرم</v>
      </c>
      <c r="J279" s="1" t="str">
        <f>"0000000076"</f>
        <v>0000000076</v>
      </c>
      <c r="K279" s="1" t="str">
        <f>"قير 60/70 - فله"</f>
        <v>قير 60/70 - فله</v>
      </c>
      <c r="L279" s="1">
        <v>100</v>
      </c>
      <c r="M279" s="1" t="str">
        <f>"مخازن قير اصفهان"</f>
        <v>مخازن قير اصفهان</v>
      </c>
      <c r="N279" s="1">
        <v>10652</v>
      </c>
      <c r="O279" s="1">
        <v>50036250</v>
      </c>
      <c r="P279" s="1" t="str">
        <f>"  شهرداري ونك"</f>
        <v xml:space="preserve">  شهرداري ونك</v>
      </c>
      <c r="Q279" s="1">
        <v>20</v>
      </c>
      <c r="R279" s="1" t="str">
        <f>"فروش داخلي - سازمان شهرداري ها و دهياري هاي كشور"</f>
        <v>فروش داخلي - سازمان شهرداري ها و دهياري هاي كشور</v>
      </c>
      <c r="S279" s="1" t="str">
        <f>"قرارداد فروش"</f>
        <v>قرارداد فروش</v>
      </c>
      <c r="T279" s="1" t="str">
        <f>"ندارد"</f>
        <v>ندارد</v>
      </c>
      <c r="U279" s="1" t="str">
        <f>"تعاوني جم گستر (1001 ج 89)"</f>
        <v>تعاوني جم گستر (1001 ج 89)</v>
      </c>
      <c r="V279" s="1">
        <v>962000096</v>
      </c>
      <c r="W279" s="1">
        <v>962000096</v>
      </c>
      <c r="X279" s="1" t="str">
        <f>"1396514467"</f>
        <v>1396514467</v>
      </c>
      <c r="Y279" s="1" t="str">
        <f>"96/07/03"</f>
        <v>96/07/03</v>
      </c>
      <c r="Z279" s="1" t="str">
        <f>"26659مرحله اول"</f>
        <v>26659مرحله اول</v>
      </c>
      <c r="AA279" s="1" t="str">
        <f>"شهرداريها"</f>
        <v>شهرداريها</v>
      </c>
      <c r="AB279" s="1" t="str">
        <f>"96/06/29"</f>
        <v>96/06/29</v>
      </c>
      <c r="AC279" s="1" t="str">
        <f>"استان اصفهان"</f>
        <v>استان اصفهان</v>
      </c>
      <c r="AD279" s="1" t="str">
        <f>"96/07/03"</f>
        <v>96/07/03</v>
      </c>
      <c r="AE279" s="1" t="str">
        <f>"اختتام"</f>
        <v>اختتام</v>
      </c>
      <c r="AF279" s="1" t="str">
        <f>""</f>
        <v/>
      </c>
      <c r="AG279" s="1" t="str">
        <f>""</f>
        <v/>
      </c>
      <c r="AH279" s="1" t="str">
        <f>""</f>
        <v/>
      </c>
      <c r="AI279" s="1" t="str">
        <f>""</f>
        <v/>
      </c>
      <c r="AJ279" s="1" t="str">
        <f>""</f>
        <v/>
      </c>
      <c r="AK279" s="1" t="str">
        <f>""</f>
        <v/>
      </c>
    </row>
    <row r="280" spans="1:37">
      <c r="A280" s="1">
        <v>116000</v>
      </c>
      <c r="B280" s="1">
        <v>966200455</v>
      </c>
      <c r="C280" s="1" t="str">
        <f>"تخليه -سيستان وبلوچستان -هامون شهرمحمدآباد-كيلومتر5روستاي شهرك مير-كارخانه آسفالت برادران طباطبائي"</f>
        <v>تخليه -سيستان وبلوچستان -هامون شهرمحمدآباد-كيلومتر5روستاي شهرك مير-كارخانه آسفالت برادران طباطبائي</v>
      </c>
      <c r="D280" s="1">
        <v>12820</v>
      </c>
      <c r="E280" s="1">
        <v>115240</v>
      </c>
      <c r="F280" s="1">
        <v>96</v>
      </c>
      <c r="G280" s="1">
        <v>760</v>
      </c>
      <c r="H280" s="1" t="str">
        <f>"96/09/26"</f>
        <v>96/09/26</v>
      </c>
      <c r="I280" s="1" t="str">
        <f>"كيلوگرم"</f>
        <v>كيلوگرم</v>
      </c>
      <c r="J280" s="1" t="str">
        <f>"0000000076"</f>
        <v>0000000076</v>
      </c>
      <c r="K280" s="1" t="str">
        <f>"قير 60/70 - فله"</f>
        <v>قير 60/70 - فله</v>
      </c>
      <c r="L280" s="1">
        <v>100</v>
      </c>
      <c r="M280" s="1" t="str">
        <f>"مخازن قير اصفهان"</f>
        <v>مخازن قير اصفهان</v>
      </c>
      <c r="N280" s="1">
        <v>10421</v>
      </c>
      <c r="O280" s="1">
        <v>50037885</v>
      </c>
      <c r="P280" s="1" t="str">
        <f>"  تعاوني راه وساختمان  3136سيستان سازه زابل"</f>
        <v xml:space="preserve">  تعاوني راه وساختمان  3136سيستان سازه زابل</v>
      </c>
      <c r="Q280" s="1">
        <v>62</v>
      </c>
      <c r="R280" s="1" t="str">
        <f>"فروش داخلي - سازمان بنيادمسكن انقلاب اسلامي"</f>
        <v>فروش داخلي - سازمان بنيادمسكن انقلاب اسلامي</v>
      </c>
      <c r="S280" s="1" t="str">
        <f>"قرارداد فروش"</f>
        <v>قرارداد فروش</v>
      </c>
      <c r="T280" s="1" t="str">
        <f>"ندارد"</f>
        <v>ندارد</v>
      </c>
      <c r="U280" s="1" t="str">
        <f>"قانعي محمدرضا(1011ج89)"</f>
        <v>قانعي محمدرضا(1011ج89)</v>
      </c>
      <c r="V280" s="1">
        <v>966200455</v>
      </c>
      <c r="W280" s="1">
        <v>966200455</v>
      </c>
      <c r="X280" s="1" t="str">
        <f>"1396532937"</f>
        <v>1396532937</v>
      </c>
      <c r="Y280" s="1" t="str">
        <f>"96/09/26"</f>
        <v>96/09/26</v>
      </c>
      <c r="Z280" s="1" t="str">
        <f>"42287/د"</f>
        <v>42287/د</v>
      </c>
      <c r="AA280" s="1" t="str">
        <f>"بنيادمسكن انقلاب اسلامي"</f>
        <v>بنيادمسكن انقلاب اسلامي</v>
      </c>
      <c r="AB280" s="1" t="str">
        <f>"96/09/25"</f>
        <v>96/09/25</v>
      </c>
      <c r="AC280" s="1" t="str">
        <f>"استان سيستان بلوچستان"</f>
        <v>استان سيستان بلوچستان</v>
      </c>
      <c r="AD280" s="1" t="str">
        <f>"96/09/26"</f>
        <v>96/09/26</v>
      </c>
      <c r="AE280" s="1" t="str">
        <f>"اختتام"</f>
        <v>اختتام</v>
      </c>
      <c r="AF280" s="1" t="str">
        <f>""</f>
        <v/>
      </c>
      <c r="AG280" s="1" t="str">
        <f>""</f>
        <v/>
      </c>
      <c r="AH280" s="1" t="str">
        <f>""</f>
        <v/>
      </c>
      <c r="AI280" s="1" t="str">
        <f>""</f>
        <v/>
      </c>
      <c r="AJ280" s="1" t="str">
        <f>""</f>
        <v/>
      </c>
      <c r="AK280" s="1" t="str">
        <f>""</f>
        <v/>
      </c>
    </row>
    <row r="281" spans="1:37">
      <c r="A281" s="1">
        <v>120000</v>
      </c>
      <c r="B281" s="1">
        <v>961100036</v>
      </c>
      <c r="C281" s="1" t="str">
        <f>"تهران -جاده امام رضا-نرسيده به شريف آباد-شركت بازيافت وابنيه تهران"</f>
        <v>تهران -جاده امام رضا-نرسيده به شريف آباد-شركت بازيافت وابنيه تهران</v>
      </c>
      <c r="D281" s="1">
        <v>8704</v>
      </c>
      <c r="E281" s="1">
        <v>118700</v>
      </c>
      <c r="F281" s="1">
        <v>96</v>
      </c>
      <c r="G281" s="1">
        <v>1300</v>
      </c>
      <c r="H281" s="1" t="str">
        <f>"96/04/18"</f>
        <v>96/04/18</v>
      </c>
      <c r="I281" s="1" t="str">
        <f>"كيلوگرم"</f>
        <v>كيلوگرم</v>
      </c>
      <c r="J281" s="1" t="str">
        <f>"0000000076"</f>
        <v>0000000076</v>
      </c>
      <c r="K281" s="1" t="str">
        <f>"قير 60/70 - فله"</f>
        <v>قير 60/70 - فله</v>
      </c>
      <c r="L281" s="1">
        <v>100</v>
      </c>
      <c r="M281" s="1" t="str">
        <f>"مخازن قير اصفهان"</f>
        <v>مخازن قير اصفهان</v>
      </c>
      <c r="N281" s="1">
        <v>8725</v>
      </c>
      <c r="O281" s="1">
        <v>50035147</v>
      </c>
      <c r="P281" s="1" t="str">
        <f>"  بازيافت وابنيه تهران"</f>
        <v xml:space="preserve">  بازيافت وابنيه تهران</v>
      </c>
      <c r="Q281" s="1">
        <v>11</v>
      </c>
      <c r="R281" s="1" t="str">
        <f>"فروش داخلي تهران - بورس"</f>
        <v>فروش داخلي تهران - بورس</v>
      </c>
      <c r="S281" s="1" t="str">
        <f>"قرارداد فروش"</f>
        <v>قرارداد فروش</v>
      </c>
      <c r="T281" s="1" t="str">
        <f>"ندارد"</f>
        <v>ندارد</v>
      </c>
      <c r="U281" s="1" t="str">
        <f>"(دارابي) اسماعيل(2842035)"</f>
        <v>(دارابي) اسماعيل(2842035)</v>
      </c>
      <c r="V281" s="1">
        <v>961100036</v>
      </c>
      <c r="W281" s="1">
        <v>961100036</v>
      </c>
      <c r="X281" s="1" t="str">
        <f>"1396494669"</f>
        <v>1396494669</v>
      </c>
      <c r="Y281" s="1" t="str">
        <f>"96/04/18"</f>
        <v>96/04/18</v>
      </c>
      <c r="Z281" s="1" t="str">
        <f>"6239"</f>
        <v>6239</v>
      </c>
      <c r="AA281" s="1" t="str">
        <f>"وزارت راه و ترابري-استانها"</f>
        <v>وزارت راه و ترابري-استانها</v>
      </c>
      <c r="AB281" s="1" t="str">
        <f>"96/04/17"</f>
        <v>96/04/17</v>
      </c>
      <c r="AC281" s="1" t="str">
        <f>"استان تهران"</f>
        <v>استان تهران</v>
      </c>
      <c r="AD281" s="1" t="str">
        <f>"96/04/18"</f>
        <v>96/04/18</v>
      </c>
      <c r="AE281" s="1" t="str">
        <f>"اختتام"</f>
        <v>اختتام</v>
      </c>
      <c r="AF281" s="1" t="str">
        <f>""</f>
        <v/>
      </c>
      <c r="AG281" s="1" t="str">
        <f>""</f>
        <v/>
      </c>
      <c r="AH281" s="1" t="str">
        <f>""</f>
        <v/>
      </c>
      <c r="AI281" s="1" t="str">
        <f>""</f>
        <v/>
      </c>
      <c r="AJ281" s="1" t="str">
        <f>""</f>
        <v/>
      </c>
      <c r="AK281" s="1" t="str">
        <f>""</f>
        <v/>
      </c>
    </row>
    <row r="282" spans="1:37">
      <c r="A282" s="1">
        <v>36641</v>
      </c>
      <c r="B282" s="1">
        <v>962000444</v>
      </c>
      <c r="C282" s="1" t="str">
        <f>"تخليه - اصفهان - کارخانه آسفالت شهرداري  فريدونشهر"</f>
        <v>تخليه - اصفهان - کارخانه آسفالت شهرداري  فريدونشهر</v>
      </c>
      <c r="D282" s="1">
        <v>12820</v>
      </c>
      <c r="E282" s="1">
        <v>36148</v>
      </c>
      <c r="F282" s="1">
        <v>96</v>
      </c>
      <c r="G282" s="1">
        <v>493</v>
      </c>
      <c r="H282" s="1" t="str">
        <f>"96/09/20"</f>
        <v>96/09/20</v>
      </c>
      <c r="I282" s="1" t="str">
        <f>"كيلوگرم"</f>
        <v>كيلوگرم</v>
      </c>
      <c r="J282" s="1" t="str">
        <f>"0000000076"</f>
        <v>0000000076</v>
      </c>
      <c r="K282" s="1" t="str">
        <f>"قير 60/70 - فله"</f>
        <v>قير 60/70 - فله</v>
      </c>
      <c r="L282" s="1">
        <v>100</v>
      </c>
      <c r="M282" s="1" t="str">
        <f>"مخازن قير اصفهان"</f>
        <v>مخازن قير اصفهان</v>
      </c>
      <c r="N282" s="1">
        <v>10817</v>
      </c>
      <c r="O282" s="1">
        <v>50037766</v>
      </c>
      <c r="P282" s="1" t="str">
        <f>"  شهرداري افوس"</f>
        <v xml:space="preserve">  شهرداري افوس</v>
      </c>
      <c r="Q282" s="1">
        <v>20</v>
      </c>
      <c r="R282" s="1" t="str">
        <f>"فروش داخلي - سازمان شهرداري ها و دهياري هاي كشور"</f>
        <v>فروش داخلي - سازمان شهرداري ها و دهياري هاي كشور</v>
      </c>
      <c r="S282" s="1" t="str">
        <f>"قرارداد فروش"</f>
        <v>قرارداد فروش</v>
      </c>
      <c r="T282" s="1" t="str">
        <f>"ندارد"</f>
        <v>ندارد</v>
      </c>
      <c r="U282" s="1" t="str">
        <f>"تعاوني جم گستر (1001 ج 89)"</f>
        <v>تعاوني جم گستر (1001 ج 89)</v>
      </c>
      <c r="V282" s="1">
        <v>962000444</v>
      </c>
      <c r="W282" s="1">
        <v>962000444</v>
      </c>
      <c r="X282" s="1" t="str">
        <f>"1396529711"</f>
        <v>1396529711</v>
      </c>
      <c r="Y282" s="1" t="str">
        <f>"96/09/20"</f>
        <v>96/09/20</v>
      </c>
      <c r="Z282" s="1" t="str">
        <f>"37108مرحله دوم"</f>
        <v>37108مرحله دوم</v>
      </c>
      <c r="AA282" s="1" t="str">
        <f>"شهرداريها"</f>
        <v>شهرداريها</v>
      </c>
      <c r="AB282" s="1" t="str">
        <f>"96/09/04"</f>
        <v>96/09/04</v>
      </c>
      <c r="AC282" s="1" t="str">
        <f>"استان اصفهان"</f>
        <v>استان اصفهان</v>
      </c>
      <c r="AD282" s="1" t="str">
        <f>"96/09/13"</f>
        <v>96/09/13</v>
      </c>
      <c r="AE282" s="1" t="str">
        <f>"تاييدشده"</f>
        <v>تاييدشده</v>
      </c>
      <c r="AF282" s="1" t="str">
        <f>""</f>
        <v/>
      </c>
      <c r="AG282" s="1" t="str">
        <f>""</f>
        <v/>
      </c>
      <c r="AH282" s="1" t="str">
        <f>""</f>
        <v/>
      </c>
      <c r="AI282" s="1" t="str">
        <f>""</f>
        <v/>
      </c>
      <c r="AJ282" s="1" t="str">
        <f>""</f>
        <v/>
      </c>
      <c r="AK282" s="1" t="str">
        <f>""</f>
        <v/>
      </c>
    </row>
    <row r="283" spans="1:37">
      <c r="A283" s="1">
        <v>110000</v>
      </c>
      <c r="B283" s="1">
        <v>966300057</v>
      </c>
      <c r="C283" s="1" t="str">
        <f>"تخليه آباده شيرازسورمق روبروي كارخانه سيمان شركت توليدي عايق هاي رطوبتي شرق دنيا"</f>
        <v>تخليه آباده شيرازسورمق روبروي كارخانه سيمان شركت توليدي عايق هاي رطوبتي شرق دنيا</v>
      </c>
      <c r="D283" s="1">
        <v>13200</v>
      </c>
      <c r="E283" s="1">
        <v>110000</v>
      </c>
      <c r="F283" s="1">
        <v>96</v>
      </c>
      <c r="G283" s="1">
        <v>0</v>
      </c>
      <c r="H283" s="1" t="str">
        <f>"96/11/07"</f>
        <v>96/11/07</v>
      </c>
      <c r="I283" s="1" t="str">
        <f>"كيلوگرم"</f>
        <v>كيلوگرم</v>
      </c>
      <c r="J283" s="1" t="str">
        <f>"0000000076"</f>
        <v>0000000076</v>
      </c>
      <c r="K283" s="1" t="str">
        <f>"قير 60/70 - فله"</f>
        <v>قير 60/70 - فله</v>
      </c>
      <c r="L283" s="1">
        <v>100</v>
      </c>
      <c r="M283" s="1" t="str">
        <f>"مخازن قير اصفهان"</f>
        <v>مخازن قير اصفهان</v>
      </c>
      <c r="N283" s="1">
        <v>10210</v>
      </c>
      <c r="O283" s="1">
        <v>50038312</v>
      </c>
      <c r="P283" s="1" t="str">
        <f>"  عايق هاي رطوبتي شرق دنيا"</f>
        <v xml:space="preserve">  عايق هاي رطوبتي شرق دنيا</v>
      </c>
      <c r="Q283" s="1">
        <v>63</v>
      </c>
      <c r="R283" s="1" t="str">
        <f>"سازمان نوسازي،توسعه و تجهيز مدارس كشور"</f>
        <v>سازمان نوسازي،توسعه و تجهيز مدارس كشور</v>
      </c>
      <c r="S283" s="1" t="str">
        <f>"قرارداد فروش"</f>
        <v>قرارداد فروش</v>
      </c>
      <c r="T283" s="1" t="str">
        <f>"ندارد"</f>
        <v>ندارد</v>
      </c>
      <c r="U283" s="1" t="str">
        <f>"بابامحمدي عنايت اله(4844000)"</f>
        <v>بابامحمدي عنايت اله(4844000)</v>
      </c>
      <c r="V283" s="1">
        <v>966300057</v>
      </c>
      <c r="W283" s="1">
        <v>966300057</v>
      </c>
      <c r="X283" s="1" t="str">
        <f>"1396543188"</f>
        <v>1396543188</v>
      </c>
      <c r="Y283" s="1" t="str">
        <f>"96/11/07"</f>
        <v>96/11/07</v>
      </c>
      <c r="Z283" s="1" t="str">
        <f>"9681/1"</f>
        <v>9681/1</v>
      </c>
      <c r="AA283" s="1" t="str">
        <f>"سازمان نوسازي توسعه وتجهيزمدارس كشور"</f>
        <v>سازمان نوسازي توسعه وتجهيزمدارس كشور</v>
      </c>
      <c r="AB283" s="1" t="str">
        <f>"96/10/28"</f>
        <v>96/10/28</v>
      </c>
      <c r="AC283" s="1" t="str">
        <f>"استان يزد"</f>
        <v>استان يزد</v>
      </c>
      <c r="AD283" s="1" t="str">
        <f>"96/11/04"</f>
        <v>96/11/04</v>
      </c>
      <c r="AE283" s="1" t="str">
        <f>"اختتام"</f>
        <v>اختتام</v>
      </c>
      <c r="AF283" s="1" t="str">
        <f>""</f>
        <v/>
      </c>
      <c r="AG283" s="1" t="str">
        <f>""</f>
        <v/>
      </c>
      <c r="AH283" s="1" t="str">
        <f>""</f>
        <v/>
      </c>
      <c r="AI283" s="1" t="str">
        <f>""</f>
        <v/>
      </c>
      <c r="AJ283" s="1" t="str">
        <f>""</f>
        <v/>
      </c>
      <c r="AK283" s="1" t="str">
        <f>""</f>
        <v/>
      </c>
    </row>
    <row r="284" spans="1:37">
      <c r="A284" s="1">
        <v>99979</v>
      </c>
      <c r="B284" s="1">
        <v>962000055</v>
      </c>
      <c r="C284" s="1" t="str">
        <f>"تخليه اصفهان روبروي پليس راه اصفهان تهران جاده علويجه كيلومتر12كارهانه آسفالت افق راه ماندگار"</f>
        <v>تخليه اصفهان روبروي پليس راه اصفهان تهران جاده علويجه كيلومتر12كارهانه آسفالت افق راه ماندگار</v>
      </c>
      <c r="D284" s="1">
        <v>9113</v>
      </c>
      <c r="E284" s="1">
        <v>99979</v>
      </c>
      <c r="F284" s="1">
        <v>96</v>
      </c>
      <c r="G284" s="1">
        <v>0</v>
      </c>
      <c r="H284" s="1" t="str">
        <f>"96/07/03"</f>
        <v>96/07/03</v>
      </c>
      <c r="I284" s="1" t="str">
        <f>"كيلوگرم"</f>
        <v>كيلوگرم</v>
      </c>
      <c r="J284" s="1" t="str">
        <f>"0000000076"</f>
        <v>0000000076</v>
      </c>
      <c r="K284" s="1" t="str">
        <f>"قير 60/70 - فله"</f>
        <v>قير 60/70 - فله</v>
      </c>
      <c r="L284" s="1">
        <v>100</v>
      </c>
      <c r="M284" s="1" t="str">
        <f>"مخازن قير اصفهان"</f>
        <v>مخازن قير اصفهان</v>
      </c>
      <c r="N284" s="1">
        <v>10660</v>
      </c>
      <c r="O284" s="1">
        <v>50036203</v>
      </c>
      <c r="P284" s="1" t="str">
        <f>"  شهرداري سين"</f>
        <v xml:space="preserve">  شهرداري سين</v>
      </c>
      <c r="Q284" s="1">
        <v>20</v>
      </c>
      <c r="R284" s="1" t="str">
        <f>"فروش داخلي - سازمان شهرداري ها و دهياري هاي كشور"</f>
        <v>فروش داخلي - سازمان شهرداري ها و دهياري هاي كشور</v>
      </c>
      <c r="S284" s="1" t="str">
        <f>"قرارداد فروش"</f>
        <v>قرارداد فروش</v>
      </c>
      <c r="T284" s="1" t="str">
        <f>"ندارد"</f>
        <v>ندارد</v>
      </c>
      <c r="U284" s="1" t="str">
        <f>"تعاوني جم گستر (1001 ج 89)"</f>
        <v>تعاوني جم گستر (1001 ج 89)</v>
      </c>
      <c r="V284" s="1">
        <v>962000055</v>
      </c>
      <c r="W284" s="1">
        <v>962000055</v>
      </c>
      <c r="X284" s="1" t="str">
        <f>"1396514467"</f>
        <v>1396514467</v>
      </c>
      <c r="Y284" s="1" t="str">
        <f>"96/07/03"</f>
        <v>96/07/03</v>
      </c>
      <c r="Z284" s="1" t="str">
        <f>"26766مرحله اول"</f>
        <v>26766مرحله اول</v>
      </c>
      <c r="AA284" s="1" t="str">
        <f>"شهرداريها"</f>
        <v>شهرداريها</v>
      </c>
      <c r="AB284" s="1" t="str">
        <f>"96/06/29"</f>
        <v>96/06/29</v>
      </c>
      <c r="AC284" s="1" t="str">
        <f>"استان اصفهان"</f>
        <v>استان اصفهان</v>
      </c>
      <c r="AD284" s="1" t="str">
        <f>"96/07/03"</f>
        <v>96/07/03</v>
      </c>
      <c r="AE284" s="1" t="str">
        <f>"اختتام"</f>
        <v>اختتام</v>
      </c>
      <c r="AF284" s="1" t="str">
        <f>""</f>
        <v/>
      </c>
      <c r="AG284" s="1" t="str">
        <f>""</f>
        <v/>
      </c>
      <c r="AH284" s="1" t="str">
        <f>""</f>
        <v/>
      </c>
      <c r="AI284" s="1" t="str">
        <f>""</f>
        <v/>
      </c>
      <c r="AJ284" s="1" t="str">
        <f>""</f>
        <v/>
      </c>
      <c r="AK284" s="1" t="str">
        <f>""</f>
        <v/>
      </c>
    </row>
    <row r="285" spans="1:37">
      <c r="A285" s="1">
        <v>102590</v>
      </c>
      <c r="B285" s="1">
        <v>962000202</v>
      </c>
      <c r="C285" s="1" t="str">
        <f>"تخليه كرمان شهربابك كمربندي خاتون آبادشركت راهسازي پ -بل"</f>
        <v>تخليه كرمان شهربابك كمربندي خاتون آبادشركت راهسازي پ -بل</v>
      </c>
      <c r="D285" s="1">
        <v>9113</v>
      </c>
      <c r="E285" s="1">
        <v>102590</v>
      </c>
      <c r="F285" s="1">
        <v>96</v>
      </c>
      <c r="G285" s="1">
        <v>0</v>
      </c>
      <c r="H285" s="1" t="str">
        <f>"96/07/03"</f>
        <v>96/07/03</v>
      </c>
      <c r="I285" s="1" t="str">
        <f>"كيلوگرم"</f>
        <v>كيلوگرم</v>
      </c>
      <c r="J285" s="1" t="str">
        <f>"0000000076"</f>
        <v>0000000076</v>
      </c>
      <c r="K285" s="1" t="str">
        <f>"قير 60/70 - فله"</f>
        <v>قير 60/70 - فله</v>
      </c>
      <c r="L285" s="1">
        <v>100</v>
      </c>
      <c r="M285" s="1" t="str">
        <f>"مخازن قير اصفهان"</f>
        <v>مخازن قير اصفهان</v>
      </c>
      <c r="N285" s="1">
        <v>10835</v>
      </c>
      <c r="O285" s="1">
        <v>50036431</v>
      </c>
      <c r="P285" s="1" t="str">
        <f>"  شهرداري جوزم"</f>
        <v xml:space="preserve">  شهرداري جوزم</v>
      </c>
      <c r="Q285" s="1">
        <v>20</v>
      </c>
      <c r="R285" s="1" t="str">
        <f>"فروش داخلي - سازمان شهرداري ها و دهياري هاي كشور"</f>
        <v>فروش داخلي - سازمان شهرداري ها و دهياري هاي كشور</v>
      </c>
      <c r="S285" s="1" t="str">
        <f>"قرارداد فروش"</f>
        <v>قرارداد فروش</v>
      </c>
      <c r="T285" s="1" t="str">
        <f>"ندارد"</f>
        <v>ندارد</v>
      </c>
      <c r="U285" s="1" t="str">
        <f>"تعاوني جم گستر (1001 ج 89)"</f>
        <v>تعاوني جم گستر (1001 ج 89)</v>
      </c>
      <c r="V285" s="1">
        <v>962000202</v>
      </c>
      <c r="W285" s="1">
        <v>962000202</v>
      </c>
      <c r="X285" s="1" t="str">
        <f>"1396514467"</f>
        <v>1396514467</v>
      </c>
      <c r="Y285" s="1" t="str">
        <f>"96/07/03"</f>
        <v>96/07/03</v>
      </c>
      <c r="Z285" s="1" t="str">
        <f>"26795مرحله اول"</f>
        <v>26795مرحله اول</v>
      </c>
      <c r="AA285" s="1" t="str">
        <f>"شهرداريها"</f>
        <v>شهرداريها</v>
      </c>
      <c r="AB285" s="1" t="str">
        <f>"96/06/29"</f>
        <v>96/06/29</v>
      </c>
      <c r="AC285" s="1" t="str">
        <f>"استان كرمان"</f>
        <v>استان كرمان</v>
      </c>
      <c r="AD285" s="1" t="str">
        <f>"96/07/03"</f>
        <v>96/07/03</v>
      </c>
      <c r="AE285" s="1" t="str">
        <f>"اختتام"</f>
        <v>اختتام</v>
      </c>
      <c r="AF285" s="1" t="str">
        <f>""</f>
        <v/>
      </c>
      <c r="AG285" s="1" t="str">
        <f>""</f>
        <v/>
      </c>
      <c r="AH285" s="1" t="str">
        <f>""</f>
        <v/>
      </c>
      <c r="AI285" s="1" t="str">
        <f>""</f>
        <v/>
      </c>
      <c r="AJ285" s="1" t="str">
        <f>""</f>
        <v/>
      </c>
      <c r="AK285" s="1" t="str">
        <f>""</f>
        <v/>
      </c>
    </row>
    <row r="286" spans="1:37">
      <c r="A286" s="1">
        <v>106808</v>
      </c>
      <c r="B286" s="1">
        <v>962000164</v>
      </c>
      <c r="C286" s="1" t="str">
        <f>"تخليه جاده نيشابورقوچان نرسيده به روستاي برگ شاهي شركت دنابنيان بيرجند"</f>
        <v>تخليه جاده نيشابورقوچان نرسيده به روستاي برگ شاهي شركت دنابنيان بيرجند</v>
      </c>
      <c r="D286" s="1">
        <v>9113</v>
      </c>
      <c r="E286" s="1">
        <v>106808</v>
      </c>
      <c r="F286" s="1">
        <v>96</v>
      </c>
      <c r="G286" s="1">
        <v>0</v>
      </c>
      <c r="H286" s="1" t="str">
        <f>"96/07/03"</f>
        <v>96/07/03</v>
      </c>
      <c r="I286" s="1" t="str">
        <f>"كيلوگرم"</f>
        <v>كيلوگرم</v>
      </c>
      <c r="J286" s="1" t="str">
        <f>"0000000076"</f>
        <v>0000000076</v>
      </c>
      <c r="K286" s="1" t="str">
        <f>"قير 60/70 - فله"</f>
        <v>قير 60/70 - فله</v>
      </c>
      <c r="L286" s="1">
        <v>100</v>
      </c>
      <c r="M286" s="1" t="str">
        <f>"مخازن قير اصفهان"</f>
        <v>مخازن قير اصفهان</v>
      </c>
      <c r="N286" s="1">
        <v>10842</v>
      </c>
      <c r="O286" s="1">
        <v>50036369</v>
      </c>
      <c r="P286" s="1" t="str">
        <f>"  شهرداري چكنه"</f>
        <v xml:space="preserve">  شهرداري چكنه</v>
      </c>
      <c r="Q286" s="1">
        <v>20</v>
      </c>
      <c r="R286" s="1" t="str">
        <f>"فروش داخلي - سازمان شهرداري ها و دهياري هاي كشور"</f>
        <v>فروش داخلي - سازمان شهرداري ها و دهياري هاي كشور</v>
      </c>
      <c r="S286" s="1" t="str">
        <f>"قرارداد فروش"</f>
        <v>قرارداد فروش</v>
      </c>
      <c r="T286" s="1" t="str">
        <f>"ندارد"</f>
        <v>ندارد</v>
      </c>
      <c r="U286" s="1" t="str">
        <f>"تعاوني جم گستر (1001 ج 89)"</f>
        <v>تعاوني جم گستر (1001 ج 89)</v>
      </c>
      <c r="V286" s="1">
        <v>962000164</v>
      </c>
      <c r="W286" s="1">
        <v>962000164</v>
      </c>
      <c r="X286" s="1" t="str">
        <f>"1396514467"</f>
        <v>1396514467</v>
      </c>
      <c r="Y286" s="1" t="str">
        <f>"96/07/03"</f>
        <v>96/07/03</v>
      </c>
      <c r="Z286" s="1" t="str">
        <f>"26853مرحله اول"</f>
        <v>26853مرحله اول</v>
      </c>
      <c r="AA286" s="1" t="str">
        <f>"شهرداريها"</f>
        <v>شهرداريها</v>
      </c>
      <c r="AB286" s="1" t="str">
        <f>"96/06/29"</f>
        <v>96/06/29</v>
      </c>
      <c r="AC286" s="1" t="str">
        <f>"خراسان رضوي"</f>
        <v>خراسان رضوي</v>
      </c>
      <c r="AD286" s="1" t="str">
        <f>"96/07/03"</f>
        <v>96/07/03</v>
      </c>
      <c r="AE286" s="1" t="str">
        <f>"اختتام"</f>
        <v>اختتام</v>
      </c>
      <c r="AF286" s="1" t="str">
        <f>""</f>
        <v/>
      </c>
      <c r="AG286" s="1" t="str">
        <f>""</f>
        <v/>
      </c>
      <c r="AH286" s="1" t="str">
        <f>""</f>
        <v/>
      </c>
      <c r="AI286" s="1" t="str">
        <f>""</f>
        <v/>
      </c>
      <c r="AJ286" s="1" t="str">
        <f>""</f>
        <v/>
      </c>
      <c r="AK286" s="1" t="str">
        <f>""</f>
        <v/>
      </c>
    </row>
    <row r="287" spans="1:37">
      <c r="A287" s="1">
        <v>34410</v>
      </c>
      <c r="B287" s="1">
        <v>962000475</v>
      </c>
      <c r="C287" s="1" t="str">
        <f>"تخليه -اصفهان -مباركه جنب جاده صنايع هفتم تيرروبروي ايران خودرو-كارخانه آسفالت شركت ساتان"</f>
        <v>تخليه -اصفهان -مباركه جنب جاده صنايع هفتم تيرروبروي ايران خودرو-كارخانه آسفالت شركت ساتان</v>
      </c>
      <c r="D287" s="1">
        <v>12820</v>
      </c>
      <c r="E287" s="1">
        <v>34410</v>
      </c>
      <c r="F287" s="1">
        <v>96</v>
      </c>
      <c r="G287" s="1">
        <v>0</v>
      </c>
      <c r="H287" s="1" t="str">
        <f>"96/09/20"</f>
        <v>96/09/20</v>
      </c>
      <c r="I287" s="1" t="str">
        <f>"كيلوگرم"</f>
        <v>كيلوگرم</v>
      </c>
      <c r="J287" s="1" t="str">
        <f>"0000000076"</f>
        <v>0000000076</v>
      </c>
      <c r="K287" s="1" t="str">
        <f>"قير 60/70 - فله"</f>
        <v>قير 60/70 - فله</v>
      </c>
      <c r="L287" s="1">
        <v>100</v>
      </c>
      <c r="M287" s="1" t="str">
        <f>"مخازن قير اصفهان"</f>
        <v>مخازن قير اصفهان</v>
      </c>
      <c r="N287" s="1">
        <v>10847</v>
      </c>
      <c r="O287" s="1">
        <v>50037797</v>
      </c>
      <c r="P287" s="1" t="str">
        <f>"  شهرداري كركوند"</f>
        <v xml:space="preserve">  شهرداري كركوند</v>
      </c>
      <c r="Q287" s="1">
        <v>20</v>
      </c>
      <c r="R287" s="1" t="str">
        <f>"فروش داخلي - سازمان شهرداري ها و دهياري هاي كشور"</f>
        <v>فروش داخلي - سازمان شهرداري ها و دهياري هاي كشور</v>
      </c>
      <c r="S287" s="1" t="str">
        <f>"قرارداد فروش"</f>
        <v>قرارداد فروش</v>
      </c>
      <c r="T287" s="1" t="str">
        <f>"ندارد"</f>
        <v>ندارد</v>
      </c>
      <c r="U287" s="1" t="str">
        <f>"تعاوني جم گستر (1001 ج 89)"</f>
        <v>تعاوني جم گستر (1001 ج 89)</v>
      </c>
      <c r="V287" s="1">
        <v>962000475</v>
      </c>
      <c r="W287" s="1">
        <v>962000475</v>
      </c>
      <c r="X287" s="1" t="str">
        <f>"1396529711"</f>
        <v>1396529711</v>
      </c>
      <c r="Y287" s="1" t="str">
        <f>"96/09/20"</f>
        <v>96/09/20</v>
      </c>
      <c r="Z287" s="1" t="str">
        <f>"37204مرحله دوم"</f>
        <v>37204مرحله دوم</v>
      </c>
      <c r="AA287" s="1" t="str">
        <f>"شهرداريها"</f>
        <v>شهرداريها</v>
      </c>
      <c r="AB287" s="1" t="str">
        <f>"96/09/05"</f>
        <v>96/09/05</v>
      </c>
      <c r="AC287" s="1" t="str">
        <f>"استان اصفهان"</f>
        <v>استان اصفهان</v>
      </c>
      <c r="AD287" s="1" t="str">
        <f>"96/09/13"</f>
        <v>96/09/13</v>
      </c>
      <c r="AE287" s="1" t="str">
        <f>"اختتام"</f>
        <v>اختتام</v>
      </c>
      <c r="AF287" s="1" t="str">
        <f>""</f>
        <v/>
      </c>
      <c r="AG287" s="1" t="str">
        <f>""</f>
        <v/>
      </c>
      <c r="AH287" s="1" t="str">
        <f>""</f>
        <v/>
      </c>
      <c r="AI287" s="1" t="str">
        <f>""</f>
        <v/>
      </c>
      <c r="AJ287" s="1" t="str">
        <f>""</f>
        <v/>
      </c>
      <c r="AK287" s="1" t="str">
        <f>""</f>
        <v/>
      </c>
    </row>
    <row r="288" spans="1:37">
      <c r="A288" s="1">
        <v>106507</v>
      </c>
      <c r="B288" s="1">
        <v>962000204</v>
      </c>
      <c r="C288" s="1" t="str">
        <f>"تخليه كرمان كيلومتر20جاده رفسنجان انارشركت پ -بل"</f>
        <v>تخليه كرمان كيلومتر20جاده رفسنجان انارشركت پ -بل</v>
      </c>
      <c r="D288" s="1">
        <v>9113</v>
      </c>
      <c r="E288" s="1">
        <v>106507</v>
      </c>
      <c r="F288" s="1">
        <v>96</v>
      </c>
      <c r="G288" s="1">
        <v>0</v>
      </c>
      <c r="H288" s="1" t="str">
        <f>"96/07/03"</f>
        <v>96/07/03</v>
      </c>
      <c r="I288" s="1" t="str">
        <f>"كيلوگرم"</f>
        <v>كيلوگرم</v>
      </c>
      <c r="J288" s="1" t="str">
        <f>"0000000076"</f>
        <v>0000000076</v>
      </c>
      <c r="K288" s="1" t="str">
        <f>"قير 60/70 - فله"</f>
        <v>قير 60/70 - فله</v>
      </c>
      <c r="L288" s="1">
        <v>100</v>
      </c>
      <c r="M288" s="1" t="str">
        <f>"مخازن قير اصفهان"</f>
        <v>مخازن قير اصفهان</v>
      </c>
      <c r="N288" s="1">
        <v>10852</v>
      </c>
      <c r="O288" s="1">
        <v>50036435</v>
      </c>
      <c r="P288" s="1" t="str">
        <f>"  شهرداري دهج"</f>
        <v xml:space="preserve">  شهرداري دهج</v>
      </c>
      <c r="Q288" s="1">
        <v>20</v>
      </c>
      <c r="R288" s="1" t="str">
        <f>"فروش داخلي - سازمان شهرداري ها و دهياري هاي كشور"</f>
        <v>فروش داخلي - سازمان شهرداري ها و دهياري هاي كشور</v>
      </c>
      <c r="S288" s="1" t="str">
        <f>"قرارداد فروش"</f>
        <v>قرارداد فروش</v>
      </c>
      <c r="T288" s="1" t="str">
        <f>"ندارد"</f>
        <v>ندارد</v>
      </c>
      <c r="U288" s="1" t="str">
        <f>"تعاوني جم گستر (1001 ج 89)"</f>
        <v>تعاوني جم گستر (1001 ج 89)</v>
      </c>
      <c r="V288" s="1">
        <v>962000204</v>
      </c>
      <c r="W288" s="1">
        <v>962000204</v>
      </c>
      <c r="X288" s="1" t="str">
        <f>"1396514467"</f>
        <v>1396514467</v>
      </c>
      <c r="Y288" s="1" t="str">
        <f>"96/07/03"</f>
        <v>96/07/03</v>
      </c>
      <c r="Z288" s="1" t="str">
        <f>"26785مرحله اول"</f>
        <v>26785مرحله اول</v>
      </c>
      <c r="AA288" s="1" t="str">
        <f>"شهرداريها"</f>
        <v>شهرداريها</v>
      </c>
      <c r="AB288" s="1" t="str">
        <f>"96/06/29"</f>
        <v>96/06/29</v>
      </c>
      <c r="AC288" s="1" t="str">
        <f>"استان كرمان"</f>
        <v>استان كرمان</v>
      </c>
      <c r="AD288" s="1" t="str">
        <f>"96/07/03"</f>
        <v>96/07/03</v>
      </c>
      <c r="AE288" s="1" t="str">
        <f>"اختتام"</f>
        <v>اختتام</v>
      </c>
      <c r="AF288" s="1" t="str">
        <f>""</f>
        <v/>
      </c>
      <c r="AG288" s="1" t="str">
        <f>""</f>
        <v/>
      </c>
      <c r="AH288" s="1" t="str">
        <f>""</f>
        <v/>
      </c>
      <c r="AI288" s="1" t="str">
        <f>""</f>
        <v/>
      </c>
      <c r="AJ288" s="1" t="str">
        <f>""</f>
        <v/>
      </c>
      <c r="AK288" s="1" t="str">
        <f>""</f>
        <v/>
      </c>
    </row>
    <row r="289" spans="1:37">
      <c r="A289" s="1">
        <v>37855</v>
      </c>
      <c r="B289" s="1">
        <v>962000352</v>
      </c>
      <c r="C289" s="1" t="str">
        <f>"تخليه كرمان كيلومتر20جاده رفسنجان انارشركت پ -بل"</f>
        <v>تخليه كرمان كيلومتر20جاده رفسنجان انارشركت پ -بل</v>
      </c>
      <c r="D289" s="1">
        <v>12820</v>
      </c>
      <c r="E289" s="1">
        <v>37855</v>
      </c>
      <c r="F289" s="1">
        <v>96</v>
      </c>
      <c r="G289" s="1">
        <v>0</v>
      </c>
      <c r="H289" s="1" t="str">
        <f>"96/09/18"</f>
        <v>96/09/18</v>
      </c>
      <c r="I289" s="1" t="str">
        <f>"كيلوگرم"</f>
        <v>كيلوگرم</v>
      </c>
      <c r="J289" s="1" t="str">
        <f>"0000000076"</f>
        <v>0000000076</v>
      </c>
      <c r="K289" s="1" t="str">
        <f>"قير 60/70 - فله"</f>
        <v>قير 60/70 - فله</v>
      </c>
      <c r="L289" s="1">
        <v>100</v>
      </c>
      <c r="M289" s="1" t="str">
        <f>"مخازن قير اصفهان"</f>
        <v>مخازن قير اصفهان</v>
      </c>
      <c r="N289" s="1">
        <v>10852</v>
      </c>
      <c r="O289" s="1">
        <v>50037610</v>
      </c>
      <c r="P289" s="1" t="str">
        <f>"  شهرداري دهج"</f>
        <v xml:space="preserve">  شهرداري دهج</v>
      </c>
      <c r="Q289" s="1">
        <v>20</v>
      </c>
      <c r="R289" s="1" t="str">
        <f>"فروش داخلي - سازمان شهرداري ها و دهياري هاي كشور"</f>
        <v>فروش داخلي - سازمان شهرداري ها و دهياري هاي كشور</v>
      </c>
      <c r="S289" s="1" t="str">
        <f>"قرارداد فروش"</f>
        <v>قرارداد فروش</v>
      </c>
      <c r="T289" s="1" t="str">
        <f>"ندارد"</f>
        <v>ندارد</v>
      </c>
      <c r="U289" s="1" t="str">
        <f>"تعاوني جم گستر (1001 ج 89)"</f>
        <v>تعاوني جم گستر (1001 ج 89)</v>
      </c>
      <c r="V289" s="1">
        <v>962000352</v>
      </c>
      <c r="W289" s="1">
        <v>962000352</v>
      </c>
      <c r="X289" s="1" t="str">
        <f>"1396529711"</f>
        <v>1396529711</v>
      </c>
      <c r="Y289" s="1" t="str">
        <f>"96/09/18"</f>
        <v>96/09/18</v>
      </c>
      <c r="Z289" s="1" t="str">
        <f>"38590مرحله دوم"</f>
        <v>38590مرحله دوم</v>
      </c>
      <c r="AA289" s="1" t="str">
        <f>"شهرداريها"</f>
        <v>شهرداريها</v>
      </c>
      <c r="AB289" s="1" t="str">
        <f>"96/09/11"</f>
        <v>96/09/11</v>
      </c>
      <c r="AC289" s="1" t="str">
        <f>"استان كرمان"</f>
        <v>استان كرمان</v>
      </c>
      <c r="AD289" s="1" t="str">
        <f>"96/09/13"</f>
        <v>96/09/13</v>
      </c>
      <c r="AE289" s="1" t="str">
        <f>"تاييدشده"</f>
        <v>تاييدشده</v>
      </c>
      <c r="AF289" s="1" t="str">
        <f>""</f>
        <v/>
      </c>
      <c r="AG289" s="1" t="str">
        <f>""</f>
        <v/>
      </c>
      <c r="AH289" s="1" t="str">
        <f>""</f>
        <v/>
      </c>
      <c r="AI289" s="1" t="str">
        <f>""</f>
        <v/>
      </c>
      <c r="AJ289" s="1" t="str">
        <f>""</f>
        <v/>
      </c>
      <c r="AK289" s="1" t="str">
        <f>""</f>
        <v/>
      </c>
    </row>
    <row r="290" spans="1:37">
      <c r="A290" s="1">
        <v>98573</v>
      </c>
      <c r="B290" s="1">
        <v>962000081</v>
      </c>
      <c r="C290" s="1" t="str">
        <f>"تخليه - اصفهان-خوانسار-کيلومتر 5 جاده رحمت آباد-کارخانه آسفالت خوانسار-دهاقين"</f>
        <v>تخليه - اصفهان-خوانسار-کيلومتر 5 جاده رحمت آباد-کارخانه آسفالت خوانسار-دهاقين</v>
      </c>
      <c r="D290" s="1">
        <v>9113</v>
      </c>
      <c r="E290" s="1">
        <v>97900</v>
      </c>
      <c r="F290" s="1">
        <v>96</v>
      </c>
      <c r="G290" s="1">
        <v>673</v>
      </c>
      <c r="H290" s="1" t="str">
        <f>"96/07/03"</f>
        <v>96/07/03</v>
      </c>
      <c r="I290" s="1" t="str">
        <f>"كيلوگرم"</f>
        <v>كيلوگرم</v>
      </c>
      <c r="J290" s="1" t="str">
        <f>"0000000076"</f>
        <v>0000000076</v>
      </c>
      <c r="K290" s="1" t="str">
        <f>"قير 60/70 - فله"</f>
        <v>قير 60/70 - فله</v>
      </c>
      <c r="L290" s="1">
        <v>100</v>
      </c>
      <c r="M290" s="1" t="str">
        <f>"مخازن قير اصفهان"</f>
        <v>مخازن قير اصفهان</v>
      </c>
      <c r="N290" s="1">
        <v>10663</v>
      </c>
      <c r="O290" s="1">
        <v>50036493</v>
      </c>
      <c r="P290" s="1" t="str">
        <f>"  شهرداري لايبيد"</f>
        <v xml:space="preserve">  شهرداري لايبيد</v>
      </c>
      <c r="Q290" s="1">
        <v>20</v>
      </c>
      <c r="R290" s="1" t="str">
        <f>"فروش داخلي - سازمان شهرداري ها و دهياري هاي كشور"</f>
        <v>فروش داخلي - سازمان شهرداري ها و دهياري هاي كشور</v>
      </c>
      <c r="S290" s="1" t="str">
        <f>"قرارداد فروش"</f>
        <v>قرارداد فروش</v>
      </c>
      <c r="T290" s="1" t="str">
        <f>"ندارد"</f>
        <v>ندارد</v>
      </c>
      <c r="U290" s="1" t="str">
        <f>"تعاوني جم گستر (1001 ج 89)"</f>
        <v>تعاوني جم گستر (1001 ج 89)</v>
      </c>
      <c r="V290" s="1">
        <v>962000081</v>
      </c>
      <c r="W290" s="1">
        <v>962000081</v>
      </c>
      <c r="X290" s="1" t="str">
        <f>"1396514467"</f>
        <v>1396514467</v>
      </c>
      <c r="Y290" s="1" t="str">
        <f>"96/07/03"</f>
        <v>96/07/03</v>
      </c>
      <c r="Z290" s="1" t="str">
        <f>"26679مرحله اول"</f>
        <v>26679مرحله اول</v>
      </c>
      <c r="AA290" s="1" t="str">
        <f>"شهرداريها"</f>
        <v>شهرداريها</v>
      </c>
      <c r="AB290" s="1" t="str">
        <f>"96/06/29"</f>
        <v>96/06/29</v>
      </c>
      <c r="AC290" s="1" t="str">
        <f>"استان اصفهان"</f>
        <v>استان اصفهان</v>
      </c>
      <c r="AD290" s="1" t="str">
        <f>"96/07/03"</f>
        <v>96/07/03</v>
      </c>
      <c r="AE290" s="1" t="str">
        <f>"تاييدشده"</f>
        <v>تاييدشده</v>
      </c>
      <c r="AF290" s="1" t="str">
        <f>""</f>
        <v/>
      </c>
      <c r="AG290" s="1" t="str">
        <f>""</f>
        <v/>
      </c>
      <c r="AH290" s="1" t="str">
        <f>""</f>
        <v/>
      </c>
      <c r="AI290" s="1" t="str">
        <f>""</f>
        <v/>
      </c>
      <c r="AJ290" s="1" t="str">
        <f>""</f>
        <v/>
      </c>
      <c r="AK290" s="1" t="str">
        <f>""</f>
        <v/>
      </c>
    </row>
    <row r="291" spans="1:37">
      <c r="A291" s="1">
        <v>133824</v>
      </c>
      <c r="B291" s="1">
        <v>962000035</v>
      </c>
      <c r="C291" s="1" t="str">
        <f>"اصفهان تنگي-کيلومتر 7جاده فولادشهر نجف آباد جنب دانشگاه مخابرات مقابل مسکن مهر شرکت توليدي آبادگران جنوب"</f>
        <v>اصفهان تنگي-کيلومتر 7جاده فولادشهر نجف آباد جنب دانشگاه مخابرات مقابل مسکن مهر شرکت توليدي آبادگران جنوب</v>
      </c>
      <c r="D291" s="1">
        <v>9113</v>
      </c>
      <c r="E291" s="1">
        <v>133824</v>
      </c>
      <c r="F291" s="1">
        <v>96</v>
      </c>
      <c r="G291" s="1">
        <v>0</v>
      </c>
      <c r="H291" s="1" t="str">
        <f>"96/07/03"</f>
        <v>96/07/03</v>
      </c>
      <c r="I291" s="1" t="str">
        <f>"كيلوگرم"</f>
        <v>كيلوگرم</v>
      </c>
      <c r="J291" s="1" t="str">
        <f>"0000000076"</f>
        <v>0000000076</v>
      </c>
      <c r="K291" s="1" t="str">
        <f>"قير 60/70 - فله"</f>
        <v>قير 60/70 - فله</v>
      </c>
      <c r="L291" s="1">
        <v>100</v>
      </c>
      <c r="M291" s="1" t="str">
        <f>"مخازن قير اصفهان"</f>
        <v>مخازن قير اصفهان</v>
      </c>
      <c r="N291" s="1">
        <v>10665</v>
      </c>
      <c r="O291" s="1">
        <v>50036181</v>
      </c>
      <c r="P291" s="1" t="str">
        <f>"  شهرداري خورزوق"</f>
        <v xml:space="preserve">  شهرداري خورزوق</v>
      </c>
      <c r="Q291" s="1">
        <v>20</v>
      </c>
      <c r="R291" s="1" t="str">
        <f>"فروش داخلي - سازمان شهرداري ها و دهياري هاي كشور"</f>
        <v>فروش داخلي - سازمان شهرداري ها و دهياري هاي كشور</v>
      </c>
      <c r="S291" s="1" t="str">
        <f>"قرارداد فروش"</f>
        <v>قرارداد فروش</v>
      </c>
      <c r="T291" s="1" t="str">
        <f>"ندارد"</f>
        <v>ندارد</v>
      </c>
      <c r="U291" s="1" t="str">
        <f>"تعاوني جم گستر (1001 ج 89)"</f>
        <v>تعاوني جم گستر (1001 ج 89)</v>
      </c>
      <c r="V291" s="1">
        <v>962000035</v>
      </c>
      <c r="W291" s="1">
        <v>962000035</v>
      </c>
      <c r="X291" s="1" t="str">
        <f>"1396514467"</f>
        <v>1396514467</v>
      </c>
      <c r="Y291" s="1" t="str">
        <f>"96/07/03"</f>
        <v>96/07/03</v>
      </c>
      <c r="Z291" s="1" t="str">
        <f>"26824مرحله اول"</f>
        <v>26824مرحله اول</v>
      </c>
      <c r="AA291" s="1" t="str">
        <f>"شهرداريها"</f>
        <v>شهرداريها</v>
      </c>
      <c r="AB291" s="1" t="str">
        <f>"96/06/29"</f>
        <v>96/06/29</v>
      </c>
      <c r="AC291" s="1" t="str">
        <f>"استان اصفهان"</f>
        <v>استان اصفهان</v>
      </c>
      <c r="AD291" s="1" t="str">
        <f>"96/07/03"</f>
        <v>96/07/03</v>
      </c>
      <c r="AE291" s="1" t="str">
        <f>"تاييدشده"</f>
        <v>تاييدشده</v>
      </c>
      <c r="AF291" s="1" t="str">
        <f>""</f>
        <v/>
      </c>
      <c r="AG291" s="1" t="str">
        <f>""</f>
        <v/>
      </c>
      <c r="AH291" s="1" t="str">
        <f>""</f>
        <v/>
      </c>
      <c r="AI291" s="1" t="str">
        <f>""</f>
        <v/>
      </c>
      <c r="AJ291" s="1" t="str">
        <f>""</f>
        <v/>
      </c>
      <c r="AK291" s="1" t="str">
        <f>""</f>
        <v/>
      </c>
    </row>
    <row r="292" spans="1:37">
      <c r="A292" s="1">
        <v>50000</v>
      </c>
      <c r="B292" s="1">
        <v>961100096</v>
      </c>
      <c r="C292" s="1" t="str">
        <f>"تخليه -لرستان -اليگودرزبه سمت ازنا-كارخانه آسفالت 80تني شهرداري اليگورز"</f>
        <v>تخليه -لرستان -اليگودرزبه سمت ازنا-كارخانه آسفالت 80تني شهرداري اليگورز</v>
      </c>
      <c r="D292" s="1">
        <v>9416</v>
      </c>
      <c r="E292" s="1">
        <v>46760</v>
      </c>
      <c r="F292" s="1">
        <v>96</v>
      </c>
      <c r="G292" s="1">
        <v>3240</v>
      </c>
      <c r="H292" s="1" t="str">
        <f>"96/08/27"</f>
        <v>96/08/27</v>
      </c>
      <c r="I292" s="1" t="str">
        <f>"كيلوگرم"</f>
        <v>كيلوگرم</v>
      </c>
      <c r="J292" s="1" t="str">
        <f>"0000000076"</f>
        <v>0000000076</v>
      </c>
      <c r="K292" s="1" t="str">
        <f>"قير 60/70 - فله"</f>
        <v>قير 60/70 - فله</v>
      </c>
      <c r="L292" s="1">
        <v>100</v>
      </c>
      <c r="M292" s="1" t="str">
        <f>"مخازن قير اصفهان"</f>
        <v>مخازن قير اصفهان</v>
      </c>
      <c r="N292" s="1">
        <v>10503</v>
      </c>
      <c r="O292" s="1">
        <v>50037265</v>
      </c>
      <c r="P292" s="1" t="str">
        <f>"  شهرداري اليگودرز"</f>
        <v xml:space="preserve">  شهرداري اليگودرز</v>
      </c>
      <c r="Q292" s="1">
        <v>11</v>
      </c>
      <c r="R292" s="1" t="str">
        <f>"فروش داخلي تهران - بورس"</f>
        <v>فروش داخلي تهران - بورس</v>
      </c>
      <c r="S292" s="1" t="str">
        <f>"قرارداد فروش"</f>
        <v>قرارداد فروش</v>
      </c>
      <c r="T292" s="1" t="str">
        <f>"ندارد"</f>
        <v>ندارد</v>
      </c>
      <c r="U292" s="1" t="str">
        <f>"اميري علي(2842011)"</f>
        <v>اميري علي(2842011)</v>
      </c>
      <c r="V292" s="1">
        <v>961100096</v>
      </c>
      <c r="W292" s="1">
        <v>961100096</v>
      </c>
      <c r="X292" s="1" t="str">
        <f>"1396525128"</f>
        <v>1396525128</v>
      </c>
      <c r="Y292" s="1" t="str">
        <f>"96/08/27"</f>
        <v>96/08/27</v>
      </c>
      <c r="Z292" s="1" t="str">
        <f>"96-36650"</f>
        <v>96-36650</v>
      </c>
      <c r="AA292" s="1" t="str">
        <f>"شهرداريها"</f>
        <v>شهرداريها</v>
      </c>
      <c r="AB292" s="1" t="str">
        <f>"96/08/27"</f>
        <v>96/08/27</v>
      </c>
      <c r="AC292" s="1" t="str">
        <f>"لرستان"</f>
        <v>لرستان</v>
      </c>
      <c r="AD292" s="1" t="str">
        <f>"96/08/21"</f>
        <v>96/08/21</v>
      </c>
      <c r="AE292" s="1" t="str">
        <f>"اختتام"</f>
        <v>اختتام</v>
      </c>
      <c r="AF292" s="1" t="str">
        <f>""</f>
        <v/>
      </c>
      <c r="AG292" s="1" t="str">
        <f>""</f>
        <v/>
      </c>
      <c r="AH292" s="1" t="str">
        <f>""</f>
        <v/>
      </c>
      <c r="AI292" s="1" t="str">
        <f>""</f>
        <v/>
      </c>
      <c r="AJ292" s="1" t="str">
        <f>""</f>
        <v/>
      </c>
      <c r="AK292" s="1" t="str">
        <f>""</f>
        <v/>
      </c>
    </row>
    <row r="293" spans="1:37">
      <c r="A293" s="1">
        <v>390000</v>
      </c>
      <c r="B293" s="1">
        <v>966200310</v>
      </c>
      <c r="C293" s="1" t="str">
        <f>"تخليه - خراسان رضوي-کيلومتر 55نيشابور قوچان-ابتداي-جاده فاضل آباد-کارخانه آسفالت دنابنيان بيرجند"</f>
        <v>تخليه - خراسان رضوي-کيلومتر 55نيشابور قوچان-ابتداي-جاده فاضل آباد-کارخانه آسفالت دنابنيان بيرجند</v>
      </c>
      <c r="D293" s="1">
        <v>9113</v>
      </c>
      <c r="E293" s="1">
        <v>389360</v>
      </c>
      <c r="F293" s="1">
        <v>96</v>
      </c>
      <c r="G293" s="1">
        <v>640</v>
      </c>
      <c r="H293" s="1" t="str">
        <f>"96/07/18"</f>
        <v>96/07/18</v>
      </c>
      <c r="I293" s="1" t="str">
        <f>"كيلوگرم"</f>
        <v>كيلوگرم</v>
      </c>
      <c r="J293" s="1" t="str">
        <f>"0000000076"</f>
        <v>0000000076</v>
      </c>
      <c r="K293" s="1" t="str">
        <f>"قير 60/70 - فله"</f>
        <v>قير 60/70 - فله</v>
      </c>
      <c r="L293" s="1">
        <v>100</v>
      </c>
      <c r="M293" s="1" t="str">
        <f>"مخازن قير اصفهان"</f>
        <v>مخازن قير اصفهان</v>
      </c>
      <c r="N293" s="1">
        <v>10518</v>
      </c>
      <c r="O293" s="1">
        <v>50036666</v>
      </c>
      <c r="P293" s="1" t="str">
        <f>"  دنابنيان بيرجند"</f>
        <v xml:space="preserve">  دنابنيان بيرجند</v>
      </c>
      <c r="Q293" s="1">
        <v>62</v>
      </c>
      <c r="R293" s="1" t="str">
        <f>"فروش داخلي - سازمان بنيادمسكن انقلاب اسلامي"</f>
        <v>فروش داخلي - سازمان بنيادمسكن انقلاب اسلامي</v>
      </c>
      <c r="S293" s="1" t="str">
        <f>"قرارداد فروش"</f>
        <v>قرارداد فروش</v>
      </c>
      <c r="T293" s="1" t="str">
        <f>"ندارد"</f>
        <v>ندارد</v>
      </c>
      <c r="U293" s="1" t="str">
        <f>"نظام دوست امين (1911102)"</f>
        <v>نظام دوست امين (1911102)</v>
      </c>
      <c r="V293" s="1">
        <v>966200310</v>
      </c>
      <c r="W293" s="1">
        <v>966200310</v>
      </c>
      <c r="X293" s="1" t="str">
        <f>"1396517669"</f>
        <v>1396517669</v>
      </c>
      <c r="Y293" s="1" t="str">
        <f>"96/07/18"</f>
        <v>96/07/18</v>
      </c>
      <c r="Z293" s="1" t="str">
        <f>"31801/د"</f>
        <v>31801/د</v>
      </c>
      <c r="AA293" s="1" t="str">
        <f>"بنيادمسكن انقلاب اسلامي"</f>
        <v>بنيادمسكن انقلاب اسلامي</v>
      </c>
      <c r="AB293" s="1" t="str">
        <f>"96/07/17"</f>
        <v>96/07/17</v>
      </c>
      <c r="AC293" s="1" t="str">
        <f>"خراسان رضوي"</f>
        <v>خراسان رضوي</v>
      </c>
      <c r="AD293" s="1" t="str">
        <f>"96/07/18"</f>
        <v>96/07/18</v>
      </c>
      <c r="AE293" s="1" t="str">
        <f>"اختتام"</f>
        <v>اختتام</v>
      </c>
      <c r="AF293" s="1" t="str">
        <f>""</f>
        <v/>
      </c>
      <c r="AG293" s="1" t="str">
        <f>""</f>
        <v/>
      </c>
      <c r="AH293" s="1" t="str">
        <f>""</f>
        <v/>
      </c>
      <c r="AI293" s="1" t="str">
        <f>""</f>
        <v/>
      </c>
      <c r="AJ293" s="1" t="str">
        <f>""</f>
        <v/>
      </c>
      <c r="AK293" s="1" t="str">
        <f>""</f>
        <v/>
      </c>
    </row>
    <row r="294" spans="1:37">
      <c r="A294" s="1">
        <v>100000</v>
      </c>
      <c r="B294" s="1">
        <v>966200593</v>
      </c>
      <c r="C294" s="1" t="str">
        <f>"تخليه -لرستان -پلدخترسه راهي سراب جهانگير-كارخانه آسفالت يافته كوه"</f>
        <v>تخليه -لرستان -پلدخترسه راهي سراب جهانگير-كارخانه آسفالت يافته كوه</v>
      </c>
      <c r="D294" s="1">
        <v>13350</v>
      </c>
      <c r="E294" s="1">
        <v>99720</v>
      </c>
      <c r="F294" s="1">
        <v>96</v>
      </c>
      <c r="G294" s="1">
        <v>280</v>
      </c>
      <c r="H294" s="1" t="str">
        <f>"96/12/08"</f>
        <v>96/12/08</v>
      </c>
      <c r="I294" s="1" t="str">
        <f>"كيلوگرم"</f>
        <v>كيلوگرم</v>
      </c>
      <c r="J294" s="1" t="str">
        <f>"0000000076"</f>
        <v>0000000076</v>
      </c>
      <c r="K294" s="1" t="str">
        <f>"قير 60/70 - فله"</f>
        <v>قير 60/70 - فله</v>
      </c>
      <c r="L294" s="1">
        <v>100</v>
      </c>
      <c r="M294" s="1" t="str">
        <f>"مخازن قير اصفهان"</f>
        <v>مخازن قير اصفهان</v>
      </c>
      <c r="N294" s="1">
        <v>10521</v>
      </c>
      <c r="O294" s="1">
        <v>50038639</v>
      </c>
      <c r="P294" s="1" t="str">
        <f>"  ساختماني يافته كوه"</f>
        <v xml:space="preserve">  ساختماني يافته كوه</v>
      </c>
      <c r="Q294" s="1">
        <v>62</v>
      </c>
      <c r="R294" s="1" t="str">
        <f>"فروش داخلي - سازمان بنيادمسكن انقلاب اسلامي"</f>
        <v>فروش داخلي - سازمان بنيادمسكن انقلاب اسلامي</v>
      </c>
      <c r="S294" s="1" t="str">
        <f>"قرارداد فروش"</f>
        <v>قرارداد فروش</v>
      </c>
      <c r="T294" s="1" t="str">
        <f>"ندارد"</f>
        <v>ندارد</v>
      </c>
      <c r="U294" s="1" t="str">
        <f>"بستاني محسن (2882039)"</f>
        <v>بستاني محسن (2882039)</v>
      </c>
      <c r="V294" s="1">
        <v>966200593</v>
      </c>
      <c r="W294" s="1">
        <v>966200593</v>
      </c>
      <c r="X294" s="1" t="str">
        <f>"1396551022"</f>
        <v>1396551022</v>
      </c>
      <c r="Y294" s="1" t="str">
        <f>"96/12/08"</f>
        <v>96/12/08</v>
      </c>
      <c r="Z294" s="1" t="str">
        <f>"55347/د"</f>
        <v>55347/د</v>
      </c>
      <c r="AA294" s="1" t="str">
        <f>"بنيادمسكن انقلاب اسلامي"</f>
        <v>بنيادمسكن انقلاب اسلامي</v>
      </c>
      <c r="AB294" s="1" t="str">
        <f>"96/12/07"</f>
        <v>96/12/07</v>
      </c>
      <c r="AC294" s="1" t="str">
        <f>"لرستان"</f>
        <v>لرستان</v>
      </c>
      <c r="AD294" s="1" t="str">
        <f>"96/12/08"</f>
        <v>96/12/08</v>
      </c>
      <c r="AE294" s="1" t="str">
        <f>"اختتام"</f>
        <v>اختتام</v>
      </c>
      <c r="AF294" s="1" t="str">
        <f>""</f>
        <v/>
      </c>
      <c r="AG294" s="1" t="str">
        <f>""</f>
        <v/>
      </c>
      <c r="AH294" s="1" t="str">
        <f>""</f>
        <v/>
      </c>
      <c r="AI294" s="1" t="str">
        <f>""</f>
        <v/>
      </c>
      <c r="AJ294" s="1" t="str">
        <f>""</f>
        <v/>
      </c>
      <c r="AK294" s="1" t="str">
        <f>""</f>
        <v/>
      </c>
    </row>
    <row r="295" spans="1:37">
      <c r="A295" s="1">
        <v>120000</v>
      </c>
      <c r="B295" s="1">
        <v>966200463</v>
      </c>
      <c r="C295" s="1" t="str">
        <f>"تخليه-کهگيلويه - دهدشت-روستاي خيراباد-کارخانه آسفالت مظفر"</f>
        <v>تخليه-کهگيلويه - دهدشت-روستاي خيراباد-کارخانه آسفالت مظفر</v>
      </c>
      <c r="D295" s="1">
        <v>12820</v>
      </c>
      <c r="E295" s="1">
        <v>118080</v>
      </c>
      <c r="F295" s="1">
        <v>96</v>
      </c>
      <c r="G295" s="1">
        <v>1920</v>
      </c>
      <c r="H295" s="1" t="str">
        <f>"96/09/27"</f>
        <v>96/09/27</v>
      </c>
      <c r="I295" s="1" t="str">
        <f>"كيلوگرم"</f>
        <v>كيلوگرم</v>
      </c>
      <c r="J295" s="1" t="str">
        <f>"0000000076"</f>
        <v>0000000076</v>
      </c>
      <c r="K295" s="1" t="str">
        <f>"قير 60/70 - فله"</f>
        <v>قير 60/70 - فله</v>
      </c>
      <c r="L295" s="1">
        <v>100</v>
      </c>
      <c r="M295" s="1" t="str">
        <f>"مخازن قير اصفهان"</f>
        <v>مخازن قير اصفهان</v>
      </c>
      <c r="N295" s="1">
        <v>10523</v>
      </c>
      <c r="O295" s="1">
        <v>50037903</v>
      </c>
      <c r="P295" s="1" t="str">
        <f>"  تراوش نويدياسوج"</f>
        <v xml:space="preserve">  تراوش نويدياسوج</v>
      </c>
      <c r="Q295" s="1">
        <v>62</v>
      </c>
      <c r="R295" s="1" t="str">
        <f>"فروش داخلي - سازمان بنيادمسكن انقلاب اسلامي"</f>
        <v>فروش داخلي - سازمان بنيادمسكن انقلاب اسلامي</v>
      </c>
      <c r="S295" s="1" t="str">
        <f>"قرارداد فروش"</f>
        <v>قرارداد فروش</v>
      </c>
      <c r="T295" s="1" t="str">
        <f>"ندارد"</f>
        <v>ندارد</v>
      </c>
      <c r="U295" s="1" t="str">
        <f>"غلام نجفي سيامك‌‌‌‌‌‌(1881082)"</f>
        <v>غلام نجفي سيامك‌‌‌‌‌‌(1881082)</v>
      </c>
      <c r="V295" s="1">
        <v>966200463</v>
      </c>
      <c r="W295" s="1">
        <v>966200463</v>
      </c>
      <c r="X295" s="1" t="str">
        <f>"1396533043"</f>
        <v>1396533043</v>
      </c>
      <c r="Y295" s="1" t="str">
        <f>"96/09/27"</f>
        <v>96/09/27</v>
      </c>
      <c r="Z295" s="1" t="str">
        <f>"42426/د"</f>
        <v>42426/د</v>
      </c>
      <c r="AA295" s="1" t="str">
        <f>"بنيادمسكن انقلاب اسلامي"</f>
        <v>بنيادمسكن انقلاب اسلامي</v>
      </c>
      <c r="AB295" s="1" t="str">
        <f>"96/09/26"</f>
        <v>96/09/26</v>
      </c>
      <c r="AC295" s="1" t="str">
        <f>"كهكيلويه و بوير احمد"</f>
        <v>كهكيلويه و بوير احمد</v>
      </c>
      <c r="AD295" s="1" t="str">
        <f>"96/09/27"</f>
        <v>96/09/27</v>
      </c>
      <c r="AE295" s="1" t="str">
        <f>"اختتام"</f>
        <v>اختتام</v>
      </c>
      <c r="AF295" s="1" t="str">
        <f>""</f>
        <v/>
      </c>
      <c r="AG295" s="1" t="str">
        <f>""</f>
        <v/>
      </c>
      <c r="AH295" s="1" t="str">
        <f>""</f>
        <v/>
      </c>
      <c r="AI295" s="1" t="str">
        <f>""</f>
        <v/>
      </c>
      <c r="AJ295" s="1" t="str">
        <f>""</f>
        <v/>
      </c>
      <c r="AK295" s="1" t="str">
        <f>""</f>
        <v/>
      </c>
    </row>
    <row r="296" spans="1:37">
      <c r="A296" s="1">
        <v>200000</v>
      </c>
      <c r="B296" s="1">
        <v>966200075</v>
      </c>
      <c r="C296" s="1" t="str">
        <f>"تخليه - اصفهان-دامنه-کارخانه آسفالت شهرداري"</f>
        <v>تخليه - اصفهان-دامنه-کارخانه آسفالت شهرداري</v>
      </c>
      <c r="D296" s="1">
        <v>8918</v>
      </c>
      <c r="E296" s="1">
        <v>199320</v>
      </c>
      <c r="F296" s="1">
        <v>96</v>
      </c>
      <c r="G296" s="1">
        <v>680</v>
      </c>
      <c r="H296" s="1" t="str">
        <f>"96/02/26"</f>
        <v>96/02/26</v>
      </c>
      <c r="I296" s="1" t="str">
        <f>"كيلوگرم"</f>
        <v>كيلوگرم</v>
      </c>
      <c r="J296" s="1" t="str">
        <f>"0000000076"</f>
        <v>0000000076</v>
      </c>
      <c r="K296" s="1" t="str">
        <f>"قير 60/70 - فله"</f>
        <v>قير 60/70 - فله</v>
      </c>
      <c r="L296" s="1">
        <v>100</v>
      </c>
      <c r="M296" s="1" t="str">
        <f>"مخازن قير اصفهان"</f>
        <v>مخازن قير اصفهان</v>
      </c>
      <c r="N296" s="1">
        <v>10536</v>
      </c>
      <c r="O296" s="1">
        <v>50034842</v>
      </c>
      <c r="P296" s="1" t="str">
        <f>"  آبجيل صنعت"</f>
        <v xml:space="preserve">  آبجيل صنعت</v>
      </c>
      <c r="Q296" s="1">
        <v>62</v>
      </c>
      <c r="R296" s="1" t="str">
        <f>"فروش داخلي - سازمان بنيادمسكن انقلاب اسلامي"</f>
        <v>فروش داخلي - سازمان بنيادمسكن انقلاب اسلامي</v>
      </c>
      <c r="S296" s="1" t="str">
        <f>"قرارداد فروش"</f>
        <v>قرارداد فروش</v>
      </c>
      <c r="T296" s="1" t="str">
        <f>"ندارد"</f>
        <v>ندارد</v>
      </c>
      <c r="U296" s="1" t="str">
        <f>"سيفي پور گودرز(1019ج89)"</f>
        <v>سيفي پور گودرز(1019ج89)</v>
      </c>
      <c r="V296" s="1">
        <v>966200075</v>
      </c>
      <c r="W296" s="1">
        <v>966200075</v>
      </c>
      <c r="X296" s="1" t="str">
        <f>"1396481180"</f>
        <v>1396481180</v>
      </c>
      <c r="Y296" s="1" t="str">
        <f>"96/02/26"</f>
        <v>96/02/26</v>
      </c>
      <c r="Z296" s="1" t="str">
        <f>"6820/د"</f>
        <v>6820/د</v>
      </c>
      <c r="AA296" s="1" t="str">
        <f>"بنيادمسكن انقلاب اسلامي"</f>
        <v>بنيادمسكن انقلاب اسلامي</v>
      </c>
      <c r="AB296" s="1" t="str">
        <f>"96/02/25"</f>
        <v>96/02/25</v>
      </c>
      <c r="AC296" s="1" t="str">
        <f>"استان اصفهان"</f>
        <v>استان اصفهان</v>
      </c>
      <c r="AD296" s="1" t="str">
        <f>"96/02/26"</f>
        <v>96/02/26</v>
      </c>
      <c r="AE296" s="1" t="str">
        <f>"اختتام"</f>
        <v>اختتام</v>
      </c>
      <c r="AF296" s="1" t="str">
        <f>""</f>
        <v/>
      </c>
      <c r="AG296" s="1" t="str">
        <f>""</f>
        <v/>
      </c>
      <c r="AH296" s="1" t="str">
        <f>""</f>
        <v/>
      </c>
      <c r="AI296" s="1" t="str">
        <f>""</f>
        <v/>
      </c>
      <c r="AJ296" s="1" t="str">
        <f>""</f>
        <v/>
      </c>
      <c r="AK296" s="1" t="str">
        <f>""</f>
        <v/>
      </c>
    </row>
    <row r="297" spans="1:37">
      <c r="A297" s="1">
        <v>36373</v>
      </c>
      <c r="B297" s="1">
        <v>962000478</v>
      </c>
      <c r="C297" s="1" t="str">
        <f>"تخليه اصفهان كيلومتر125محوراصفهان نائين شهرك آسفالت نوژان خشت"</f>
        <v>تخليه اصفهان كيلومتر125محوراصفهان نائين شهرك آسفالت نوژان خشت</v>
      </c>
      <c r="D297" s="1">
        <v>12820</v>
      </c>
      <c r="E297" s="1">
        <v>36373</v>
      </c>
      <c r="F297" s="1">
        <v>96</v>
      </c>
      <c r="G297" s="1">
        <v>0</v>
      </c>
      <c r="H297" s="1" t="str">
        <f>"96/09/20"</f>
        <v>96/09/20</v>
      </c>
      <c r="I297" s="1" t="str">
        <f>"كيلوگرم"</f>
        <v>كيلوگرم</v>
      </c>
      <c r="J297" s="1" t="str">
        <f>"0000000076"</f>
        <v>0000000076</v>
      </c>
      <c r="K297" s="1" t="str">
        <f>"قير 60/70 - فله"</f>
        <v>قير 60/70 - فله</v>
      </c>
      <c r="L297" s="1">
        <v>100</v>
      </c>
      <c r="M297" s="1" t="str">
        <f>"مخازن قير اصفهان"</f>
        <v>مخازن قير اصفهان</v>
      </c>
      <c r="N297" s="1">
        <v>10670</v>
      </c>
      <c r="O297" s="1">
        <v>50037800</v>
      </c>
      <c r="P297" s="1" t="str">
        <f>"  شهرداري بافران"</f>
        <v xml:space="preserve">  شهرداري بافران</v>
      </c>
      <c r="Q297" s="1">
        <v>20</v>
      </c>
      <c r="R297" s="1" t="str">
        <f>"فروش داخلي - سازمان شهرداري ها و دهياري هاي كشور"</f>
        <v>فروش داخلي - سازمان شهرداري ها و دهياري هاي كشور</v>
      </c>
      <c r="S297" s="1" t="str">
        <f>"قرارداد فروش"</f>
        <v>قرارداد فروش</v>
      </c>
      <c r="T297" s="1" t="str">
        <f>"ندارد"</f>
        <v>ندارد</v>
      </c>
      <c r="U297" s="1" t="str">
        <f>"تعاوني جم گستر (1001 ج 89)"</f>
        <v>تعاوني جم گستر (1001 ج 89)</v>
      </c>
      <c r="V297" s="1">
        <v>962000478</v>
      </c>
      <c r="W297" s="1">
        <v>962000478</v>
      </c>
      <c r="X297" s="1" t="str">
        <f>"1396529711"</f>
        <v>1396529711</v>
      </c>
      <c r="Y297" s="1" t="str">
        <f>"96/09/20"</f>
        <v>96/09/20</v>
      </c>
      <c r="Z297" s="1" t="str">
        <f>"37112مرحله دوم"</f>
        <v>37112مرحله دوم</v>
      </c>
      <c r="AA297" s="1" t="str">
        <f>"شهرداريها"</f>
        <v>شهرداريها</v>
      </c>
      <c r="AB297" s="1" t="str">
        <f>"96/09/04"</f>
        <v>96/09/04</v>
      </c>
      <c r="AC297" s="1" t="str">
        <f>"استان اصفهان"</f>
        <v>استان اصفهان</v>
      </c>
      <c r="AD297" s="1" t="str">
        <f>"96/09/13"</f>
        <v>96/09/13</v>
      </c>
      <c r="AE297" s="1" t="str">
        <f>"اختتام"</f>
        <v>اختتام</v>
      </c>
      <c r="AF297" s="1" t="str">
        <f>""</f>
        <v/>
      </c>
      <c r="AG297" s="1" t="str">
        <f>""</f>
        <v/>
      </c>
      <c r="AH297" s="1" t="str">
        <f>""</f>
        <v/>
      </c>
      <c r="AI297" s="1" t="str">
        <f>""</f>
        <v/>
      </c>
      <c r="AJ297" s="1" t="str">
        <f>""</f>
        <v/>
      </c>
      <c r="AK297" s="1" t="str">
        <f>""</f>
        <v/>
      </c>
    </row>
    <row r="298" spans="1:37">
      <c r="A298" s="1">
        <v>100682</v>
      </c>
      <c r="B298" s="1">
        <v>962000078</v>
      </c>
      <c r="C298" s="1" t="str">
        <f>"تخليه -اصفهان شهرضامباركه -كارخانه آرين بلواراسپادانا"</f>
        <v>تخليه -اصفهان شهرضامباركه -كارخانه آرين بلواراسپادانا</v>
      </c>
      <c r="D298" s="1">
        <v>9113</v>
      </c>
      <c r="E298" s="1">
        <v>100682</v>
      </c>
      <c r="F298" s="1">
        <v>96</v>
      </c>
      <c r="G298" s="1">
        <v>0</v>
      </c>
      <c r="H298" s="1" t="str">
        <f>"96/07/03"</f>
        <v>96/07/03</v>
      </c>
      <c r="I298" s="1" t="str">
        <f>"كيلوگرم"</f>
        <v>كيلوگرم</v>
      </c>
      <c r="J298" s="1" t="str">
        <f>"0000000076"</f>
        <v>0000000076</v>
      </c>
      <c r="K298" s="1" t="str">
        <f>"قير 60/70 - فله"</f>
        <v>قير 60/70 - فله</v>
      </c>
      <c r="L298" s="1">
        <v>100</v>
      </c>
      <c r="M298" s="1" t="str">
        <f>"مخازن قير اصفهان"</f>
        <v>مخازن قير اصفهان</v>
      </c>
      <c r="N298" s="1">
        <v>10671</v>
      </c>
      <c r="O298" s="1">
        <v>50036231</v>
      </c>
      <c r="P298" s="1" t="str">
        <f>"  شهرداري گلشن"</f>
        <v xml:space="preserve">  شهرداري گلشن</v>
      </c>
      <c r="Q298" s="1">
        <v>20</v>
      </c>
      <c r="R298" s="1" t="str">
        <f>"فروش داخلي - سازمان شهرداري ها و دهياري هاي كشور"</f>
        <v>فروش داخلي - سازمان شهرداري ها و دهياري هاي كشور</v>
      </c>
      <c r="S298" s="1" t="str">
        <f>"قرارداد فروش"</f>
        <v>قرارداد فروش</v>
      </c>
      <c r="T298" s="1" t="str">
        <f>"ندارد"</f>
        <v>ندارد</v>
      </c>
      <c r="U298" s="1" t="str">
        <f>"تعاوني جم گستر (1001 ج 89)"</f>
        <v>تعاوني جم گستر (1001 ج 89)</v>
      </c>
      <c r="V298" s="1">
        <v>962000078</v>
      </c>
      <c r="W298" s="1">
        <v>962000078</v>
      </c>
      <c r="X298" s="1" t="str">
        <f>"1396514467"</f>
        <v>1396514467</v>
      </c>
      <c r="Y298" s="1" t="str">
        <f>"96/07/03"</f>
        <v>96/07/03</v>
      </c>
      <c r="Z298" s="1" t="str">
        <f>"26677مرحله اول"</f>
        <v>26677مرحله اول</v>
      </c>
      <c r="AA298" s="1" t="str">
        <f>"شهرداريها"</f>
        <v>شهرداريها</v>
      </c>
      <c r="AB298" s="1" t="str">
        <f>"96/06/29"</f>
        <v>96/06/29</v>
      </c>
      <c r="AC298" s="1" t="str">
        <f>"استان اصفهان"</f>
        <v>استان اصفهان</v>
      </c>
      <c r="AD298" s="1" t="str">
        <f>"96/07/03"</f>
        <v>96/07/03</v>
      </c>
      <c r="AE298" s="1" t="str">
        <f>"اختتام"</f>
        <v>اختتام</v>
      </c>
      <c r="AF298" s="1" t="str">
        <f>""</f>
        <v/>
      </c>
      <c r="AG298" s="1" t="str">
        <f>""</f>
        <v/>
      </c>
      <c r="AH298" s="1" t="str">
        <f>""</f>
        <v/>
      </c>
      <c r="AI298" s="1" t="str">
        <f>""</f>
        <v/>
      </c>
      <c r="AJ298" s="1" t="str">
        <f>""</f>
        <v/>
      </c>
      <c r="AK298" s="1" t="str">
        <f>""</f>
        <v/>
      </c>
    </row>
    <row r="299" spans="1:37">
      <c r="A299" s="1">
        <v>35784</v>
      </c>
      <c r="B299" s="1">
        <v>962000433</v>
      </c>
      <c r="C299" s="1" t="str">
        <f>"تخليه -اصفهان شهرضامباركه -كارخانه آرين بلواراسپادانا"</f>
        <v>تخليه -اصفهان شهرضامباركه -كارخانه آرين بلواراسپادانا</v>
      </c>
      <c r="D299" s="1">
        <v>12820</v>
      </c>
      <c r="E299" s="1">
        <v>35784</v>
      </c>
      <c r="F299" s="1">
        <v>96</v>
      </c>
      <c r="G299" s="1">
        <v>0</v>
      </c>
      <c r="H299" s="1" t="str">
        <f>"96/09/20"</f>
        <v>96/09/20</v>
      </c>
      <c r="I299" s="1" t="str">
        <f>"كيلوگرم"</f>
        <v>كيلوگرم</v>
      </c>
      <c r="J299" s="1" t="str">
        <f>"0000000076"</f>
        <v>0000000076</v>
      </c>
      <c r="K299" s="1" t="str">
        <f>"قير 60/70 - فله"</f>
        <v>قير 60/70 - فله</v>
      </c>
      <c r="L299" s="1">
        <v>100</v>
      </c>
      <c r="M299" s="1" t="str">
        <f>"مخازن قير اصفهان"</f>
        <v>مخازن قير اصفهان</v>
      </c>
      <c r="N299" s="1">
        <v>10671</v>
      </c>
      <c r="O299" s="1">
        <v>50037755</v>
      </c>
      <c r="P299" s="1" t="str">
        <f>"  شهرداري گلشن"</f>
        <v xml:space="preserve">  شهرداري گلشن</v>
      </c>
      <c r="Q299" s="1">
        <v>20</v>
      </c>
      <c r="R299" s="1" t="str">
        <f>"فروش داخلي - سازمان شهرداري ها و دهياري هاي كشور"</f>
        <v>فروش داخلي - سازمان شهرداري ها و دهياري هاي كشور</v>
      </c>
      <c r="S299" s="1" t="str">
        <f>"قرارداد فروش"</f>
        <v>قرارداد فروش</v>
      </c>
      <c r="T299" s="1" t="str">
        <f>"ندارد"</f>
        <v>ندارد</v>
      </c>
      <c r="U299" s="1" t="str">
        <f>"تعاوني جم گستر (1001 ج 89)"</f>
        <v>تعاوني جم گستر (1001 ج 89)</v>
      </c>
      <c r="V299" s="1">
        <v>962000433</v>
      </c>
      <c r="W299" s="1">
        <v>962000433</v>
      </c>
      <c r="X299" s="1" t="str">
        <f>"1396529711"</f>
        <v>1396529711</v>
      </c>
      <c r="Y299" s="1" t="str">
        <f>"96/09/20"</f>
        <v>96/09/20</v>
      </c>
      <c r="Z299" s="1" t="str">
        <f>"37229مرحله دوم"</f>
        <v>37229مرحله دوم</v>
      </c>
      <c r="AA299" s="1" t="str">
        <f>"شهرداريها"</f>
        <v>شهرداريها</v>
      </c>
      <c r="AB299" s="1" t="str">
        <f>"96/09/05"</f>
        <v>96/09/05</v>
      </c>
      <c r="AC299" s="1" t="str">
        <f>"استان اصفهان"</f>
        <v>استان اصفهان</v>
      </c>
      <c r="AD299" s="1" t="str">
        <f>"96/09/13"</f>
        <v>96/09/13</v>
      </c>
      <c r="AE299" s="1" t="str">
        <f>"تاييدشده"</f>
        <v>تاييدشده</v>
      </c>
      <c r="AF299" s="1" t="str">
        <f>""</f>
        <v/>
      </c>
      <c r="AG299" s="1" t="str">
        <f>""</f>
        <v/>
      </c>
      <c r="AH299" s="1" t="str">
        <f>""</f>
        <v/>
      </c>
      <c r="AI299" s="1" t="str">
        <f>""</f>
        <v/>
      </c>
      <c r="AJ299" s="1" t="str">
        <f>""</f>
        <v/>
      </c>
      <c r="AK299" s="1" t="str">
        <f>""</f>
        <v/>
      </c>
    </row>
    <row r="300" spans="1:37">
      <c r="A300" s="1">
        <v>47278</v>
      </c>
      <c r="B300" s="1">
        <v>962000484</v>
      </c>
      <c r="C300" s="1" t="str">
        <f>"تخليه اصفهان خميني شهرمنطقه صنعتي دوشاخ كارخانه آسفالت برقسا"</f>
        <v>تخليه اصفهان خميني شهرمنطقه صنعتي دوشاخ كارخانه آسفالت برقسا</v>
      </c>
      <c r="D300" s="1">
        <v>12820</v>
      </c>
      <c r="E300" s="1">
        <v>47278</v>
      </c>
      <c r="F300" s="1">
        <v>96</v>
      </c>
      <c r="G300" s="1">
        <v>0</v>
      </c>
      <c r="H300" s="1" t="str">
        <f>"96/09/20"</f>
        <v>96/09/20</v>
      </c>
      <c r="I300" s="1" t="str">
        <f>"كيلوگرم"</f>
        <v>كيلوگرم</v>
      </c>
      <c r="J300" s="1" t="str">
        <f>"0000000076"</f>
        <v>0000000076</v>
      </c>
      <c r="K300" s="1" t="str">
        <f>"قير 60/70 - فله"</f>
        <v>قير 60/70 - فله</v>
      </c>
      <c r="L300" s="1">
        <v>100</v>
      </c>
      <c r="M300" s="1" t="str">
        <f>"مخازن قير اصفهان"</f>
        <v>مخازن قير اصفهان</v>
      </c>
      <c r="N300" s="1">
        <v>10680</v>
      </c>
      <c r="O300" s="1">
        <v>50037806</v>
      </c>
      <c r="P300" s="1" t="str">
        <f>"  شهرداري گلدشت"</f>
        <v xml:space="preserve">  شهرداري گلدشت</v>
      </c>
      <c r="Q300" s="1">
        <v>20</v>
      </c>
      <c r="R300" s="1" t="str">
        <f>"فروش داخلي - سازمان شهرداري ها و دهياري هاي كشور"</f>
        <v>فروش داخلي - سازمان شهرداري ها و دهياري هاي كشور</v>
      </c>
      <c r="S300" s="1" t="str">
        <f>"قرارداد فروش"</f>
        <v>قرارداد فروش</v>
      </c>
      <c r="T300" s="1" t="str">
        <f>"ندارد"</f>
        <v>ندارد</v>
      </c>
      <c r="U300" s="1" t="str">
        <f>"تعاوني جم گستر (1001 ج 89)"</f>
        <v>تعاوني جم گستر (1001 ج 89)</v>
      </c>
      <c r="V300" s="1">
        <v>962000484</v>
      </c>
      <c r="W300" s="1">
        <v>962000484</v>
      </c>
      <c r="X300" s="1" t="str">
        <f>"1396529711"</f>
        <v>1396529711</v>
      </c>
      <c r="Y300" s="1" t="str">
        <f>"96/09/20"</f>
        <v>96/09/20</v>
      </c>
      <c r="Z300" s="1" t="str">
        <f>"37228مرحله دوم"</f>
        <v>37228مرحله دوم</v>
      </c>
      <c r="AA300" s="1" t="str">
        <f>"شهرداريها"</f>
        <v>شهرداريها</v>
      </c>
      <c r="AB300" s="1" t="str">
        <f>"96/09/05"</f>
        <v>96/09/05</v>
      </c>
      <c r="AC300" s="1" t="str">
        <f>"استان اصفهان"</f>
        <v>استان اصفهان</v>
      </c>
      <c r="AD300" s="1" t="str">
        <f>"96/09/13"</f>
        <v>96/09/13</v>
      </c>
      <c r="AE300" s="1" t="str">
        <f>"تاييدشده"</f>
        <v>تاييدشده</v>
      </c>
      <c r="AF300" s="1" t="str">
        <f>""</f>
        <v/>
      </c>
      <c r="AG300" s="1" t="str">
        <f>""</f>
        <v/>
      </c>
      <c r="AH300" s="1" t="str">
        <f>""</f>
        <v/>
      </c>
      <c r="AI300" s="1" t="str">
        <f>""</f>
        <v/>
      </c>
      <c r="AJ300" s="1" t="str">
        <f>""</f>
        <v/>
      </c>
      <c r="AK300" s="1" t="str">
        <f>""</f>
        <v/>
      </c>
    </row>
    <row r="301" spans="1:37">
      <c r="A301" s="1">
        <v>110000</v>
      </c>
      <c r="B301" s="1">
        <v>961100106</v>
      </c>
      <c r="C301" s="1" t="str">
        <f>"تخليه -كيلومتر20اول جاده بويين زهرا-رنگرز-شركت ساوه شن"</f>
        <v>تخليه -كيلومتر20اول جاده بويين زهرا-رنگرز-شركت ساوه شن</v>
      </c>
      <c r="D301" s="1">
        <v>12850</v>
      </c>
      <c r="E301" s="1">
        <v>108400</v>
      </c>
      <c r="F301" s="1">
        <v>96</v>
      </c>
      <c r="G301" s="1">
        <v>1600</v>
      </c>
      <c r="H301" s="1" t="str">
        <f>"96/10/17"</f>
        <v>96/10/17</v>
      </c>
      <c r="I301" s="1" t="str">
        <f>"كيلوگرم"</f>
        <v>كيلوگرم</v>
      </c>
      <c r="J301" s="1" t="str">
        <f>"0000000076"</f>
        <v>0000000076</v>
      </c>
      <c r="K301" s="1" t="str">
        <f>"قير 60/70 - فله"</f>
        <v>قير 60/70 - فله</v>
      </c>
      <c r="L301" s="1">
        <v>100</v>
      </c>
      <c r="M301" s="1" t="str">
        <f>"مخازن قير اصفهان"</f>
        <v>مخازن قير اصفهان</v>
      </c>
      <c r="N301" s="1">
        <v>7117</v>
      </c>
      <c r="O301" s="1">
        <v>50038066</v>
      </c>
      <c r="P301" s="1" t="str">
        <f>"  ساوه شن"</f>
        <v xml:space="preserve">  ساوه شن</v>
      </c>
      <c r="Q301" s="1">
        <v>11</v>
      </c>
      <c r="R301" s="1" t="str">
        <f>"فروش داخلي تهران - بورس"</f>
        <v>فروش داخلي تهران - بورس</v>
      </c>
      <c r="S301" s="1" t="str">
        <f>"قرارداد فروش"</f>
        <v>قرارداد فروش</v>
      </c>
      <c r="T301" s="1" t="str">
        <f>"ندارد"</f>
        <v>ندارد</v>
      </c>
      <c r="U301" s="1" t="str">
        <f>"اميري علي(2842011)"</f>
        <v>اميري علي(2842011)</v>
      </c>
      <c r="V301" s="1">
        <v>961100106</v>
      </c>
      <c r="W301" s="1">
        <v>961100106</v>
      </c>
      <c r="X301" s="1" t="str">
        <f>"1396536915"</f>
        <v>1396536915</v>
      </c>
      <c r="Y301" s="1" t="str">
        <f>"96/10/16"</f>
        <v>96/10/16</v>
      </c>
      <c r="Z301" s="1" t="str">
        <f>"96-36924"</f>
        <v>96-36924</v>
      </c>
      <c r="AA301" s="1" t="str">
        <f>"آسفالت سازان"</f>
        <v>آسفالت سازان</v>
      </c>
      <c r="AB301" s="1" t="str">
        <f>"96/10/16"</f>
        <v>96/10/16</v>
      </c>
      <c r="AC301" s="1" t="str">
        <f>"استان تهران"</f>
        <v>استان تهران</v>
      </c>
      <c r="AD301" s="1" t="str">
        <f>"96/10/12"</f>
        <v>96/10/12</v>
      </c>
      <c r="AE301" s="1" t="str">
        <f>"اختتام"</f>
        <v>اختتام</v>
      </c>
      <c r="AF301" s="1" t="str">
        <f>""</f>
        <v/>
      </c>
      <c r="AG301" s="1" t="str">
        <f>""</f>
        <v/>
      </c>
      <c r="AH301" s="1" t="str">
        <f>""</f>
        <v/>
      </c>
      <c r="AI301" s="1" t="str">
        <f>""</f>
        <v/>
      </c>
      <c r="AJ301" s="1" t="str">
        <f>""</f>
        <v/>
      </c>
      <c r="AK301" s="1" t="str">
        <f>""</f>
        <v/>
      </c>
    </row>
    <row r="302" spans="1:37">
      <c r="A302" s="1">
        <v>36337</v>
      </c>
      <c r="B302" s="1">
        <v>962000469</v>
      </c>
      <c r="C302" s="1" t="str">
        <f>"تخليه اصفهان كيلومتر30اتوبان ذوب آهن كارخانه آسفالت زرين سپاهان"</f>
        <v>تخليه اصفهان كيلومتر30اتوبان ذوب آهن كارخانه آسفالت زرين سپاهان</v>
      </c>
      <c r="D302" s="1">
        <v>12820</v>
      </c>
      <c r="E302" s="1">
        <v>36337</v>
      </c>
      <c r="F302" s="1">
        <v>96</v>
      </c>
      <c r="G302" s="1">
        <v>0</v>
      </c>
      <c r="H302" s="1" t="str">
        <f>"96/09/20"</f>
        <v>96/09/20</v>
      </c>
      <c r="I302" s="1" t="str">
        <f>"كيلوگرم"</f>
        <v>كيلوگرم</v>
      </c>
      <c r="J302" s="1" t="str">
        <f>"0000000076"</f>
        <v>0000000076</v>
      </c>
      <c r="K302" s="1" t="str">
        <f>"قير 60/70 - فله"</f>
        <v>قير 60/70 - فله</v>
      </c>
      <c r="L302" s="1">
        <v>100</v>
      </c>
      <c r="M302" s="1" t="str">
        <f>"مخازن قير اصفهان"</f>
        <v>مخازن قير اصفهان</v>
      </c>
      <c r="N302" s="1">
        <v>10653</v>
      </c>
      <c r="O302" s="1">
        <v>50037791</v>
      </c>
      <c r="P302" s="1" t="str">
        <f>"  شهرداري زاينده رود"</f>
        <v xml:space="preserve">  شهرداري زاينده رود</v>
      </c>
      <c r="Q302" s="1">
        <v>20</v>
      </c>
      <c r="R302" s="1" t="str">
        <f>"فروش داخلي - سازمان شهرداري ها و دهياري هاي كشور"</f>
        <v>فروش داخلي - سازمان شهرداري ها و دهياري هاي كشور</v>
      </c>
      <c r="S302" s="1" t="str">
        <f>"قرارداد فروش"</f>
        <v>قرارداد فروش</v>
      </c>
      <c r="T302" s="1" t="str">
        <f>"ندارد"</f>
        <v>ندارد</v>
      </c>
      <c r="U302" s="1" t="str">
        <f>"تعاوني جم گستر (1001 ج 89)"</f>
        <v>تعاوني جم گستر (1001 ج 89)</v>
      </c>
      <c r="V302" s="1">
        <v>962000469</v>
      </c>
      <c r="W302" s="1">
        <v>962000469</v>
      </c>
      <c r="X302" s="1" t="str">
        <f>"1396529711"</f>
        <v>1396529711</v>
      </c>
      <c r="Y302" s="1" t="str">
        <f>"96/09/20"</f>
        <v>96/09/20</v>
      </c>
      <c r="Z302" s="1" t="str">
        <f>"37164مرحله دوم"</f>
        <v>37164مرحله دوم</v>
      </c>
      <c r="AA302" s="1" t="str">
        <f>"شهرداريها"</f>
        <v>شهرداريها</v>
      </c>
      <c r="AB302" s="1" t="str">
        <f>"96/09/05"</f>
        <v>96/09/05</v>
      </c>
      <c r="AC302" s="1" t="str">
        <f>"استان اصفهان"</f>
        <v>استان اصفهان</v>
      </c>
      <c r="AD302" s="1" t="str">
        <f>"96/09/13"</f>
        <v>96/09/13</v>
      </c>
      <c r="AE302" s="1" t="str">
        <f>"اختتام"</f>
        <v>اختتام</v>
      </c>
      <c r="AF302" s="1" t="str">
        <f>""</f>
        <v/>
      </c>
      <c r="AG302" s="1" t="str">
        <f>""</f>
        <v/>
      </c>
      <c r="AH302" s="1" t="str">
        <f>""</f>
        <v/>
      </c>
      <c r="AI302" s="1" t="str">
        <f>""</f>
        <v/>
      </c>
      <c r="AJ302" s="1" t="str">
        <f>""</f>
        <v/>
      </c>
      <c r="AK302" s="1" t="str">
        <f>""</f>
        <v/>
      </c>
    </row>
    <row r="303" spans="1:37">
      <c r="A303" s="1">
        <v>50000</v>
      </c>
      <c r="B303" s="1">
        <v>961100004</v>
      </c>
      <c r="C303" s="1" t="str">
        <f>"تخليه-شهرستان آباده-روبروي کارخانه سيمان"</f>
        <v>تخليه-شهرستان آباده-روبروي کارخانه سيمان</v>
      </c>
      <c r="D303" s="1">
        <v>8198</v>
      </c>
      <c r="E303" s="1">
        <v>50000</v>
      </c>
      <c r="F303" s="1">
        <v>96</v>
      </c>
      <c r="G303" s="1">
        <v>0</v>
      </c>
      <c r="H303" s="1" t="str">
        <f>"96/01/24"</f>
        <v>96/01/24</v>
      </c>
      <c r="I303" s="1" t="str">
        <f>"كيلوگرم"</f>
        <v>كيلوگرم</v>
      </c>
      <c r="J303" s="1" t="str">
        <f>"0000000076"</f>
        <v>0000000076</v>
      </c>
      <c r="K303" s="1" t="str">
        <f>"قير 60/70 - فله"</f>
        <v>قير 60/70 - فله</v>
      </c>
      <c r="L303" s="1">
        <v>100</v>
      </c>
      <c r="M303" s="1" t="str">
        <f>"مخازن قير اصفهان"</f>
        <v>مخازن قير اصفهان</v>
      </c>
      <c r="N303" s="1">
        <v>10683</v>
      </c>
      <c r="O303" s="1">
        <v>50034587</v>
      </c>
      <c r="P303" s="1" t="str">
        <f>"  عايق اندود شرق سيصدو دو آسيا"</f>
        <v xml:space="preserve">  عايق اندود شرق سيصدو دو آسيا</v>
      </c>
      <c r="Q303" s="1">
        <v>11</v>
      </c>
      <c r="R303" s="1" t="str">
        <f>"فروش داخلي تهران - بورس"</f>
        <v>فروش داخلي تهران - بورس</v>
      </c>
      <c r="S303" s="1" t="str">
        <f>"قرارداد فروش"</f>
        <v>قرارداد فروش</v>
      </c>
      <c r="T303" s="1" t="str">
        <f>"ندارد"</f>
        <v>ندارد</v>
      </c>
      <c r="U303" s="1" t="str">
        <f>"تاج سعيد هوشنگ (1031ج 89)"</f>
        <v>تاج سعيد هوشنگ (1031ج 89)</v>
      </c>
      <c r="V303" s="1">
        <v>961100004</v>
      </c>
      <c r="W303" s="1">
        <v>961100004</v>
      </c>
      <c r="X303" s="1" t="str">
        <f>"1396472722"</f>
        <v>1396472722</v>
      </c>
      <c r="Y303" s="1" t="str">
        <f>"96/01/23"</f>
        <v>96/01/23</v>
      </c>
      <c r="Z303" s="1" t="str">
        <f>"96-35310"</f>
        <v>96-35310</v>
      </c>
      <c r="AA303" s="1" t="str">
        <f>"راه سازي"</f>
        <v>راه سازي</v>
      </c>
      <c r="AB303" s="1" t="str">
        <f>"96/01/23"</f>
        <v>96/01/23</v>
      </c>
      <c r="AC303" s="1" t="str">
        <f>"استان فارس"</f>
        <v>استان فارس</v>
      </c>
      <c r="AD303" s="1" t="str">
        <f>"96/01/20"</f>
        <v>96/01/20</v>
      </c>
      <c r="AE303" s="1" t="str">
        <f>"اختتام"</f>
        <v>اختتام</v>
      </c>
      <c r="AF303" s="1" t="str">
        <f>""</f>
        <v/>
      </c>
      <c r="AG303" s="1" t="str">
        <f>""</f>
        <v/>
      </c>
      <c r="AH303" s="1" t="str">
        <f>""</f>
        <v/>
      </c>
      <c r="AI303" s="1" t="str">
        <f>""</f>
        <v/>
      </c>
      <c r="AJ303" s="1" t="str">
        <f>""</f>
        <v/>
      </c>
      <c r="AK303" s="1" t="str">
        <f>""</f>
        <v/>
      </c>
    </row>
    <row r="304" spans="1:37">
      <c r="A304" s="1">
        <v>50000</v>
      </c>
      <c r="B304" s="1">
        <v>961100024</v>
      </c>
      <c r="C304" s="1" t="str">
        <f>"تخليه-شهرستان آباده-روبروي کارخانه سيمان"</f>
        <v>تخليه-شهرستان آباده-روبروي کارخانه سيمان</v>
      </c>
      <c r="D304" s="1">
        <v>9204</v>
      </c>
      <c r="E304" s="1">
        <v>50000</v>
      </c>
      <c r="F304" s="1">
        <v>96</v>
      </c>
      <c r="G304" s="1">
        <v>0</v>
      </c>
      <c r="H304" s="1" t="str">
        <f>"96/03/16"</f>
        <v>96/03/16</v>
      </c>
      <c r="I304" s="1" t="str">
        <f>"كيلوگرم"</f>
        <v>كيلوگرم</v>
      </c>
      <c r="J304" s="1" t="str">
        <f>"0000000076"</f>
        <v>0000000076</v>
      </c>
      <c r="K304" s="1" t="str">
        <f>"قير 60/70 - فله"</f>
        <v>قير 60/70 - فله</v>
      </c>
      <c r="L304" s="1">
        <v>100</v>
      </c>
      <c r="M304" s="1" t="str">
        <f>"مخازن قير اصفهان"</f>
        <v>مخازن قير اصفهان</v>
      </c>
      <c r="N304" s="1">
        <v>10683</v>
      </c>
      <c r="O304" s="1">
        <v>50034969</v>
      </c>
      <c r="P304" s="1" t="str">
        <f>"  عايق اندود شرق سيصدو دو آسيا"</f>
        <v xml:space="preserve">  عايق اندود شرق سيصدو دو آسيا</v>
      </c>
      <c r="Q304" s="1">
        <v>11</v>
      </c>
      <c r="R304" s="1" t="str">
        <f>"فروش داخلي تهران - بورس"</f>
        <v>فروش داخلي تهران - بورس</v>
      </c>
      <c r="S304" s="1" t="str">
        <f>"قرارداد فروش"</f>
        <v>قرارداد فروش</v>
      </c>
      <c r="T304" s="1" t="str">
        <f>"ندارد"</f>
        <v>ندارد</v>
      </c>
      <c r="U304" s="1" t="str">
        <f>"تاج سعيد هوشنگ (1031ج 89)"</f>
        <v>تاج سعيد هوشنگ (1031ج 89)</v>
      </c>
      <c r="V304" s="1">
        <v>961100024</v>
      </c>
      <c r="W304" s="1">
        <v>961100024</v>
      </c>
      <c r="X304" s="1" t="str">
        <f>"1396484353"</f>
        <v>1396484353</v>
      </c>
      <c r="Y304" s="1" t="str">
        <f>"96/03/16"</f>
        <v>96/03/16</v>
      </c>
      <c r="Z304" s="1" t="str">
        <f>"96-35586"</f>
        <v>96-35586</v>
      </c>
      <c r="AA304" s="1" t="str">
        <f>"راه سازي"</f>
        <v>راه سازي</v>
      </c>
      <c r="AB304" s="1" t="str">
        <f>"96/03/16"</f>
        <v>96/03/16</v>
      </c>
      <c r="AC304" s="1" t="str">
        <f>"استان فارس"</f>
        <v>استان فارس</v>
      </c>
      <c r="AD304" s="1" t="str">
        <f>"95/03/09"</f>
        <v>95/03/09</v>
      </c>
      <c r="AE304" s="1" t="str">
        <f>"اختتام"</f>
        <v>اختتام</v>
      </c>
      <c r="AF304" s="1" t="str">
        <f>""</f>
        <v/>
      </c>
      <c r="AG304" s="1" t="str">
        <f>""</f>
        <v/>
      </c>
      <c r="AH304" s="1" t="str">
        <f>""</f>
        <v/>
      </c>
      <c r="AI304" s="1" t="str">
        <f>""</f>
        <v/>
      </c>
      <c r="AJ304" s="1" t="str">
        <f>""</f>
        <v/>
      </c>
      <c r="AK304" s="1" t="str">
        <f>""</f>
        <v/>
      </c>
    </row>
    <row r="305" spans="1:37">
      <c r="A305" s="1">
        <v>40000</v>
      </c>
      <c r="B305" s="1">
        <v>961100083</v>
      </c>
      <c r="C305" s="1" t="str">
        <f>"تخليه-شهرستان آباده-روبروي کارخانه سيمان"</f>
        <v>تخليه-شهرستان آباده-روبروي کارخانه سيمان</v>
      </c>
      <c r="D305" s="1">
        <v>9113</v>
      </c>
      <c r="E305" s="1">
        <v>40000</v>
      </c>
      <c r="F305" s="1">
        <v>96</v>
      </c>
      <c r="G305" s="1">
        <v>0</v>
      </c>
      <c r="H305" s="1" t="str">
        <f>"96/08/02"</f>
        <v>96/08/02</v>
      </c>
      <c r="I305" s="1" t="str">
        <f>"كيلوگرم"</f>
        <v>كيلوگرم</v>
      </c>
      <c r="J305" s="1" t="str">
        <f>"0000000076"</f>
        <v>0000000076</v>
      </c>
      <c r="K305" s="1" t="str">
        <f>"قير 60/70 - فله"</f>
        <v>قير 60/70 - فله</v>
      </c>
      <c r="L305" s="1">
        <v>100</v>
      </c>
      <c r="M305" s="1" t="str">
        <f>"مخازن قير اصفهان"</f>
        <v>مخازن قير اصفهان</v>
      </c>
      <c r="N305" s="1">
        <v>10683</v>
      </c>
      <c r="O305" s="1">
        <v>50036882</v>
      </c>
      <c r="P305" s="1" t="str">
        <f>"  عايق اندود شرق سيصدو دو آسيا"</f>
        <v xml:space="preserve">  عايق اندود شرق سيصدو دو آسيا</v>
      </c>
      <c r="Q305" s="1">
        <v>11</v>
      </c>
      <c r="R305" s="1" t="str">
        <f>"فروش داخلي تهران - بورس"</f>
        <v>فروش داخلي تهران - بورس</v>
      </c>
      <c r="S305" s="1" t="str">
        <f>"قرارداد فروش"</f>
        <v>قرارداد فروش</v>
      </c>
      <c r="T305" s="1" t="str">
        <f>"ندارد"</f>
        <v>ندارد</v>
      </c>
      <c r="U305" s="1" t="str">
        <f>"تاج سعيد هوشنگ (1031ج 89)"</f>
        <v>تاج سعيد هوشنگ (1031ج 89)</v>
      </c>
      <c r="V305" s="1">
        <v>961100083</v>
      </c>
      <c r="W305" s="1">
        <v>961100083</v>
      </c>
      <c r="X305" s="1" t="str">
        <f>"1396519912"</f>
        <v>1396519912</v>
      </c>
      <c r="Y305" s="1" t="str">
        <f>"96/08/01"</f>
        <v>96/08/01</v>
      </c>
      <c r="Z305" s="1" t="str">
        <f>"96-36422"</f>
        <v>96-36422</v>
      </c>
      <c r="AA305" s="1" t="str">
        <f>"راه سازي"</f>
        <v>راه سازي</v>
      </c>
      <c r="AB305" s="1" t="str">
        <f>"96/08/01"</f>
        <v>96/08/01</v>
      </c>
      <c r="AC305" s="1" t="str">
        <f>"استان فارس"</f>
        <v>استان فارس</v>
      </c>
      <c r="AD305" s="1" t="str">
        <f>"96/07/26"</f>
        <v>96/07/26</v>
      </c>
      <c r="AE305" s="1" t="str">
        <f>"اختتام"</f>
        <v>اختتام</v>
      </c>
      <c r="AF305" s="1" t="str">
        <f>""</f>
        <v/>
      </c>
      <c r="AG305" s="1" t="str">
        <f>""</f>
        <v/>
      </c>
      <c r="AH305" s="1" t="str">
        <f>""</f>
        <v/>
      </c>
      <c r="AI305" s="1" t="str">
        <f>""</f>
        <v/>
      </c>
      <c r="AJ305" s="1" t="str">
        <f>""</f>
        <v/>
      </c>
      <c r="AK305" s="1" t="str">
        <f>""</f>
        <v/>
      </c>
    </row>
    <row r="306" spans="1:37">
      <c r="A306" s="1">
        <v>36034</v>
      </c>
      <c r="B306" s="1">
        <v>962000403</v>
      </c>
      <c r="C306" s="1" t="str">
        <f>"تخليه اصفهان مباركه جاده هفت تيركارخانه آسفالت مباركه"</f>
        <v>تخليه اصفهان مباركه جاده هفت تيركارخانه آسفالت مباركه</v>
      </c>
      <c r="D306" s="1">
        <v>12820</v>
      </c>
      <c r="E306" s="1">
        <v>36034</v>
      </c>
      <c r="F306" s="1">
        <v>96</v>
      </c>
      <c r="G306" s="1">
        <v>0</v>
      </c>
      <c r="H306" s="1" t="str">
        <f>"96/09/20"</f>
        <v>96/09/20</v>
      </c>
      <c r="I306" s="1" t="str">
        <f>"كيلوگرم"</f>
        <v>كيلوگرم</v>
      </c>
      <c r="J306" s="1" t="str">
        <f>"0000000076"</f>
        <v>0000000076</v>
      </c>
      <c r="K306" s="1" t="str">
        <f>"قير 60/70 - فله"</f>
        <v>قير 60/70 - فله</v>
      </c>
      <c r="L306" s="1">
        <v>100</v>
      </c>
      <c r="M306" s="1" t="str">
        <f>"مخازن قير اصفهان"</f>
        <v>مخازن قير اصفهان</v>
      </c>
      <c r="N306" s="1">
        <v>10684</v>
      </c>
      <c r="O306" s="1">
        <v>50037716</v>
      </c>
      <c r="P306" s="1" t="str">
        <f>"  شهرداري زيار"</f>
        <v xml:space="preserve">  شهرداري زيار</v>
      </c>
      <c r="Q306" s="1">
        <v>20</v>
      </c>
      <c r="R306" s="1" t="str">
        <f>"فروش داخلي - سازمان شهرداري ها و دهياري هاي كشور"</f>
        <v>فروش داخلي - سازمان شهرداري ها و دهياري هاي كشور</v>
      </c>
      <c r="S306" s="1" t="str">
        <f>"قرارداد فروش"</f>
        <v>قرارداد فروش</v>
      </c>
      <c r="T306" s="1" t="str">
        <f>"ندارد"</f>
        <v>ندارد</v>
      </c>
      <c r="U306" s="1" t="str">
        <f>"تعاوني جم گستر (1001 ج 89)"</f>
        <v>تعاوني جم گستر (1001 ج 89)</v>
      </c>
      <c r="V306" s="1">
        <v>962000403</v>
      </c>
      <c r="W306" s="1">
        <v>962000403</v>
      </c>
      <c r="X306" s="1" t="str">
        <f>"1396529711"</f>
        <v>1396529711</v>
      </c>
      <c r="Y306" s="1" t="str">
        <f>"96/09/20"</f>
        <v>96/09/20</v>
      </c>
      <c r="Z306" s="1" t="str">
        <f>"37166مرحله دوم"</f>
        <v>37166مرحله دوم</v>
      </c>
      <c r="AA306" s="1" t="str">
        <f>"شهرداريها"</f>
        <v>شهرداريها</v>
      </c>
      <c r="AB306" s="1" t="str">
        <f>"96/09/05"</f>
        <v>96/09/05</v>
      </c>
      <c r="AC306" s="1" t="str">
        <f>"استان اصفهان"</f>
        <v>استان اصفهان</v>
      </c>
      <c r="AD306" s="1" t="str">
        <f>"96/09/13"</f>
        <v>96/09/13</v>
      </c>
      <c r="AE306" s="1" t="str">
        <f>"اختتام"</f>
        <v>اختتام</v>
      </c>
      <c r="AF306" s="1" t="str">
        <f>""</f>
        <v/>
      </c>
      <c r="AG306" s="1" t="str">
        <f>""</f>
        <v/>
      </c>
      <c r="AH306" s="1" t="str">
        <f>""</f>
        <v/>
      </c>
      <c r="AI306" s="1" t="str">
        <f>""</f>
        <v/>
      </c>
      <c r="AJ306" s="1" t="str">
        <f>""</f>
        <v/>
      </c>
      <c r="AK306" s="1" t="str">
        <f>""</f>
        <v/>
      </c>
    </row>
    <row r="307" spans="1:37">
      <c r="A307" s="1">
        <v>43869</v>
      </c>
      <c r="B307" s="1">
        <v>962000397</v>
      </c>
      <c r="C307" s="1" t="str">
        <f>"تخليه -اصفهان -اردستان -كارخانه آسفالت شركت كوهرنگ راه كيلومتر20جاده اردستان -نايين"</f>
        <v>تخليه -اصفهان -اردستان -كارخانه آسفالت شركت كوهرنگ راه كيلومتر20جاده اردستان -نايين</v>
      </c>
      <c r="D307" s="1">
        <v>12820</v>
      </c>
      <c r="E307" s="1">
        <v>43869</v>
      </c>
      <c r="F307" s="1">
        <v>96</v>
      </c>
      <c r="G307" s="1">
        <v>0</v>
      </c>
      <c r="H307" s="1" t="str">
        <f>"96/09/20"</f>
        <v>96/09/20</v>
      </c>
      <c r="I307" s="1" t="str">
        <f>"كيلوگرم"</f>
        <v>كيلوگرم</v>
      </c>
      <c r="J307" s="1" t="str">
        <f>"0000000076"</f>
        <v>0000000076</v>
      </c>
      <c r="K307" s="1" t="str">
        <f>"قير 60/70 - فله"</f>
        <v>قير 60/70 - فله</v>
      </c>
      <c r="L307" s="1">
        <v>100</v>
      </c>
      <c r="M307" s="1" t="str">
        <f>"مخازن قير اصفهان"</f>
        <v>مخازن قير اصفهان</v>
      </c>
      <c r="N307" s="1">
        <v>10657</v>
      </c>
      <c r="O307" s="1">
        <v>50037710</v>
      </c>
      <c r="P307" s="1" t="str">
        <f>"  شهرداري اردستان"</f>
        <v xml:space="preserve">  شهرداري اردستان</v>
      </c>
      <c r="Q307" s="1">
        <v>20</v>
      </c>
      <c r="R307" s="1" t="str">
        <f>"فروش داخلي - سازمان شهرداري ها و دهياري هاي كشور"</f>
        <v>فروش داخلي - سازمان شهرداري ها و دهياري هاي كشور</v>
      </c>
      <c r="S307" s="1" t="str">
        <f>"قرارداد فروش"</f>
        <v>قرارداد فروش</v>
      </c>
      <c r="T307" s="1" t="str">
        <f>"ندارد"</f>
        <v>ندارد</v>
      </c>
      <c r="U307" s="1" t="str">
        <f>"تعاوني جم گستر (1001 ج 89)"</f>
        <v>تعاوني جم گستر (1001 ج 89)</v>
      </c>
      <c r="V307" s="1">
        <v>962000397</v>
      </c>
      <c r="W307" s="1">
        <v>962000397</v>
      </c>
      <c r="X307" s="1" t="str">
        <f>"1396529711"</f>
        <v>1396529711</v>
      </c>
      <c r="Y307" s="1" t="str">
        <f>"96/09/20"</f>
        <v>96/09/20</v>
      </c>
      <c r="Z307" s="1" t="str">
        <f>"37106مرحله دوم"</f>
        <v>37106مرحله دوم</v>
      </c>
      <c r="AA307" s="1" t="str">
        <f>"شهرداريها"</f>
        <v>شهرداريها</v>
      </c>
      <c r="AB307" s="1" t="str">
        <f>"96/09/04"</f>
        <v>96/09/04</v>
      </c>
      <c r="AC307" s="1" t="str">
        <f>"استان اصفهان"</f>
        <v>استان اصفهان</v>
      </c>
      <c r="AD307" s="1" t="str">
        <f>"96/09/13"</f>
        <v>96/09/13</v>
      </c>
      <c r="AE307" s="1" t="str">
        <f>"اختتام"</f>
        <v>اختتام</v>
      </c>
      <c r="AF307" s="1" t="str">
        <f>""</f>
        <v/>
      </c>
      <c r="AG307" s="1" t="str">
        <f>""</f>
        <v/>
      </c>
      <c r="AH307" s="1" t="str">
        <f>""</f>
        <v/>
      </c>
      <c r="AI307" s="1" t="str">
        <f>""</f>
        <v/>
      </c>
      <c r="AJ307" s="1" t="str">
        <f>""</f>
        <v/>
      </c>
      <c r="AK307" s="1" t="str">
        <f>""</f>
        <v/>
      </c>
    </row>
    <row r="308" spans="1:37">
      <c r="A308" s="1">
        <v>34606</v>
      </c>
      <c r="B308" s="1">
        <v>962000474</v>
      </c>
      <c r="C308" s="1" t="str">
        <f>"تخليه اصفهان مباركه مقابل شهرطالخونچه مجتمع كارگاهي اميركبيرشركت نويدنورسپاهان"</f>
        <v>تخليه اصفهان مباركه مقابل شهرطالخونچه مجتمع كارگاهي اميركبيرشركت نويدنورسپاهان</v>
      </c>
      <c r="D308" s="1">
        <v>12820</v>
      </c>
      <c r="E308" s="1">
        <v>34606</v>
      </c>
      <c r="F308" s="1">
        <v>96</v>
      </c>
      <c r="G308" s="1">
        <v>0</v>
      </c>
      <c r="H308" s="1" t="str">
        <f>"96/09/20"</f>
        <v>96/09/20</v>
      </c>
      <c r="I308" s="1" t="str">
        <f>"كيلوگرم"</f>
        <v>كيلوگرم</v>
      </c>
      <c r="J308" s="1" t="str">
        <f>"0000000076"</f>
        <v>0000000076</v>
      </c>
      <c r="K308" s="1" t="str">
        <f>"قير 60/70 - فله"</f>
        <v>قير 60/70 - فله</v>
      </c>
      <c r="L308" s="1">
        <v>100</v>
      </c>
      <c r="M308" s="1" t="str">
        <f>"مخازن قير اصفهان"</f>
        <v>مخازن قير اصفهان</v>
      </c>
      <c r="N308" s="1">
        <v>10661</v>
      </c>
      <c r="O308" s="1">
        <v>50037796</v>
      </c>
      <c r="P308" s="1" t="str">
        <f>"  شهرداري طالخونچه"</f>
        <v xml:space="preserve">  شهرداري طالخونچه</v>
      </c>
      <c r="Q308" s="1">
        <v>20</v>
      </c>
      <c r="R308" s="1" t="str">
        <f>"فروش داخلي - سازمان شهرداري ها و دهياري هاي كشور"</f>
        <v>فروش داخلي - سازمان شهرداري ها و دهياري هاي كشور</v>
      </c>
      <c r="S308" s="1" t="str">
        <f>"قرارداد فروش"</f>
        <v>قرارداد فروش</v>
      </c>
      <c r="T308" s="1" t="str">
        <f>"ندارد"</f>
        <v>ندارد</v>
      </c>
      <c r="U308" s="1" t="str">
        <f>"تعاوني جم گستر (1001 ج 89)"</f>
        <v>تعاوني جم گستر (1001 ج 89)</v>
      </c>
      <c r="V308" s="1">
        <v>962000474</v>
      </c>
      <c r="W308" s="1">
        <v>962000474</v>
      </c>
      <c r="X308" s="1" t="str">
        <f>"1396529711"</f>
        <v>1396529711</v>
      </c>
      <c r="Y308" s="1" t="str">
        <f>"96/09/20"</f>
        <v>96/09/20</v>
      </c>
      <c r="Z308" s="1" t="str">
        <f>"37180مرحله دوم"</f>
        <v>37180مرحله دوم</v>
      </c>
      <c r="AA308" s="1" t="str">
        <f>"شهرداريها"</f>
        <v>شهرداريها</v>
      </c>
      <c r="AB308" s="1" t="str">
        <f>"96/09/05"</f>
        <v>96/09/05</v>
      </c>
      <c r="AC308" s="1" t="str">
        <f>"استان اصفهان"</f>
        <v>استان اصفهان</v>
      </c>
      <c r="AD308" s="1" t="str">
        <f>"96/09/13"</f>
        <v>96/09/13</v>
      </c>
      <c r="AE308" s="1" t="str">
        <f>"اختتام"</f>
        <v>اختتام</v>
      </c>
      <c r="AF308" s="1" t="str">
        <f>""</f>
        <v/>
      </c>
      <c r="AG308" s="1" t="str">
        <f>""</f>
        <v/>
      </c>
      <c r="AH308" s="1" t="str">
        <f>""</f>
        <v/>
      </c>
      <c r="AI308" s="1" t="str">
        <f>""</f>
        <v/>
      </c>
      <c r="AJ308" s="1" t="str">
        <f>""</f>
        <v/>
      </c>
      <c r="AK308" s="1" t="str">
        <f>""</f>
        <v/>
      </c>
    </row>
    <row r="309" spans="1:37">
      <c r="A309" s="1">
        <v>35659</v>
      </c>
      <c r="B309" s="1">
        <v>962000418</v>
      </c>
      <c r="C309" s="1" t="str">
        <f>"تخليه - اصفهان -منطقه صنعتي اشترجان-انتهاي خيابان يازدهم-شرکت راه آژند"</f>
        <v>تخليه - اصفهان -منطقه صنعتي اشترجان-انتهاي خيابان يازدهم-شرکت راه آژند</v>
      </c>
      <c r="D309" s="1">
        <v>12820</v>
      </c>
      <c r="E309" s="1">
        <v>35659</v>
      </c>
      <c r="F309" s="1">
        <v>96</v>
      </c>
      <c r="G309" s="1">
        <v>0</v>
      </c>
      <c r="H309" s="1" t="str">
        <f>"96/09/20"</f>
        <v>96/09/20</v>
      </c>
      <c r="I309" s="1" t="str">
        <f>"كيلوگرم"</f>
        <v>كيلوگرم</v>
      </c>
      <c r="J309" s="1" t="str">
        <f>"0000000076"</f>
        <v>0000000076</v>
      </c>
      <c r="K309" s="1" t="str">
        <f>"قير 60/70 - فله"</f>
        <v>قير 60/70 - فله</v>
      </c>
      <c r="L309" s="1">
        <v>100</v>
      </c>
      <c r="M309" s="1" t="str">
        <f>"مخازن قير اصفهان"</f>
        <v>مخازن قير اصفهان</v>
      </c>
      <c r="N309" s="1">
        <v>10662</v>
      </c>
      <c r="O309" s="1">
        <v>50037731</v>
      </c>
      <c r="P309" s="1" t="str">
        <f>"  شهرداري كمشچه"</f>
        <v xml:space="preserve">  شهرداري كمشچه</v>
      </c>
      <c r="Q309" s="1">
        <v>20</v>
      </c>
      <c r="R309" s="1" t="str">
        <f>"فروش داخلي - سازمان شهرداري ها و دهياري هاي كشور"</f>
        <v>فروش داخلي - سازمان شهرداري ها و دهياري هاي كشور</v>
      </c>
      <c r="S309" s="1" t="str">
        <f>"قرارداد فروش"</f>
        <v>قرارداد فروش</v>
      </c>
      <c r="T309" s="1" t="str">
        <f>"ندارد"</f>
        <v>ندارد</v>
      </c>
      <c r="U309" s="1" t="str">
        <f>"تعاوني جم گستر (1001 ج 89)"</f>
        <v>تعاوني جم گستر (1001 ج 89)</v>
      </c>
      <c r="V309" s="1">
        <v>962000418</v>
      </c>
      <c r="W309" s="1">
        <v>962000418</v>
      </c>
      <c r="X309" s="1" t="str">
        <f>"1396529711"</f>
        <v>1396529711</v>
      </c>
      <c r="Y309" s="1" t="str">
        <f>"96/09/20"</f>
        <v>96/09/20</v>
      </c>
      <c r="Z309" s="1" t="str">
        <f>"37207مرحله دوم"</f>
        <v>37207مرحله دوم</v>
      </c>
      <c r="AA309" s="1" t="str">
        <f>"شهرداريها"</f>
        <v>شهرداريها</v>
      </c>
      <c r="AB309" s="1" t="str">
        <f>"96/09/05"</f>
        <v>96/09/05</v>
      </c>
      <c r="AC309" s="1" t="str">
        <f>"استان اصفهان"</f>
        <v>استان اصفهان</v>
      </c>
      <c r="AD309" s="1" t="str">
        <f>"96/09/13"</f>
        <v>96/09/13</v>
      </c>
      <c r="AE309" s="1" t="str">
        <f>"اختتام"</f>
        <v>اختتام</v>
      </c>
      <c r="AF309" s="1" t="str">
        <f>""</f>
        <v/>
      </c>
      <c r="AG309" s="1" t="str">
        <f>""</f>
        <v/>
      </c>
      <c r="AH309" s="1" t="str">
        <f>""</f>
        <v/>
      </c>
      <c r="AI309" s="1" t="str">
        <f>""</f>
        <v/>
      </c>
      <c r="AJ309" s="1" t="str">
        <f>""</f>
        <v/>
      </c>
      <c r="AK309" s="1" t="str">
        <f>""</f>
        <v/>
      </c>
    </row>
    <row r="310" spans="1:37">
      <c r="A310" s="1">
        <v>400000</v>
      </c>
      <c r="B310" s="1">
        <v>961100104</v>
      </c>
      <c r="C310" s="1" t="str">
        <f>"تخليه-كيلومتر10جاده زاهدان -خاش -كارخانه آسفالت شهرداري زاهدان"</f>
        <v>تخليه-كيلومتر10جاده زاهدان -خاش -كارخانه آسفالت شهرداري زاهدان</v>
      </c>
      <c r="D310" s="1">
        <v>12820</v>
      </c>
      <c r="E310" s="1">
        <v>400000</v>
      </c>
      <c r="F310" s="1">
        <v>96</v>
      </c>
      <c r="G310" s="1">
        <v>0</v>
      </c>
      <c r="H310" s="1" t="str">
        <f>"96/10/03"</f>
        <v>96/10/03</v>
      </c>
      <c r="I310" s="1" t="str">
        <f>"كيلوگرم"</f>
        <v>كيلوگرم</v>
      </c>
      <c r="J310" s="1" t="str">
        <f>"0000000076"</f>
        <v>0000000076</v>
      </c>
      <c r="K310" s="1" t="str">
        <f>"قير 60/70 - فله"</f>
        <v>قير 60/70 - فله</v>
      </c>
      <c r="L310" s="1">
        <v>100</v>
      </c>
      <c r="M310" s="1" t="str">
        <f>"مخازن قير اصفهان"</f>
        <v>مخازن قير اصفهان</v>
      </c>
      <c r="N310" s="1">
        <v>9938</v>
      </c>
      <c r="O310" s="1">
        <v>50037962</v>
      </c>
      <c r="P310" s="1" t="str">
        <f>"  سازمان عمران شهرداري زاهدان"</f>
        <v xml:space="preserve">  سازمان عمران شهرداري زاهدان</v>
      </c>
      <c r="Q310" s="1">
        <v>11</v>
      </c>
      <c r="R310" s="1" t="str">
        <f>"فروش داخلي تهران - بورس"</f>
        <v>فروش داخلي تهران - بورس</v>
      </c>
      <c r="S310" s="1" t="str">
        <f>"قرارداد فروش"</f>
        <v>قرارداد فروش</v>
      </c>
      <c r="T310" s="1" t="str">
        <f>"ندارد"</f>
        <v>ندارد</v>
      </c>
      <c r="U310" s="1" t="str">
        <f>"ميرحسيني سيناترابر سيدمحمد(4854031)"</f>
        <v>ميرحسيني سيناترابر سيدمحمد(4854031)</v>
      </c>
      <c r="V310" s="1">
        <v>961100104</v>
      </c>
      <c r="W310" s="1">
        <v>961100104</v>
      </c>
      <c r="X310" s="1" t="str">
        <f>"1396533068"</f>
        <v>1396533068</v>
      </c>
      <c r="Y310" s="1" t="str">
        <f>"96/09/28"</f>
        <v>96/09/28</v>
      </c>
      <c r="Z310" s="1" t="str">
        <f>"1396-ع /س -1087"</f>
        <v>1396-ع /س -1087</v>
      </c>
      <c r="AA310" s="1" t="str">
        <f>"شهرداريها"</f>
        <v>شهرداريها</v>
      </c>
      <c r="AB310" s="1" t="str">
        <f>"96/09/04"</f>
        <v>96/09/04</v>
      </c>
      <c r="AC310" s="1" t="str">
        <f>"استان سيستان بلوچستان"</f>
        <v>استان سيستان بلوچستان</v>
      </c>
      <c r="AD310" s="1" t="str">
        <f>"96/09/27"</f>
        <v>96/09/27</v>
      </c>
      <c r="AE310" s="1" t="str">
        <f>"اختتام"</f>
        <v>اختتام</v>
      </c>
      <c r="AF310" s="1" t="str">
        <f>""</f>
        <v/>
      </c>
      <c r="AG310" s="1" t="str">
        <f>""</f>
        <v/>
      </c>
      <c r="AH310" s="1" t="str">
        <f>""</f>
        <v/>
      </c>
      <c r="AI310" s="1" t="str">
        <f>""</f>
        <v/>
      </c>
      <c r="AJ310" s="1" t="str">
        <f>""</f>
        <v/>
      </c>
      <c r="AK310" s="1" t="str">
        <f>""</f>
        <v/>
      </c>
    </row>
    <row r="311" spans="1:37">
      <c r="A311" s="1">
        <v>115000</v>
      </c>
      <c r="B311" s="1">
        <v>966200018</v>
      </c>
      <c r="C311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311" s="1">
        <v>8198</v>
      </c>
      <c r="E311" s="1">
        <v>114160</v>
      </c>
      <c r="F311" s="1">
        <v>96</v>
      </c>
      <c r="G311" s="1">
        <v>840</v>
      </c>
      <c r="H311" s="1" t="str">
        <f>"96/01/21"</f>
        <v>96/01/21</v>
      </c>
      <c r="I311" s="1" t="str">
        <f>"كيلوگرم"</f>
        <v>كيلوگرم</v>
      </c>
      <c r="J311" s="1" t="str">
        <f>"0000000076"</f>
        <v>0000000076</v>
      </c>
      <c r="K311" s="1" t="str">
        <f>"قير 60/70 - فله"</f>
        <v>قير 60/70 - فله</v>
      </c>
      <c r="L311" s="1">
        <v>100</v>
      </c>
      <c r="M311" s="1" t="str">
        <f>"مخازن قير اصفهان"</f>
        <v>مخازن قير اصفهان</v>
      </c>
      <c r="N311" s="1">
        <v>11001</v>
      </c>
      <c r="O311" s="1">
        <v>50034483</v>
      </c>
      <c r="P311" s="1" t="str">
        <f>"  بنياد مسکن انقلاب اسلامي نجف آباد"</f>
        <v xml:space="preserve">  بنياد مسکن انقلاب اسلامي نجف آباد</v>
      </c>
      <c r="Q311" s="1">
        <v>62</v>
      </c>
      <c r="R311" s="1" t="str">
        <f>"فروش داخلي - سازمان بنيادمسكن انقلاب اسلامي"</f>
        <v>فروش داخلي - سازمان بنيادمسكن انقلاب اسلامي</v>
      </c>
      <c r="S311" s="1" t="str">
        <f>"قرارداد فروش"</f>
        <v>قرارداد فروش</v>
      </c>
      <c r="T311" s="1" t="str">
        <f>"ندارد"</f>
        <v>ندارد</v>
      </c>
      <c r="U311" s="1" t="str">
        <f>"سيفي پور عبدالمجيد(1009ج89)"</f>
        <v>سيفي پور عبدالمجيد(1009ج89)</v>
      </c>
      <c r="V311" s="1">
        <v>966200018</v>
      </c>
      <c r="W311" s="1">
        <v>966200018</v>
      </c>
      <c r="X311" s="1" t="str">
        <f>"1396472723"</f>
        <v>1396472723</v>
      </c>
      <c r="Y311" s="1" t="str">
        <f>"96/01/21"</f>
        <v>96/01/21</v>
      </c>
      <c r="Z311" s="1" t="str">
        <f>"1086/د"</f>
        <v>1086/د</v>
      </c>
      <c r="AA311" s="1" t="str">
        <f>"بنيادمسكن انقلاب اسلامي"</f>
        <v>بنيادمسكن انقلاب اسلامي</v>
      </c>
      <c r="AB311" s="1" t="str">
        <f>"96/01/19"</f>
        <v>96/01/19</v>
      </c>
      <c r="AC311" s="1" t="str">
        <f>"استان اصفهان"</f>
        <v>استان اصفهان</v>
      </c>
      <c r="AD311" s="1" t="str">
        <f>"96/01/20"</f>
        <v>96/01/20</v>
      </c>
      <c r="AE311" s="1" t="str">
        <f>"اختتام"</f>
        <v>اختتام</v>
      </c>
      <c r="AF311" s="1" t="str">
        <f>""</f>
        <v/>
      </c>
      <c r="AG311" s="1" t="str">
        <f>""</f>
        <v/>
      </c>
      <c r="AH311" s="1" t="str">
        <f>""</f>
        <v/>
      </c>
      <c r="AI311" s="1" t="str">
        <f>""</f>
        <v/>
      </c>
      <c r="AJ311" s="1" t="str">
        <f>""</f>
        <v/>
      </c>
      <c r="AK311" s="1" t="str">
        <f>""</f>
        <v/>
      </c>
    </row>
    <row r="312" spans="1:37">
      <c r="A312" s="1">
        <v>15000</v>
      </c>
      <c r="B312" s="1">
        <v>966200616</v>
      </c>
      <c r="C312" s="1" t="str">
        <f>"تخليه - کهگيلويه و بويراحمد-ياسوج-سپيدار-شهرک صنعتي دلي بجک-کارخانه آسفالت نجفي"</f>
        <v>تخليه - کهگيلويه و بويراحمد-ياسوج-سپيدار-شهرک صنعتي دلي بجک-کارخانه آسفالت نجفي</v>
      </c>
      <c r="D312" s="1">
        <v>13350</v>
      </c>
      <c r="E312" s="1">
        <v>14640</v>
      </c>
      <c r="F312" s="1">
        <v>96</v>
      </c>
      <c r="G312" s="1">
        <v>360</v>
      </c>
      <c r="H312" s="1" t="str">
        <f>"96/12/09"</f>
        <v>96/12/09</v>
      </c>
      <c r="I312" s="1" t="str">
        <f>"كيلوگرم"</f>
        <v>كيلوگرم</v>
      </c>
      <c r="J312" s="1" t="str">
        <f>"0000000076"</f>
        <v>0000000076</v>
      </c>
      <c r="K312" s="1" t="str">
        <f>"قير 60/70 - فله"</f>
        <v>قير 60/70 - فله</v>
      </c>
      <c r="L312" s="1">
        <v>100</v>
      </c>
      <c r="M312" s="1" t="str">
        <f>"مخازن قير اصفهان"</f>
        <v>مخازن قير اصفهان</v>
      </c>
      <c r="N312" s="1">
        <v>11039</v>
      </c>
      <c r="O312" s="1">
        <v>50038675</v>
      </c>
      <c r="P312" s="1" t="str">
        <f>"  سقاوه گسترسازه"</f>
        <v xml:space="preserve">  سقاوه گسترسازه</v>
      </c>
      <c r="Q312" s="1">
        <v>62</v>
      </c>
      <c r="R312" s="1" t="str">
        <f>"فروش داخلي - سازمان بنيادمسكن انقلاب اسلامي"</f>
        <v>فروش داخلي - سازمان بنيادمسكن انقلاب اسلامي</v>
      </c>
      <c r="S312" s="1" t="str">
        <f>"قرارداد فروش"</f>
        <v>قرارداد فروش</v>
      </c>
      <c r="T312" s="1" t="str">
        <f>"ندارد"</f>
        <v>ندارد</v>
      </c>
      <c r="U312" s="1" t="str">
        <f>"غلام نجفي سيامك‌‌‌‌‌‌(1881082)"</f>
        <v>غلام نجفي سيامك‌‌‌‌‌‌(1881082)</v>
      </c>
      <c r="V312" s="1">
        <v>966200616</v>
      </c>
      <c r="W312" s="1">
        <v>966200616</v>
      </c>
      <c r="X312" s="1" t="str">
        <f>"1396551611"</f>
        <v>1396551611</v>
      </c>
      <c r="Y312" s="1" t="str">
        <f>"96/12/09"</f>
        <v>96/12/09</v>
      </c>
      <c r="Z312" s="1" t="str">
        <f>"55773/د"</f>
        <v>55773/د</v>
      </c>
      <c r="AA312" s="1" t="str">
        <f>"بنيادمسكن انقلاب اسلامي"</f>
        <v>بنيادمسكن انقلاب اسلامي</v>
      </c>
      <c r="AB312" s="1" t="str">
        <f>"96/12/08"</f>
        <v>96/12/08</v>
      </c>
      <c r="AC312" s="1" t="str">
        <f>"كهكيلويه و بوير احمد"</f>
        <v>كهكيلويه و بوير احمد</v>
      </c>
      <c r="AD312" s="1" t="str">
        <f>"96/12/09"</f>
        <v>96/12/09</v>
      </c>
      <c r="AE312" s="1" t="str">
        <f>"اختتام"</f>
        <v>اختتام</v>
      </c>
      <c r="AF312" s="1" t="str">
        <f>""</f>
        <v/>
      </c>
      <c r="AG312" s="1" t="str">
        <f>""</f>
        <v/>
      </c>
      <c r="AH312" s="1" t="str">
        <f>""</f>
        <v/>
      </c>
      <c r="AI312" s="1" t="str">
        <f>""</f>
        <v/>
      </c>
      <c r="AJ312" s="1" t="str">
        <f>""</f>
        <v/>
      </c>
      <c r="AK312" s="1" t="str">
        <f>""</f>
        <v/>
      </c>
    </row>
    <row r="313" spans="1:37">
      <c r="A313" s="1">
        <v>54000</v>
      </c>
      <c r="B313" s="1">
        <v>966200038</v>
      </c>
      <c r="C313" s="1" t="str">
        <f>"تخليه- مازندران-رستم کلا-جاده امامزاده محمد-کارخانه آسفالت گل سنگ کوهستان"</f>
        <v>تخليه- مازندران-رستم کلا-جاده امامزاده محمد-کارخانه آسفالت گل سنگ کوهستان</v>
      </c>
      <c r="D313" s="1">
        <v>8918</v>
      </c>
      <c r="E313" s="1">
        <v>53040</v>
      </c>
      <c r="F313" s="1">
        <v>96</v>
      </c>
      <c r="G313" s="1">
        <v>960</v>
      </c>
      <c r="H313" s="1" t="str">
        <f>"96/02/04"</f>
        <v>96/02/04</v>
      </c>
      <c r="I313" s="1" t="str">
        <f>"كيلوگرم"</f>
        <v>كيلوگرم</v>
      </c>
      <c r="J313" s="1" t="str">
        <f>"0000000076"</f>
        <v>0000000076</v>
      </c>
      <c r="K313" s="1" t="str">
        <f>"قير 60/70 - فله"</f>
        <v>قير 60/70 - فله</v>
      </c>
      <c r="L313" s="1">
        <v>100</v>
      </c>
      <c r="M313" s="1" t="str">
        <f>"مخازن قير اصفهان"</f>
        <v>مخازن قير اصفهان</v>
      </c>
      <c r="N313" s="1">
        <v>10009</v>
      </c>
      <c r="O313" s="1">
        <v>50034680</v>
      </c>
      <c r="P313" s="1" t="str">
        <f>"  سيستان هزارجريب"</f>
        <v xml:space="preserve">  سيستان هزارجريب</v>
      </c>
      <c r="Q313" s="1">
        <v>62</v>
      </c>
      <c r="R313" s="1" t="str">
        <f>"فروش داخلي - سازمان بنيادمسكن انقلاب اسلامي"</f>
        <v>فروش داخلي - سازمان بنيادمسكن انقلاب اسلامي</v>
      </c>
      <c r="S313" s="1" t="str">
        <f>"قرارداد فروش"</f>
        <v>قرارداد فروش</v>
      </c>
      <c r="T313" s="1" t="str">
        <f>"ندارد"</f>
        <v>ندارد</v>
      </c>
      <c r="U313" s="1" t="str">
        <f>"شيشه بر كريم(1841016)"</f>
        <v>شيشه بر كريم(1841016)</v>
      </c>
      <c r="V313" s="1">
        <v>966200038</v>
      </c>
      <c r="W313" s="1">
        <v>966200038</v>
      </c>
      <c r="X313" s="1" t="str">
        <f>"1396476390"</f>
        <v>1396476390</v>
      </c>
      <c r="Y313" s="1" t="str">
        <f>"96/02/04"</f>
        <v>96/02/04</v>
      </c>
      <c r="Z313" s="1" t="str">
        <f>"3299/د"</f>
        <v>3299/د</v>
      </c>
      <c r="AA313" s="1" t="str">
        <f>"بنيادمسكن انقلاب اسلامي"</f>
        <v>بنيادمسكن انقلاب اسلامي</v>
      </c>
      <c r="AB313" s="1" t="str">
        <f>"96/02/03"</f>
        <v>96/02/03</v>
      </c>
      <c r="AC313" s="1" t="str">
        <f>"استان مازندران"</f>
        <v>استان مازندران</v>
      </c>
      <c r="AD313" s="1" t="str">
        <f>"96/02/04"</f>
        <v>96/02/04</v>
      </c>
      <c r="AE313" s="1" t="str">
        <f>"اختتام"</f>
        <v>اختتام</v>
      </c>
      <c r="AF313" s="1" t="str">
        <f>""</f>
        <v/>
      </c>
      <c r="AG313" s="1" t="str">
        <f>""</f>
        <v/>
      </c>
      <c r="AH313" s="1" t="str">
        <f>""</f>
        <v/>
      </c>
      <c r="AI313" s="1" t="str">
        <f>""</f>
        <v/>
      </c>
      <c r="AJ313" s="1" t="str">
        <f>""</f>
        <v/>
      </c>
      <c r="AK313" s="1" t="str">
        <f>""</f>
        <v/>
      </c>
    </row>
    <row r="314" spans="1:37">
      <c r="A314" s="1">
        <v>15000</v>
      </c>
      <c r="B314" s="1">
        <v>966200475</v>
      </c>
      <c r="C314" s="1" t="str">
        <f>"تخليه- ياسوج- پليس راه ياسوج اصفهان-کارخانه آسفالت جوکار"</f>
        <v>تخليه- ياسوج- پليس راه ياسوج اصفهان-کارخانه آسفالت جوکار</v>
      </c>
      <c r="D314" s="1">
        <v>12820</v>
      </c>
      <c r="E314" s="1">
        <v>14580</v>
      </c>
      <c r="F314" s="1">
        <v>96</v>
      </c>
      <c r="G314" s="1">
        <v>420</v>
      </c>
      <c r="H314" s="1" t="str">
        <f>"96/09/27"</f>
        <v>96/09/27</v>
      </c>
      <c r="I314" s="1" t="str">
        <f>"كيلوگرم"</f>
        <v>كيلوگرم</v>
      </c>
      <c r="J314" s="1" t="str">
        <f>"0000000076"</f>
        <v>0000000076</v>
      </c>
      <c r="K314" s="1" t="str">
        <f>"قير 60/70 - فله"</f>
        <v>قير 60/70 - فله</v>
      </c>
      <c r="L314" s="1">
        <v>100</v>
      </c>
      <c r="M314" s="1" t="str">
        <f>"مخازن قير اصفهان"</f>
        <v>مخازن قير اصفهان</v>
      </c>
      <c r="N314" s="1">
        <v>11044</v>
      </c>
      <c r="O314" s="1">
        <v>50037920</v>
      </c>
      <c r="P314" s="1" t="str">
        <f>"  ساحل سازه دنا"</f>
        <v xml:space="preserve">  ساحل سازه دنا</v>
      </c>
      <c r="Q314" s="1">
        <v>62</v>
      </c>
      <c r="R314" s="1" t="str">
        <f>"فروش داخلي - سازمان بنيادمسكن انقلاب اسلامي"</f>
        <v>فروش داخلي - سازمان بنيادمسكن انقلاب اسلامي</v>
      </c>
      <c r="S314" s="1" t="str">
        <f>"قرارداد فروش"</f>
        <v>قرارداد فروش</v>
      </c>
      <c r="T314" s="1" t="str">
        <f>"ندارد"</f>
        <v>ندارد</v>
      </c>
      <c r="U314" s="1" t="str">
        <f>"غلام نجفي سيامك‌‌‌‌‌‌(1881082)"</f>
        <v>غلام نجفي سيامك‌‌‌‌‌‌(1881082)</v>
      </c>
      <c r="V314" s="1">
        <v>966200475</v>
      </c>
      <c r="W314" s="1">
        <v>966200475</v>
      </c>
      <c r="X314" s="1" t="str">
        <f>"1396533043"</f>
        <v>1396533043</v>
      </c>
      <c r="Y314" s="1" t="str">
        <f>"96/09/27"</f>
        <v>96/09/27</v>
      </c>
      <c r="Z314" s="1" t="str">
        <f>"42437/د"</f>
        <v>42437/د</v>
      </c>
      <c r="AA314" s="1" t="str">
        <f>"بنيادمسكن انقلاب اسلامي"</f>
        <v>بنيادمسكن انقلاب اسلامي</v>
      </c>
      <c r="AB314" s="1" t="str">
        <f>"96/09/26"</f>
        <v>96/09/26</v>
      </c>
      <c r="AC314" s="1" t="str">
        <f>"استان چهارمحال بختياري"</f>
        <v>استان چهارمحال بختياري</v>
      </c>
      <c r="AD314" s="1" t="str">
        <f>"96/09/27"</f>
        <v>96/09/27</v>
      </c>
      <c r="AE314" s="1" t="str">
        <f>"اختتام"</f>
        <v>اختتام</v>
      </c>
      <c r="AF314" s="1" t="str">
        <f>""</f>
        <v/>
      </c>
      <c r="AG314" s="1" t="str">
        <f>""</f>
        <v/>
      </c>
      <c r="AH314" s="1" t="str">
        <f>""</f>
        <v/>
      </c>
      <c r="AI314" s="1" t="str">
        <f>""</f>
        <v/>
      </c>
      <c r="AJ314" s="1" t="str">
        <f>""</f>
        <v/>
      </c>
      <c r="AK314" s="1" t="str">
        <f>""</f>
        <v/>
      </c>
    </row>
    <row r="315" spans="1:37">
      <c r="A315" s="1">
        <v>100000</v>
      </c>
      <c r="B315" s="1">
        <v>966200712</v>
      </c>
      <c r="C315" s="1" t="str">
        <f>"تخليه - کهگيلويه و بويراحمد-ياسوج-پليس راه ياسوج اصفهان -کارخانه آسفالت داريوش جوکار"</f>
        <v>تخليه - کهگيلويه و بويراحمد-ياسوج-پليس راه ياسوج اصفهان -کارخانه آسفالت داريوش جوکار</v>
      </c>
      <c r="D315" s="1">
        <v>13350</v>
      </c>
      <c r="E315" s="1">
        <v>100000</v>
      </c>
      <c r="F315" s="1">
        <v>96</v>
      </c>
      <c r="G315" s="1">
        <v>0</v>
      </c>
      <c r="H315" s="1" t="str">
        <f>"96/12/26"</f>
        <v>96/12/26</v>
      </c>
      <c r="I315" s="1" t="str">
        <f>"كيلوگرم"</f>
        <v>كيلوگرم</v>
      </c>
      <c r="J315" s="1" t="str">
        <f>"0000000076"</f>
        <v>0000000076</v>
      </c>
      <c r="K315" s="1" t="str">
        <f>"قير 60/70 - فله"</f>
        <v>قير 60/70 - فله</v>
      </c>
      <c r="L315" s="1">
        <v>100</v>
      </c>
      <c r="M315" s="1" t="str">
        <f>"مخازن قير اصفهان"</f>
        <v>مخازن قير اصفهان</v>
      </c>
      <c r="N315" s="1">
        <v>11046</v>
      </c>
      <c r="O315" s="1">
        <v>50039070</v>
      </c>
      <c r="P315" s="1" t="str">
        <f>"  آذين بام مشايخ"</f>
        <v xml:space="preserve">  آذين بام مشايخ</v>
      </c>
      <c r="Q315" s="1">
        <v>62</v>
      </c>
      <c r="R315" s="1" t="str">
        <f>"فروش داخلي - سازمان بنيادمسكن انقلاب اسلامي"</f>
        <v>فروش داخلي - سازمان بنيادمسكن انقلاب اسلامي</v>
      </c>
      <c r="S315" s="1" t="str">
        <f>"قرارداد فروش"</f>
        <v>قرارداد فروش</v>
      </c>
      <c r="T315" s="1" t="str">
        <f>"ندارد"</f>
        <v>ندارد</v>
      </c>
      <c r="U315" s="1" t="str">
        <f>"غلام نجفي سيامك‌‌‌‌‌‌(1881082)"</f>
        <v>غلام نجفي سيامك‌‌‌‌‌‌(1881082)</v>
      </c>
      <c r="V315" s="1">
        <v>966200712</v>
      </c>
      <c r="W315" s="1">
        <v>966200712</v>
      </c>
      <c r="X315" s="1" t="str">
        <f>"1396555371"</f>
        <v>1396555371</v>
      </c>
      <c r="Y315" s="1" t="str">
        <f>"96/12/26"</f>
        <v>96/12/26</v>
      </c>
      <c r="Z315" s="1" t="str">
        <f>"59452/د"</f>
        <v>59452/د</v>
      </c>
      <c r="AA315" s="1" t="str">
        <f>"بنيادمسكن انقلاب اسلامي"</f>
        <v>بنيادمسكن انقلاب اسلامي</v>
      </c>
      <c r="AB315" s="1" t="str">
        <f>"96/12/23"</f>
        <v>96/12/23</v>
      </c>
      <c r="AC315" s="1" t="str">
        <f>"كهكيلويه و بوير احمد"</f>
        <v>كهكيلويه و بوير احمد</v>
      </c>
      <c r="AD315" s="1" t="str">
        <f>"96/12/26"</f>
        <v>96/12/26</v>
      </c>
      <c r="AE315" s="1" t="str">
        <f>"اختتام"</f>
        <v>اختتام</v>
      </c>
      <c r="AF315" s="1" t="str">
        <f>""</f>
        <v/>
      </c>
      <c r="AG315" s="1" t="str">
        <f>""</f>
        <v/>
      </c>
      <c r="AH315" s="1" t="str">
        <f>""</f>
        <v/>
      </c>
      <c r="AI315" s="1" t="str">
        <f>""</f>
        <v/>
      </c>
      <c r="AJ315" s="1" t="str">
        <f>""</f>
        <v/>
      </c>
      <c r="AK315" s="1" t="str">
        <f>""</f>
        <v/>
      </c>
    </row>
    <row r="316" spans="1:37">
      <c r="A316" s="1">
        <v>220000</v>
      </c>
      <c r="B316" s="1">
        <v>966200736</v>
      </c>
      <c r="C316" s="1" t="str">
        <f>"تخليه كهگيلويه ياسوج پليس راه اصفهان ياسوج كارخانه آسفالت داريوش جوكار"</f>
        <v>تخليه كهگيلويه ياسوج پليس راه اصفهان ياسوج كارخانه آسفالت داريوش جوكار</v>
      </c>
      <c r="D316" s="1">
        <v>13350</v>
      </c>
      <c r="E316" s="1">
        <v>220000</v>
      </c>
      <c r="F316" s="1">
        <v>96</v>
      </c>
      <c r="G316" s="1">
        <v>0</v>
      </c>
      <c r="H316" s="1" t="str">
        <f>"96/12/26"</f>
        <v>96/12/26</v>
      </c>
      <c r="I316" s="1" t="str">
        <f>"كيلوگرم"</f>
        <v>كيلوگرم</v>
      </c>
      <c r="J316" s="1" t="str">
        <f>"0000000076"</f>
        <v>0000000076</v>
      </c>
      <c r="K316" s="1" t="str">
        <f>"قير 60/70 - فله"</f>
        <v>قير 60/70 - فله</v>
      </c>
      <c r="L316" s="1">
        <v>100</v>
      </c>
      <c r="M316" s="1" t="str">
        <f>"مخازن قير اصفهان"</f>
        <v>مخازن قير اصفهان</v>
      </c>
      <c r="N316" s="1">
        <v>11048</v>
      </c>
      <c r="O316" s="1">
        <v>50039097</v>
      </c>
      <c r="P316" s="1" t="str">
        <f>"  ويلا بوير"</f>
        <v xml:space="preserve">  ويلا بوير</v>
      </c>
      <c r="Q316" s="1">
        <v>62</v>
      </c>
      <c r="R316" s="1" t="str">
        <f>"فروش داخلي - سازمان بنيادمسكن انقلاب اسلامي"</f>
        <v>فروش داخلي - سازمان بنيادمسكن انقلاب اسلامي</v>
      </c>
      <c r="S316" s="1" t="str">
        <f>"قرارداد فروش"</f>
        <v>قرارداد فروش</v>
      </c>
      <c r="T316" s="1" t="str">
        <f>"ندارد"</f>
        <v>ندارد</v>
      </c>
      <c r="U316" s="1" t="str">
        <f>"غلام نجفي سيامك‌‌‌‌‌‌(1881082)"</f>
        <v>غلام نجفي سيامك‌‌‌‌‌‌(1881082)</v>
      </c>
      <c r="V316" s="1">
        <v>966200736</v>
      </c>
      <c r="W316" s="1">
        <v>966200736</v>
      </c>
      <c r="X316" s="1" t="str">
        <f>"1396555422"</f>
        <v>1396555422</v>
      </c>
      <c r="Y316" s="1" t="str">
        <f>"96/12/26"</f>
        <v>96/12/26</v>
      </c>
      <c r="Z316" s="1" t="str">
        <f>"59448/د"</f>
        <v>59448/د</v>
      </c>
      <c r="AA316" s="1" t="str">
        <f>"بنيادمسكن انقلاب اسلامي"</f>
        <v>بنيادمسكن انقلاب اسلامي</v>
      </c>
      <c r="AB316" s="1" t="str">
        <f>"96/12/23"</f>
        <v>96/12/23</v>
      </c>
      <c r="AC316" s="1" t="str">
        <f>"كهكيلويه و بوير احمد"</f>
        <v>كهكيلويه و بوير احمد</v>
      </c>
      <c r="AD316" s="1" t="str">
        <f>"96/12/26"</f>
        <v>96/12/26</v>
      </c>
      <c r="AE316" s="1" t="str">
        <f>"اختتام"</f>
        <v>اختتام</v>
      </c>
      <c r="AF316" s="1" t="str">
        <f>""</f>
        <v/>
      </c>
      <c r="AG316" s="1" t="str">
        <f>""</f>
        <v/>
      </c>
      <c r="AH316" s="1" t="str">
        <f>""</f>
        <v/>
      </c>
      <c r="AI316" s="1" t="str">
        <f>""</f>
        <v/>
      </c>
      <c r="AJ316" s="1" t="str">
        <f>""</f>
        <v/>
      </c>
      <c r="AK316" s="1" t="str">
        <f>""</f>
        <v/>
      </c>
    </row>
    <row r="317" spans="1:37">
      <c r="A317" s="1">
        <v>15000</v>
      </c>
      <c r="B317" s="1">
        <v>966200613</v>
      </c>
      <c r="C317" s="1" t="str">
        <f>"تخليه كهگيلويه ياسوج پليس راه ياسوج اصفهان كارخانه آسفالت زارع"</f>
        <v>تخليه كهگيلويه ياسوج پليس راه ياسوج اصفهان كارخانه آسفالت زارع</v>
      </c>
      <c r="D317" s="1">
        <v>13350</v>
      </c>
      <c r="E317" s="1">
        <v>15000</v>
      </c>
      <c r="F317" s="1">
        <v>96</v>
      </c>
      <c r="G317" s="1">
        <v>0</v>
      </c>
      <c r="H317" s="1" t="str">
        <f>"96/12/09"</f>
        <v>96/12/09</v>
      </c>
      <c r="I317" s="1" t="str">
        <f>"كيلوگرم"</f>
        <v>كيلوگرم</v>
      </c>
      <c r="J317" s="1" t="str">
        <f>"0000000076"</f>
        <v>0000000076</v>
      </c>
      <c r="K317" s="1" t="str">
        <f>"قير 60/70 - فله"</f>
        <v>قير 60/70 - فله</v>
      </c>
      <c r="L317" s="1">
        <v>100</v>
      </c>
      <c r="M317" s="1" t="str">
        <f>"مخازن قير اصفهان"</f>
        <v>مخازن قير اصفهان</v>
      </c>
      <c r="N317" s="1">
        <v>11064</v>
      </c>
      <c r="O317" s="1">
        <v>50038672</v>
      </c>
      <c r="P317" s="1" t="str">
        <f>"  پوريا فهيم حيدر"</f>
        <v xml:space="preserve">  پوريا فهيم حيدر</v>
      </c>
      <c r="Q317" s="1">
        <v>62</v>
      </c>
      <c r="R317" s="1" t="str">
        <f>"فروش داخلي - سازمان بنيادمسكن انقلاب اسلامي"</f>
        <v>فروش داخلي - سازمان بنيادمسكن انقلاب اسلامي</v>
      </c>
      <c r="S317" s="1" t="str">
        <f>"قرارداد فروش"</f>
        <v>قرارداد فروش</v>
      </c>
      <c r="T317" s="1" t="str">
        <f>"ندارد"</f>
        <v>ندارد</v>
      </c>
      <c r="U317" s="1" t="str">
        <f>"غلام نجفي سيامك‌‌‌‌‌‌(1881082)"</f>
        <v>غلام نجفي سيامك‌‌‌‌‌‌(1881082)</v>
      </c>
      <c r="V317" s="1">
        <v>966200613</v>
      </c>
      <c r="W317" s="1">
        <v>966200613</v>
      </c>
      <c r="X317" s="1" t="str">
        <f>"1396551611"</f>
        <v>1396551611</v>
      </c>
      <c r="Y317" s="1" t="str">
        <f>"96/12/09"</f>
        <v>96/12/09</v>
      </c>
      <c r="Z317" s="1" t="str">
        <f>"55767/د"</f>
        <v>55767/د</v>
      </c>
      <c r="AA317" s="1" t="str">
        <f>"بنيادمسكن انقلاب اسلامي"</f>
        <v>بنيادمسكن انقلاب اسلامي</v>
      </c>
      <c r="AB317" s="1" t="str">
        <f>"96/12/08"</f>
        <v>96/12/08</v>
      </c>
      <c r="AC317" s="1" t="str">
        <f>"كهكيلويه و بوير احمد"</f>
        <v>كهكيلويه و بوير احمد</v>
      </c>
      <c r="AD317" s="1" t="str">
        <f>"96/12/09"</f>
        <v>96/12/09</v>
      </c>
      <c r="AE317" s="1" t="str">
        <f>"اختتام"</f>
        <v>اختتام</v>
      </c>
      <c r="AF317" s="1" t="str">
        <f>""</f>
        <v/>
      </c>
      <c r="AG317" s="1" t="str">
        <f>""</f>
        <v/>
      </c>
      <c r="AH317" s="1" t="str">
        <f>""</f>
        <v/>
      </c>
      <c r="AI317" s="1" t="str">
        <f>""</f>
        <v/>
      </c>
      <c r="AJ317" s="1" t="str">
        <f>""</f>
        <v/>
      </c>
      <c r="AK317" s="1" t="str">
        <f>""</f>
        <v/>
      </c>
    </row>
    <row r="318" spans="1:37">
      <c r="A318" s="1">
        <v>46000</v>
      </c>
      <c r="B318" s="1">
        <v>966200510</v>
      </c>
      <c r="C318" s="1" t="str">
        <f>"تخليه - سيستان و بلو چستان-سراوان-کيلومتر15 جاده سراوان-کهک-کارگاه شن و ماسه دهواري"</f>
        <v>تخليه - سيستان و بلو چستان-سراوان-کيلومتر15 جاده سراوان-کهک-کارگاه شن و ماسه دهواري</v>
      </c>
      <c r="D318" s="1">
        <v>12850</v>
      </c>
      <c r="E318" s="1">
        <v>45860</v>
      </c>
      <c r="F318" s="1">
        <v>96</v>
      </c>
      <c r="G318" s="1">
        <v>140</v>
      </c>
      <c r="H318" s="1" t="str">
        <f>"96/10/19"</f>
        <v>96/10/19</v>
      </c>
      <c r="I318" s="1" t="str">
        <f>"كيلوگرم"</f>
        <v>كيلوگرم</v>
      </c>
      <c r="J318" s="1" t="str">
        <f>"0000000076"</f>
        <v>0000000076</v>
      </c>
      <c r="K318" s="1" t="str">
        <f>"قير 60/70 - فله"</f>
        <v>قير 60/70 - فله</v>
      </c>
      <c r="L318" s="1">
        <v>100</v>
      </c>
      <c r="M318" s="1" t="str">
        <f>"مخازن قير اصفهان"</f>
        <v>مخازن قير اصفهان</v>
      </c>
      <c r="N318" s="1">
        <v>11070</v>
      </c>
      <c r="O318" s="1">
        <v>50038090</v>
      </c>
      <c r="P318" s="1" t="str">
        <f>"  شايان نقشه جنوب"</f>
        <v xml:space="preserve">  شايان نقشه جنوب</v>
      </c>
      <c r="Q318" s="1">
        <v>62</v>
      </c>
      <c r="R318" s="1" t="str">
        <f>"فروش داخلي - سازمان بنيادمسكن انقلاب اسلامي"</f>
        <v>فروش داخلي - سازمان بنيادمسكن انقلاب اسلامي</v>
      </c>
      <c r="S318" s="1" t="str">
        <f>"قرارداد فروش"</f>
        <v>قرارداد فروش</v>
      </c>
      <c r="T318" s="1" t="str">
        <f>"ندارد"</f>
        <v>ندارد</v>
      </c>
      <c r="U318" s="1" t="str">
        <f>"بهرام زنگنه (1038 ج 93)"</f>
        <v>بهرام زنگنه (1038 ج 93)</v>
      </c>
      <c r="V318" s="1">
        <v>966200510</v>
      </c>
      <c r="W318" s="1">
        <v>966200510</v>
      </c>
      <c r="X318" s="1" t="str">
        <f>"1396536916"</f>
        <v>1396536916</v>
      </c>
      <c r="Y318" s="1" t="str">
        <f>"96/10/19"</f>
        <v>96/10/19</v>
      </c>
      <c r="Z318" s="1" t="str">
        <f>"45263/د"</f>
        <v>45263/د</v>
      </c>
      <c r="AA318" s="1" t="str">
        <f>"بنيادمسكن انقلاب اسلامي"</f>
        <v>بنيادمسكن انقلاب اسلامي</v>
      </c>
      <c r="AB318" s="1" t="str">
        <f>"96/10/12"</f>
        <v>96/10/12</v>
      </c>
      <c r="AC318" s="1" t="str">
        <f>"استان سيستان بلوچستان"</f>
        <v>استان سيستان بلوچستان</v>
      </c>
      <c r="AD318" s="1" t="str">
        <f>"96/10/12"</f>
        <v>96/10/12</v>
      </c>
      <c r="AE318" s="1" t="str">
        <f>"اختتام"</f>
        <v>اختتام</v>
      </c>
      <c r="AF318" s="1" t="str">
        <f>""</f>
        <v/>
      </c>
      <c r="AG318" s="1" t="str">
        <f>""</f>
        <v/>
      </c>
      <c r="AH318" s="1" t="str">
        <f>""</f>
        <v/>
      </c>
      <c r="AI318" s="1" t="str">
        <f>""</f>
        <v/>
      </c>
      <c r="AJ318" s="1" t="str">
        <f>""</f>
        <v/>
      </c>
      <c r="AK318" s="1" t="str">
        <f>""</f>
        <v/>
      </c>
    </row>
    <row r="319" spans="1:37">
      <c r="A319" s="1">
        <v>110022</v>
      </c>
      <c r="B319" s="1">
        <v>962000017</v>
      </c>
      <c r="C319" s="1" t="str">
        <f>"محل تخليه -اصفهان -كارخانه آسفالت شهرداري فريدونشهر"</f>
        <v>محل تخليه -اصفهان -كارخانه آسفالت شهرداري فريدونشهر</v>
      </c>
      <c r="D319" s="1">
        <v>9113</v>
      </c>
      <c r="E319" s="1">
        <v>110022</v>
      </c>
      <c r="F319" s="1">
        <v>96</v>
      </c>
      <c r="G319" s="1">
        <v>0</v>
      </c>
      <c r="H319" s="1" t="str">
        <f>"96/07/03"</f>
        <v>96/07/03</v>
      </c>
      <c r="I319" s="1" t="str">
        <f>"كيلوگرم"</f>
        <v>كيلوگرم</v>
      </c>
      <c r="J319" s="1" t="str">
        <f>"0000000076"</f>
        <v>0000000076</v>
      </c>
      <c r="K319" s="1" t="str">
        <f>"قير 60/70 - فله"</f>
        <v>قير 60/70 - فله</v>
      </c>
      <c r="L319" s="1">
        <v>100</v>
      </c>
      <c r="M319" s="1" t="str">
        <f>"مخازن قير اصفهان"</f>
        <v>مخازن قير اصفهان</v>
      </c>
      <c r="N319" s="1">
        <v>10689</v>
      </c>
      <c r="O319" s="1">
        <v>50036158</v>
      </c>
      <c r="P319" s="1" t="str">
        <f>"  شهرداري برف انبار"</f>
        <v xml:space="preserve">  شهرداري برف انبار</v>
      </c>
      <c r="Q319" s="1">
        <v>20</v>
      </c>
      <c r="R319" s="1" t="str">
        <f>"فروش داخلي - سازمان شهرداري ها و دهياري هاي كشور"</f>
        <v>فروش داخلي - سازمان شهرداري ها و دهياري هاي كشور</v>
      </c>
      <c r="S319" s="1" t="str">
        <f>"قرارداد فروش"</f>
        <v>قرارداد فروش</v>
      </c>
      <c r="T319" s="1" t="str">
        <f>"ندارد"</f>
        <v>ندارد</v>
      </c>
      <c r="U319" s="1" t="str">
        <f>"تعاوني جم گستر (1001 ج 89)"</f>
        <v>تعاوني جم گستر (1001 ج 89)</v>
      </c>
      <c r="V319" s="1">
        <v>962000017</v>
      </c>
      <c r="W319" s="1">
        <v>962000017</v>
      </c>
      <c r="X319" s="1" t="str">
        <f>"1396514467"</f>
        <v>1396514467</v>
      </c>
      <c r="Y319" s="1" t="str">
        <f>"96/07/03"</f>
        <v>96/07/03</v>
      </c>
      <c r="Z319" s="1" t="str">
        <f>"26882مرحله اول"</f>
        <v>26882مرحله اول</v>
      </c>
      <c r="AA319" s="1" t="str">
        <f>"شهرداريها"</f>
        <v>شهرداريها</v>
      </c>
      <c r="AB319" s="1" t="str">
        <f>"96/06/29"</f>
        <v>96/06/29</v>
      </c>
      <c r="AC319" s="1" t="str">
        <f>"استان اصفهان"</f>
        <v>استان اصفهان</v>
      </c>
      <c r="AD319" s="1" t="str">
        <f>"96/07/03"</f>
        <v>96/07/03</v>
      </c>
      <c r="AE319" s="1" t="str">
        <f>"اختتام"</f>
        <v>اختتام</v>
      </c>
      <c r="AF319" s="1" t="str">
        <f>""</f>
        <v/>
      </c>
      <c r="AG319" s="1" t="str">
        <f>""</f>
        <v/>
      </c>
      <c r="AH319" s="1" t="str">
        <f>""</f>
        <v/>
      </c>
      <c r="AI319" s="1" t="str">
        <f>""</f>
        <v/>
      </c>
      <c r="AJ319" s="1" t="str">
        <f>""</f>
        <v/>
      </c>
      <c r="AK319" s="1" t="str">
        <f>""</f>
        <v/>
      </c>
    </row>
    <row r="320" spans="1:37">
      <c r="A320" s="1">
        <v>39104</v>
      </c>
      <c r="B320" s="1">
        <v>962000447</v>
      </c>
      <c r="C320" s="1" t="str">
        <f>"محل تخليه -اصفهان -كارخانه آسفالت شهرداري فريدونشهر"</f>
        <v>محل تخليه -اصفهان -كارخانه آسفالت شهرداري فريدونشهر</v>
      </c>
      <c r="D320" s="1">
        <v>12820</v>
      </c>
      <c r="E320" s="1">
        <v>39104</v>
      </c>
      <c r="F320" s="1">
        <v>96</v>
      </c>
      <c r="G320" s="1">
        <v>0</v>
      </c>
      <c r="H320" s="1" t="str">
        <f>"96/09/20"</f>
        <v>96/09/20</v>
      </c>
      <c r="I320" s="1" t="str">
        <f>"كيلوگرم"</f>
        <v>كيلوگرم</v>
      </c>
      <c r="J320" s="1" t="str">
        <f>"0000000076"</f>
        <v>0000000076</v>
      </c>
      <c r="K320" s="1" t="str">
        <f>"قير 60/70 - فله"</f>
        <v>قير 60/70 - فله</v>
      </c>
      <c r="L320" s="1">
        <v>100</v>
      </c>
      <c r="M320" s="1" t="str">
        <f>"مخازن قير اصفهان"</f>
        <v>مخازن قير اصفهان</v>
      </c>
      <c r="N320" s="1">
        <v>10689</v>
      </c>
      <c r="O320" s="1">
        <v>50037769</v>
      </c>
      <c r="P320" s="1" t="str">
        <f>"  شهرداري برف انبار"</f>
        <v xml:space="preserve">  شهرداري برف انبار</v>
      </c>
      <c r="Q320" s="1">
        <v>20</v>
      </c>
      <c r="R320" s="1" t="str">
        <f>"فروش داخلي - سازمان شهرداري ها و دهياري هاي كشور"</f>
        <v>فروش داخلي - سازمان شهرداري ها و دهياري هاي كشور</v>
      </c>
      <c r="S320" s="1" t="str">
        <f>"قرارداد فروش"</f>
        <v>قرارداد فروش</v>
      </c>
      <c r="T320" s="1" t="str">
        <f>"ندارد"</f>
        <v>ندارد</v>
      </c>
      <c r="U320" s="1" t="str">
        <f>"تعاوني جم گستر (1001 ج 89)"</f>
        <v>تعاوني جم گستر (1001 ج 89)</v>
      </c>
      <c r="V320" s="1">
        <v>962000447</v>
      </c>
      <c r="W320" s="1">
        <v>962000447</v>
      </c>
      <c r="X320" s="1" t="str">
        <f>"1396529711"</f>
        <v>1396529711</v>
      </c>
      <c r="Y320" s="1" t="str">
        <f>"96/09/20"</f>
        <v>96/09/20</v>
      </c>
      <c r="Z320" s="1" t="str">
        <f>"37114مرحله دوم"</f>
        <v>37114مرحله دوم</v>
      </c>
      <c r="AA320" s="1" t="str">
        <f>"شهرداريها"</f>
        <v>شهرداريها</v>
      </c>
      <c r="AB320" s="1" t="str">
        <f>"96/09/04"</f>
        <v>96/09/04</v>
      </c>
      <c r="AC320" s="1" t="str">
        <f>"استان اصفهان"</f>
        <v>استان اصفهان</v>
      </c>
      <c r="AD320" s="1" t="str">
        <f>"96/09/13"</f>
        <v>96/09/13</v>
      </c>
      <c r="AE320" s="1" t="str">
        <f>"اختتام"</f>
        <v>اختتام</v>
      </c>
      <c r="AF320" s="1" t="str">
        <f>""</f>
        <v/>
      </c>
      <c r="AG320" s="1" t="str">
        <f>""</f>
        <v/>
      </c>
      <c r="AH320" s="1" t="str">
        <f>""</f>
        <v/>
      </c>
      <c r="AI320" s="1" t="str">
        <f>""</f>
        <v/>
      </c>
      <c r="AJ320" s="1" t="str">
        <f>""</f>
        <v/>
      </c>
      <c r="AK320" s="1" t="str">
        <f>""</f>
        <v/>
      </c>
    </row>
    <row r="321" spans="1:37">
      <c r="A321" s="1">
        <v>55915</v>
      </c>
      <c r="B321" s="1">
        <v>962000330</v>
      </c>
      <c r="C321" s="1" t="str">
        <f>"تخليه خراسان رضوي سنگ بست كيلومتر20جاده مشهدفريمان كارخانه آسفالت طوفان"</f>
        <v>تخليه خراسان رضوي سنگ بست كيلومتر20جاده مشهدفريمان كارخانه آسفالت طوفان</v>
      </c>
      <c r="D321" s="1">
        <v>9113</v>
      </c>
      <c r="E321" s="1">
        <v>54640</v>
      </c>
      <c r="F321" s="1">
        <v>96</v>
      </c>
      <c r="G321" s="1">
        <v>1275</v>
      </c>
      <c r="H321" s="1" t="str">
        <f>"96/09/13"</f>
        <v>96/09/13</v>
      </c>
      <c r="I321" s="1" t="str">
        <f>"كيلوگرم"</f>
        <v>كيلوگرم</v>
      </c>
      <c r="J321" s="1" t="str">
        <f>"0000000076"</f>
        <v>0000000076</v>
      </c>
      <c r="K321" s="1" t="str">
        <f>"قير 60/70 - فله"</f>
        <v>قير 60/70 - فله</v>
      </c>
      <c r="L321" s="1">
        <v>100</v>
      </c>
      <c r="M321" s="1" t="str">
        <f>"مخازن قير اصفهان"</f>
        <v>مخازن قير اصفهان</v>
      </c>
      <c r="N321" s="1">
        <v>10697</v>
      </c>
      <c r="O321" s="1">
        <v>50037537</v>
      </c>
      <c r="P321" s="1" t="str">
        <f>"  شهرداري ملك آباد"</f>
        <v xml:space="preserve">  شهرداري ملك آباد</v>
      </c>
      <c r="Q321" s="1">
        <v>20</v>
      </c>
      <c r="R321" s="1" t="str">
        <f>"فروش داخلي - سازمان شهرداري ها و دهياري هاي كشور"</f>
        <v>فروش داخلي - سازمان شهرداري ها و دهياري هاي كشور</v>
      </c>
      <c r="S321" s="1" t="str">
        <f>"قرارداد فروش"</f>
        <v>قرارداد فروش</v>
      </c>
      <c r="T321" s="1" t="str">
        <f>"ندارد"</f>
        <v>ندارد</v>
      </c>
      <c r="U321" s="1" t="str">
        <f>"تعاوني جم گستر (1001 ج 89)"</f>
        <v>تعاوني جم گستر (1001 ج 89)</v>
      </c>
      <c r="V321" s="1">
        <v>962000330</v>
      </c>
      <c r="W321" s="1">
        <v>962000330</v>
      </c>
      <c r="X321" s="1" t="str">
        <f>"1396514467"</f>
        <v>1396514467</v>
      </c>
      <c r="Y321" s="1" t="str">
        <f>"96/09/12"</f>
        <v>96/09/12</v>
      </c>
      <c r="Z321" s="1" t="str">
        <f>"37062مرحله دوم"</f>
        <v>37062مرحله دوم</v>
      </c>
      <c r="AA321" s="1" t="str">
        <f>"شهرداريها"</f>
        <v>شهرداريها</v>
      </c>
      <c r="AB321" s="1" t="str">
        <f>"96/09/04"</f>
        <v>96/09/04</v>
      </c>
      <c r="AC321" s="1" t="str">
        <f>"خراسان رضوي"</f>
        <v>خراسان رضوي</v>
      </c>
      <c r="AD321" s="1" t="str">
        <f>"96/07/03"</f>
        <v>96/07/03</v>
      </c>
      <c r="AE321" s="1" t="str">
        <f>"اختتام"</f>
        <v>اختتام</v>
      </c>
      <c r="AF321" s="1" t="str">
        <f>""</f>
        <v/>
      </c>
      <c r="AG321" s="1" t="str">
        <f>""</f>
        <v/>
      </c>
      <c r="AH321" s="1" t="str">
        <f>""</f>
        <v/>
      </c>
      <c r="AI321" s="1" t="str">
        <f>""</f>
        <v/>
      </c>
      <c r="AJ321" s="1" t="str">
        <f>""</f>
        <v/>
      </c>
      <c r="AK321" s="1" t="str">
        <f>""</f>
        <v/>
      </c>
    </row>
    <row r="322" spans="1:37">
      <c r="A322" s="1">
        <v>103444</v>
      </c>
      <c r="B322" s="1">
        <v>962000053</v>
      </c>
      <c r="C322" s="1" t="str">
        <f>"تخليه اصفهان جاده حبيب آبادفرعي شالباف كارخانه آسفالت زينبيه"</f>
        <v>تخليه اصفهان جاده حبيب آبادفرعي شالباف كارخانه آسفالت زينبيه</v>
      </c>
      <c r="D322" s="1">
        <v>9113</v>
      </c>
      <c r="E322" s="1">
        <v>103444</v>
      </c>
      <c r="F322" s="1">
        <v>96</v>
      </c>
      <c r="G322" s="1">
        <v>0</v>
      </c>
      <c r="H322" s="1" t="str">
        <f>"96/07/03"</f>
        <v>96/07/03</v>
      </c>
      <c r="I322" s="1" t="str">
        <f>"كيلوگرم"</f>
        <v>كيلوگرم</v>
      </c>
      <c r="J322" s="1" t="str">
        <f>"0000000076"</f>
        <v>0000000076</v>
      </c>
      <c r="K322" s="1" t="str">
        <f>"قير 60/70 - فله"</f>
        <v>قير 60/70 - فله</v>
      </c>
      <c r="L322" s="1">
        <v>100</v>
      </c>
      <c r="M322" s="1" t="str">
        <f>"مخازن قير اصفهان"</f>
        <v>مخازن قير اصفهان</v>
      </c>
      <c r="N322" s="1">
        <v>10700</v>
      </c>
      <c r="O322" s="1">
        <v>50036201</v>
      </c>
      <c r="P322" s="1" t="str">
        <f>"  شهرداري سجزي"</f>
        <v xml:space="preserve">  شهرداري سجزي</v>
      </c>
      <c r="Q322" s="1">
        <v>20</v>
      </c>
      <c r="R322" s="1" t="str">
        <f>"فروش داخلي - سازمان شهرداري ها و دهياري هاي كشور"</f>
        <v>فروش داخلي - سازمان شهرداري ها و دهياري هاي كشور</v>
      </c>
      <c r="S322" s="1" t="str">
        <f>"قرارداد فروش"</f>
        <v>قرارداد فروش</v>
      </c>
      <c r="T322" s="1" t="str">
        <f>"ندارد"</f>
        <v>ندارد</v>
      </c>
      <c r="U322" s="1" t="str">
        <f>"تعاوني جم گستر (1001 ج 89)"</f>
        <v>تعاوني جم گستر (1001 ج 89)</v>
      </c>
      <c r="V322" s="1">
        <v>962000053</v>
      </c>
      <c r="W322" s="1">
        <v>962000053</v>
      </c>
      <c r="X322" s="1" t="str">
        <f>"1396514467"</f>
        <v>1396514467</v>
      </c>
      <c r="Y322" s="1" t="str">
        <f>"96/07/03"</f>
        <v>96/07/03</v>
      </c>
      <c r="Z322" s="1" t="str">
        <f>"26775مرحله اول"</f>
        <v>26775مرحله اول</v>
      </c>
      <c r="AA322" s="1" t="str">
        <f>"شهرداريها"</f>
        <v>شهرداريها</v>
      </c>
      <c r="AB322" s="1" t="str">
        <f>"96/06/29"</f>
        <v>96/06/29</v>
      </c>
      <c r="AC322" s="1" t="str">
        <f>"استان اصفهان"</f>
        <v>استان اصفهان</v>
      </c>
      <c r="AD322" s="1" t="str">
        <f>"96/07/03"</f>
        <v>96/07/03</v>
      </c>
      <c r="AE322" s="1" t="str">
        <f>"اختتام"</f>
        <v>اختتام</v>
      </c>
      <c r="AF322" s="1" t="str">
        <f>""</f>
        <v/>
      </c>
      <c r="AG322" s="1" t="str">
        <f>""</f>
        <v/>
      </c>
      <c r="AH322" s="1" t="str">
        <f>""</f>
        <v/>
      </c>
      <c r="AI322" s="1" t="str">
        <f>""</f>
        <v/>
      </c>
      <c r="AJ322" s="1" t="str">
        <f>""</f>
        <v/>
      </c>
      <c r="AK322" s="1" t="str">
        <f>""</f>
        <v/>
      </c>
    </row>
    <row r="323" spans="1:37">
      <c r="A323" s="1">
        <v>42102</v>
      </c>
      <c r="B323" s="1">
        <v>962000485</v>
      </c>
      <c r="C323" s="1" t="str">
        <f>"تخليه -اصفهان نطنزكيلومتر5جاده گل آبادمقابل ايستگاه راه آهن واحدتوليدآسفالت گرم شركت ايران مترو"</f>
        <v>تخليه -اصفهان نطنزكيلومتر5جاده گل آبادمقابل ايستگاه راه آهن واحدتوليدآسفالت گرم شركت ايران مترو</v>
      </c>
      <c r="D323" s="1">
        <v>12820</v>
      </c>
      <c r="E323" s="1">
        <v>42102</v>
      </c>
      <c r="F323" s="1">
        <v>96</v>
      </c>
      <c r="G323" s="1">
        <v>0</v>
      </c>
      <c r="H323" s="1" t="str">
        <f>"96/09/20"</f>
        <v>96/09/20</v>
      </c>
      <c r="I323" s="1" t="str">
        <f>"كيلوگرم"</f>
        <v>كيلوگرم</v>
      </c>
      <c r="J323" s="1" t="str">
        <f>"0000000076"</f>
        <v>0000000076</v>
      </c>
      <c r="K323" s="1" t="str">
        <f>"قير 60/70 - فله"</f>
        <v>قير 60/70 - فله</v>
      </c>
      <c r="L323" s="1">
        <v>100</v>
      </c>
      <c r="M323" s="1" t="str">
        <f>"مخازن قير اصفهان"</f>
        <v>مخازن قير اصفهان</v>
      </c>
      <c r="N323" s="1">
        <v>10685</v>
      </c>
      <c r="O323" s="1">
        <v>50037807</v>
      </c>
      <c r="P323" s="1" t="str">
        <f>"  شهرداري بادرود"</f>
        <v xml:space="preserve">  شهرداري بادرود</v>
      </c>
      <c r="Q323" s="1">
        <v>20</v>
      </c>
      <c r="R323" s="1" t="str">
        <f>"فروش داخلي - سازمان شهرداري ها و دهياري هاي كشور"</f>
        <v>فروش داخلي - سازمان شهرداري ها و دهياري هاي كشور</v>
      </c>
      <c r="S323" s="1" t="str">
        <f>"قرارداد فروش"</f>
        <v>قرارداد فروش</v>
      </c>
      <c r="T323" s="1" t="str">
        <f>"ندارد"</f>
        <v>ندارد</v>
      </c>
      <c r="U323" s="1" t="str">
        <f>"تعاوني جم گستر (1001 ج 89)"</f>
        <v>تعاوني جم گستر (1001 ج 89)</v>
      </c>
      <c r="V323" s="1">
        <v>962000485</v>
      </c>
      <c r="W323" s="1">
        <v>962000485</v>
      </c>
      <c r="X323" s="1" t="str">
        <f>"1396529711"</f>
        <v>1396529711</v>
      </c>
      <c r="Y323" s="1" t="str">
        <f>"96/09/20"</f>
        <v>96/09/20</v>
      </c>
      <c r="Z323" s="1" t="str">
        <f>"37110مرحله دوم"</f>
        <v>37110مرحله دوم</v>
      </c>
      <c r="AA323" s="1" t="str">
        <f>"شهرداريها"</f>
        <v>شهرداريها</v>
      </c>
      <c r="AB323" s="1" t="str">
        <f>"96/09/04"</f>
        <v>96/09/04</v>
      </c>
      <c r="AC323" s="1" t="str">
        <f>"استان اصفهان"</f>
        <v>استان اصفهان</v>
      </c>
      <c r="AD323" s="1" t="str">
        <f>"96/09/13"</f>
        <v>96/09/13</v>
      </c>
      <c r="AE323" s="1" t="str">
        <f>"اختتام"</f>
        <v>اختتام</v>
      </c>
      <c r="AF323" s="1" t="str">
        <f>""</f>
        <v/>
      </c>
      <c r="AG323" s="1" t="str">
        <f>""</f>
        <v/>
      </c>
      <c r="AH323" s="1" t="str">
        <f>""</f>
        <v/>
      </c>
      <c r="AI323" s="1" t="str">
        <f>""</f>
        <v/>
      </c>
      <c r="AJ323" s="1" t="str">
        <f>""</f>
        <v/>
      </c>
      <c r="AK323" s="1" t="str">
        <f>""</f>
        <v/>
      </c>
    </row>
    <row r="324" spans="1:37">
      <c r="A324" s="1">
        <v>61865</v>
      </c>
      <c r="B324" s="1">
        <v>962000323</v>
      </c>
      <c r="C324" s="1" t="str">
        <f>"تخليه خراسان رضوي كاشمرشركت كيمياسروش پاسارگاد"</f>
        <v>تخليه خراسان رضوي كاشمرشركت كيمياسروش پاسارگاد</v>
      </c>
      <c r="D324" s="1">
        <v>9113</v>
      </c>
      <c r="E324" s="1">
        <v>61269</v>
      </c>
      <c r="F324" s="1">
        <v>96</v>
      </c>
      <c r="G324" s="1">
        <v>596</v>
      </c>
      <c r="H324" s="1" t="str">
        <f>"96/09/13"</f>
        <v>96/09/13</v>
      </c>
      <c r="I324" s="1" t="str">
        <f>"كيلوگرم"</f>
        <v>كيلوگرم</v>
      </c>
      <c r="J324" s="1" t="str">
        <f>"0000000076"</f>
        <v>0000000076</v>
      </c>
      <c r="K324" s="1" t="str">
        <f>"قير 60/70 - فله"</f>
        <v>قير 60/70 - فله</v>
      </c>
      <c r="L324" s="1">
        <v>100</v>
      </c>
      <c r="M324" s="1" t="str">
        <f>"مخازن قير اصفهان"</f>
        <v>مخازن قير اصفهان</v>
      </c>
      <c r="N324" s="1">
        <v>10690</v>
      </c>
      <c r="O324" s="1">
        <v>50037528</v>
      </c>
      <c r="P324" s="1" t="str">
        <f>"  شهرداري ريوش"</f>
        <v xml:space="preserve">  شهرداري ريوش</v>
      </c>
      <c r="Q324" s="1">
        <v>20</v>
      </c>
      <c r="R324" s="1" t="str">
        <f>"فروش داخلي - سازمان شهرداري ها و دهياري هاي كشور"</f>
        <v>فروش داخلي - سازمان شهرداري ها و دهياري هاي كشور</v>
      </c>
      <c r="S324" s="1" t="str">
        <f>"قرارداد فروش"</f>
        <v>قرارداد فروش</v>
      </c>
      <c r="T324" s="1" t="str">
        <f>"ندارد"</f>
        <v>ندارد</v>
      </c>
      <c r="U324" s="1" t="str">
        <f>"تعاوني جم گستر (1001 ج 89)"</f>
        <v>تعاوني جم گستر (1001 ج 89)</v>
      </c>
      <c r="V324" s="1">
        <v>962000323</v>
      </c>
      <c r="W324" s="1">
        <v>962000323</v>
      </c>
      <c r="X324" s="1" t="str">
        <f>"1396514467"</f>
        <v>1396514467</v>
      </c>
      <c r="Y324" s="1" t="str">
        <f>"96/09/12"</f>
        <v>96/09/12</v>
      </c>
      <c r="Z324" s="1" t="str">
        <f>"37028مرحله دوم"</f>
        <v>37028مرحله دوم</v>
      </c>
      <c r="AA324" s="1" t="str">
        <f>"شهرداريها"</f>
        <v>شهرداريها</v>
      </c>
      <c r="AB324" s="1" t="str">
        <f>"96/09/04"</f>
        <v>96/09/04</v>
      </c>
      <c r="AC324" s="1" t="str">
        <f>"خراسان رضوي"</f>
        <v>خراسان رضوي</v>
      </c>
      <c r="AD324" s="1" t="str">
        <f>"96/07/03"</f>
        <v>96/07/03</v>
      </c>
      <c r="AE324" s="1" t="str">
        <f>"اختتام"</f>
        <v>اختتام</v>
      </c>
      <c r="AF324" s="1" t="str">
        <f>""</f>
        <v/>
      </c>
      <c r="AG324" s="1" t="str">
        <f>""</f>
        <v/>
      </c>
      <c r="AH324" s="1" t="str">
        <f>""</f>
        <v/>
      </c>
      <c r="AI324" s="1" t="str">
        <f>""</f>
        <v/>
      </c>
      <c r="AJ324" s="1" t="str">
        <f>""</f>
        <v/>
      </c>
      <c r="AK324" s="1" t="str">
        <f>""</f>
        <v/>
      </c>
    </row>
    <row r="325" spans="1:37">
      <c r="A325" s="1">
        <v>37194</v>
      </c>
      <c r="B325" s="1">
        <v>962000481</v>
      </c>
      <c r="C325" s="1" t="str">
        <f>"تخليه -محورنجف آبادتيران پشت شهرك صنعتي تيران كارخانه آسفالت ميلادراه سپاهان"</f>
        <v>تخليه -محورنجف آبادتيران پشت شهرك صنعتي تيران كارخانه آسفالت ميلادراه سپاهان</v>
      </c>
      <c r="D325" s="1">
        <v>12820</v>
      </c>
      <c r="E325" s="1">
        <v>37194</v>
      </c>
      <c r="F325" s="1">
        <v>96</v>
      </c>
      <c r="G325" s="1">
        <v>0</v>
      </c>
      <c r="H325" s="1" t="str">
        <f>"96/09/20"</f>
        <v>96/09/20</v>
      </c>
      <c r="I325" s="1" t="str">
        <f>"كيلوگرم"</f>
        <v>كيلوگرم</v>
      </c>
      <c r="J325" s="1" t="str">
        <f>"0000000076"</f>
        <v>0000000076</v>
      </c>
      <c r="K325" s="1" t="str">
        <f>"قير 60/70 - فله"</f>
        <v>قير 60/70 - فله</v>
      </c>
      <c r="L325" s="1">
        <v>100</v>
      </c>
      <c r="M325" s="1" t="str">
        <f>"مخازن قير اصفهان"</f>
        <v>مخازن قير اصفهان</v>
      </c>
      <c r="N325" s="1">
        <v>10698</v>
      </c>
      <c r="O325" s="1">
        <v>50037803</v>
      </c>
      <c r="P325" s="1" t="str">
        <f>"  شهرداري دهق"</f>
        <v xml:space="preserve">  شهرداري دهق</v>
      </c>
      <c r="Q325" s="1">
        <v>20</v>
      </c>
      <c r="R325" s="1" t="str">
        <f>"فروش داخلي - سازمان شهرداري ها و دهياري هاي كشور"</f>
        <v>فروش داخلي - سازمان شهرداري ها و دهياري هاي كشور</v>
      </c>
      <c r="S325" s="1" t="str">
        <f>"قرارداد فروش"</f>
        <v>قرارداد فروش</v>
      </c>
      <c r="T325" s="1" t="str">
        <f>"ندارد"</f>
        <v>ندارد</v>
      </c>
      <c r="U325" s="1" t="str">
        <f>"تعاوني جم گستر (1001 ج 89)"</f>
        <v>تعاوني جم گستر (1001 ج 89)</v>
      </c>
      <c r="V325" s="1">
        <v>962000481</v>
      </c>
      <c r="W325" s="1">
        <v>962000481</v>
      </c>
      <c r="X325" s="1" t="str">
        <f>"1396529711"</f>
        <v>1396529711</v>
      </c>
      <c r="Y325" s="1" t="str">
        <f>"96/09/20"</f>
        <v>96/09/20</v>
      </c>
      <c r="Z325" s="1" t="str">
        <f>"37138مرحله دوم"</f>
        <v>37138مرحله دوم</v>
      </c>
      <c r="AA325" s="1" t="str">
        <f>"شهرداريها"</f>
        <v>شهرداريها</v>
      </c>
      <c r="AB325" s="1" t="str">
        <f>"96/09/05"</f>
        <v>96/09/05</v>
      </c>
      <c r="AC325" s="1" t="str">
        <f>"استان اصفهان"</f>
        <v>استان اصفهان</v>
      </c>
      <c r="AD325" s="1" t="str">
        <f>"96/09/13"</f>
        <v>96/09/13</v>
      </c>
      <c r="AE325" s="1" t="str">
        <f>"اختتام"</f>
        <v>اختتام</v>
      </c>
      <c r="AF325" s="1" t="str">
        <f>""</f>
        <v/>
      </c>
      <c r="AG325" s="1" t="str">
        <f>""</f>
        <v/>
      </c>
      <c r="AH325" s="1" t="str">
        <f>""</f>
        <v/>
      </c>
      <c r="AI325" s="1" t="str">
        <f>""</f>
        <v/>
      </c>
      <c r="AJ325" s="1" t="str">
        <f>""</f>
        <v/>
      </c>
      <c r="AK325" s="1" t="str">
        <f>""</f>
        <v/>
      </c>
    </row>
    <row r="326" spans="1:37">
      <c r="A326" s="1">
        <v>134678</v>
      </c>
      <c r="B326" s="1">
        <v>962000129</v>
      </c>
      <c r="C326" s="1" t="str">
        <f>"تخليه -خراسان جنوبي -شهرستان قاين شهرخضري دشت بياض كيلومتر6جاده قاين -شركت پيوندسازان بجنورد"</f>
        <v>تخليه -خراسان جنوبي -شهرستان قاين شهرخضري دشت بياض كيلومتر6جاده قاين -شركت پيوندسازان بجنورد</v>
      </c>
      <c r="D326" s="1">
        <v>9113</v>
      </c>
      <c r="E326" s="1">
        <v>134678</v>
      </c>
      <c r="F326" s="1">
        <v>96</v>
      </c>
      <c r="G326" s="1">
        <v>0</v>
      </c>
      <c r="H326" s="1" t="str">
        <f>"96/07/03"</f>
        <v>96/07/03</v>
      </c>
      <c r="I326" s="1" t="str">
        <f>"كيلوگرم"</f>
        <v>كيلوگرم</v>
      </c>
      <c r="J326" s="1" t="str">
        <f>"0000000076"</f>
        <v>0000000076</v>
      </c>
      <c r="K326" s="1" t="str">
        <f>"قير 60/70 - فله"</f>
        <v>قير 60/70 - فله</v>
      </c>
      <c r="L326" s="1">
        <v>100</v>
      </c>
      <c r="M326" s="1" t="str">
        <f>"مخازن قير اصفهان"</f>
        <v>مخازن قير اصفهان</v>
      </c>
      <c r="N326" s="1">
        <v>10704</v>
      </c>
      <c r="O326" s="1">
        <v>50036314</v>
      </c>
      <c r="P326" s="1" t="str">
        <f>"  شهرداري اسلاميه"</f>
        <v xml:space="preserve">  شهرداري اسلاميه</v>
      </c>
      <c r="Q326" s="1">
        <v>20</v>
      </c>
      <c r="R326" s="1" t="str">
        <f>"فروش داخلي - سازمان شهرداري ها و دهياري هاي كشور"</f>
        <v>فروش داخلي - سازمان شهرداري ها و دهياري هاي كشور</v>
      </c>
      <c r="S326" s="1" t="str">
        <f>"قرارداد فروش"</f>
        <v>قرارداد فروش</v>
      </c>
      <c r="T326" s="1" t="str">
        <f>"ندارد"</f>
        <v>ندارد</v>
      </c>
      <c r="U326" s="1" t="str">
        <f>"تعاوني جم گستر (1001 ج 89)"</f>
        <v>تعاوني جم گستر (1001 ج 89)</v>
      </c>
      <c r="V326" s="1">
        <v>962000129</v>
      </c>
      <c r="W326" s="1">
        <v>962000129</v>
      </c>
      <c r="X326" s="1" t="str">
        <f>"1396514467"</f>
        <v>1396514467</v>
      </c>
      <c r="Y326" s="1" t="str">
        <f>"96/07/03"</f>
        <v>96/07/03</v>
      </c>
      <c r="Z326" s="1" t="str">
        <f>"26616مرحله اول"</f>
        <v>26616مرحله اول</v>
      </c>
      <c r="AA326" s="1" t="str">
        <f>"شهرداريها"</f>
        <v>شهرداريها</v>
      </c>
      <c r="AB326" s="1" t="str">
        <f>"96/06/29"</f>
        <v>96/06/29</v>
      </c>
      <c r="AC326" s="1" t="str">
        <f>"خراسان جنوبي"</f>
        <v>خراسان جنوبي</v>
      </c>
      <c r="AD326" s="1" t="str">
        <f>"96/07/03"</f>
        <v>96/07/03</v>
      </c>
      <c r="AE326" s="1" t="str">
        <f>"اختتام"</f>
        <v>اختتام</v>
      </c>
      <c r="AF326" s="1" t="str">
        <f>""</f>
        <v/>
      </c>
      <c r="AG326" s="1" t="str">
        <f>""</f>
        <v/>
      </c>
      <c r="AH326" s="1" t="str">
        <f>""</f>
        <v/>
      </c>
      <c r="AI326" s="1" t="str">
        <f>""</f>
        <v/>
      </c>
      <c r="AJ326" s="1" t="str">
        <f>""</f>
        <v/>
      </c>
      <c r="AK326" s="1" t="str">
        <f>""</f>
        <v/>
      </c>
    </row>
    <row r="327" spans="1:37">
      <c r="A327" s="1">
        <v>99828</v>
      </c>
      <c r="B327" s="1">
        <v>962000064</v>
      </c>
      <c r="C327" s="1" t="str">
        <f>"تخليه -اصفهان -جاده قمصركيلومتر17-كارخانه بتن آسفالت مهر"</f>
        <v>تخليه -اصفهان -جاده قمصركيلومتر17-كارخانه بتن آسفالت مهر</v>
      </c>
      <c r="D327" s="1">
        <v>9113</v>
      </c>
      <c r="E327" s="1">
        <v>99828</v>
      </c>
      <c r="F327" s="1">
        <v>96</v>
      </c>
      <c r="G327" s="1">
        <v>0</v>
      </c>
      <c r="H327" s="1" t="str">
        <f>"96/07/03"</f>
        <v>96/07/03</v>
      </c>
      <c r="I327" s="1" t="str">
        <f>"كيلوگرم"</f>
        <v>كيلوگرم</v>
      </c>
      <c r="J327" s="1" t="str">
        <f>"0000000076"</f>
        <v>0000000076</v>
      </c>
      <c r="K327" s="1" t="str">
        <f>"قير 60/70 - فله"</f>
        <v>قير 60/70 - فله</v>
      </c>
      <c r="L327" s="1">
        <v>100</v>
      </c>
      <c r="M327" s="1" t="str">
        <f>"مخازن قير اصفهان"</f>
        <v>مخازن قير اصفهان</v>
      </c>
      <c r="N327" s="1">
        <v>10708</v>
      </c>
      <c r="O327" s="1">
        <v>50036212</v>
      </c>
      <c r="P327" s="1" t="str">
        <f>"  شهرداري قمصر"</f>
        <v xml:space="preserve">  شهرداري قمصر</v>
      </c>
      <c r="Q327" s="1">
        <v>20</v>
      </c>
      <c r="R327" s="1" t="str">
        <f>"فروش داخلي - سازمان شهرداري ها و دهياري هاي كشور"</f>
        <v>فروش داخلي - سازمان شهرداري ها و دهياري هاي كشور</v>
      </c>
      <c r="S327" s="1" t="str">
        <f>"قرارداد فروش"</f>
        <v>قرارداد فروش</v>
      </c>
      <c r="T327" s="1" t="str">
        <f>"ندارد"</f>
        <v>ندارد</v>
      </c>
      <c r="U327" s="1" t="str">
        <f>"تعاوني جم گستر (1001 ج 89)"</f>
        <v>تعاوني جم گستر (1001 ج 89)</v>
      </c>
      <c r="V327" s="1">
        <v>962000064</v>
      </c>
      <c r="W327" s="1">
        <v>962000064</v>
      </c>
      <c r="X327" s="1" t="str">
        <f>"1396514467"</f>
        <v>1396514467</v>
      </c>
      <c r="Y327" s="1" t="str">
        <f>"96/07/03"</f>
        <v>96/07/03</v>
      </c>
      <c r="Z327" s="1" t="str">
        <f>"26693مرحله اول"</f>
        <v>26693مرحله اول</v>
      </c>
      <c r="AA327" s="1" t="str">
        <f>"شهرداريها"</f>
        <v>شهرداريها</v>
      </c>
      <c r="AB327" s="1" t="str">
        <f>"96/06/29"</f>
        <v>96/06/29</v>
      </c>
      <c r="AC327" s="1" t="str">
        <f>"استان اصفهان"</f>
        <v>استان اصفهان</v>
      </c>
      <c r="AD327" s="1" t="str">
        <f>"96/07/03"</f>
        <v>96/07/03</v>
      </c>
      <c r="AE327" s="1" t="str">
        <f>"اختتام"</f>
        <v>اختتام</v>
      </c>
      <c r="AF327" s="1" t="str">
        <f>""</f>
        <v/>
      </c>
      <c r="AG327" s="1" t="str">
        <f>""</f>
        <v/>
      </c>
      <c r="AH327" s="1" t="str">
        <f>""</f>
        <v/>
      </c>
      <c r="AI327" s="1" t="str">
        <f>""</f>
        <v/>
      </c>
      <c r="AJ327" s="1" t="str">
        <f>""</f>
        <v/>
      </c>
      <c r="AK327" s="1" t="str">
        <f>""</f>
        <v/>
      </c>
    </row>
    <row r="328" spans="1:37">
      <c r="A328" s="1">
        <v>37979</v>
      </c>
      <c r="B328" s="1">
        <v>962000434</v>
      </c>
      <c r="C328" s="1" t="str">
        <f>"تخليه اصفهان شهرستان سيمرم -حناكيلومتر10جاده پادناكارگاه توليدشن وماسه نضري كارخانه آسفالت شهرداري حنا"</f>
        <v>تخليه اصفهان شهرستان سيمرم -حناكيلومتر10جاده پادناكارگاه توليدشن وماسه نضري كارخانه آسفالت شهرداري حنا</v>
      </c>
      <c r="D328" s="1">
        <v>12820</v>
      </c>
      <c r="E328" s="1">
        <v>37781</v>
      </c>
      <c r="F328" s="1">
        <v>96</v>
      </c>
      <c r="G328" s="1">
        <v>198</v>
      </c>
      <c r="H328" s="1" t="str">
        <f>"96/09/20"</f>
        <v>96/09/20</v>
      </c>
      <c r="I328" s="1" t="str">
        <f>"كيلوگرم"</f>
        <v>كيلوگرم</v>
      </c>
      <c r="J328" s="1" t="str">
        <f>"0000000076"</f>
        <v>0000000076</v>
      </c>
      <c r="K328" s="1" t="str">
        <f>"قير 60/70 - فله"</f>
        <v>قير 60/70 - فله</v>
      </c>
      <c r="L328" s="1">
        <v>100</v>
      </c>
      <c r="M328" s="1" t="str">
        <f>"مخازن قير اصفهان"</f>
        <v>مخازن قير اصفهان</v>
      </c>
      <c r="N328" s="1">
        <v>10721</v>
      </c>
      <c r="O328" s="1">
        <v>50037756</v>
      </c>
      <c r="P328" s="1" t="str">
        <f>"  شهرداري حنا"</f>
        <v xml:space="preserve">  شهرداري حنا</v>
      </c>
      <c r="Q328" s="1">
        <v>20</v>
      </c>
      <c r="R328" s="1" t="str">
        <f>"فروش داخلي - سازمان شهرداري ها و دهياري هاي كشور"</f>
        <v>فروش داخلي - سازمان شهرداري ها و دهياري هاي كشور</v>
      </c>
      <c r="S328" s="1" t="str">
        <f>"قرارداد فروش"</f>
        <v>قرارداد فروش</v>
      </c>
      <c r="T328" s="1" t="str">
        <f>"ندارد"</f>
        <v>ندارد</v>
      </c>
      <c r="U328" s="1" t="str">
        <f>"تعاوني جم گستر (1001 ج 89)"</f>
        <v>تعاوني جم گستر (1001 ج 89)</v>
      </c>
      <c r="V328" s="1">
        <v>962000434</v>
      </c>
      <c r="W328" s="1">
        <v>962000434</v>
      </c>
      <c r="X328" s="1" t="str">
        <f>"1396529711"</f>
        <v>1396529711</v>
      </c>
      <c r="Y328" s="1" t="str">
        <f>"96/09/20"</f>
        <v>96/09/20</v>
      </c>
      <c r="Z328" s="1" t="str">
        <f>"37126مرحله دوم"</f>
        <v>37126مرحله دوم</v>
      </c>
      <c r="AA328" s="1" t="str">
        <f>"شهرداريها"</f>
        <v>شهرداريها</v>
      </c>
      <c r="AB328" s="1" t="str">
        <f>"96/09/04"</f>
        <v>96/09/04</v>
      </c>
      <c r="AC328" s="1" t="str">
        <f>"استان اصفهان"</f>
        <v>استان اصفهان</v>
      </c>
      <c r="AD328" s="1" t="str">
        <f>"96/09/13"</f>
        <v>96/09/13</v>
      </c>
      <c r="AE328" s="1" t="str">
        <f>"تاييدشده"</f>
        <v>تاييدشده</v>
      </c>
      <c r="AF328" s="1" t="str">
        <f>""</f>
        <v/>
      </c>
      <c r="AG328" s="1" t="str">
        <f>""</f>
        <v/>
      </c>
      <c r="AH328" s="1" t="str">
        <f>""</f>
        <v/>
      </c>
      <c r="AI328" s="1" t="str">
        <f>""</f>
        <v/>
      </c>
      <c r="AJ328" s="1" t="str">
        <f>""</f>
        <v/>
      </c>
      <c r="AK328" s="1" t="str">
        <f>""</f>
        <v/>
      </c>
    </row>
    <row r="329" spans="1:37">
      <c r="A329" s="1">
        <v>61740</v>
      </c>
      <c r="B329" s="1">
        <v>962000254</v>
      </c>
      <c r="C329" s="1" t="str">
        <f>"تخليه خراسان جنوبي شهرستان درميان شهراسديه كارخانه آسفالت شهرداري اسديه"</f>
        <v>تخليه خراسان جنوبي شهرستان درميان شهراسديه كارخانه آسفالت شهرداري اسديه</v>
      </c>
      <c r="D329" s="1">
        <v>9113</v>
      </c>
      <c r="E329" s="1">
        <v>61740</v>
      </c>
      <c r="F329" s="1">
        <v>96</v>
      </c>
      <c r="G329" s="1">
        <v>0</v>
      </c>
      <c r="H329" s="1" t="str">
        <f>"96/09/08"</f>
        <v>96/09/08</v>
      </c>
      <c r="I329" s="1" t="str">
        <f>"كيلوگرم"</f>
        <v>كيلوگرم</v>
      </c>
      <c r="J329" s="1" t="str">
        <f>"0000000076"</f>
        <v>0000000076</v>
      </c>
      <c r="K329" s="1" t="str">
        <f>"قير 60/70 - فله"</f>
        <v>قير 60/70 - فله</v>
      </c>
      <c r="L329" s="1">
        <v>100</v>
      </c>
      <c r="M329" s="1" t="str">
        <f>"مخازن قير اصفهان"</f>
        <v>مخازن قير اصفهان</v>
      </c>
      <c r="N329" s="1">
        <v>10740</v>
      </c>
      <c r="O329" s="1">
        <v>50037383</v>
      </c>
      <c r="P329" s="1" t="str">
        <f>"  شهرداري قهستان"</f>
        <v xml:space="preserve">  شهرداري قهستان</v>
      </c>
      <c r="Q329" s="1">
        <v>20</v>
      </c>
      <c r="R329" s="1" t="str">
        <f>"فروش داخلي - سازمان شهرداري ها و دهياري هاي كشور"</f>
        <v>فروش داخلي - سازمان شهرداري ها و دهياري هاي كشور</v>
      </c>
      <c r="S329" s="1" t="str">
        <f>"قرارداد فروش"</f>
        <v>قرارداد فروش</v>
      </c>
      <c r="T329" s="1" t="str">
        <f>"ندارد"</f>
        <v>ندارد</v>
      </c>
      <c r="U329" s="1" t="str">
        <f>"تعاوني جم گستر (1001 ج 89)"</f>
        <v>تعاوني جم گستر (1001 ج 89)</v>
      </c>
      <c r="V329" s="1">
        <v>962000254</v>
      </c>
      <c r="W329" s="1">
        <v>962000254</v>
      </c>
      <c r="X329" s="1" t="str">
        <f>"1396514467"</f>
        <v>1396514467</v>
      </c>
      <c r="Y329" s="1" t="str">
        <f>"96/09/08"</f>
        <v>96/09/08</v>
      </c>
      <c r="Z329" s="1" t="str">
        <f>"37077مرحله دوم"</f>
        <v>37077مرحله دوم</v>
      </c>
      <c r="AA329" s="1" t="str">
        <f>"شهرداريها"</f>
        <v>شهرداريها</v>
      </c>
      <c r="AB329" s="1" t="str">
        <f>"96/09/04"</f>
        <v>96/09/04</v>
      </c>
      <c r="AC329" s="1" t="str">
        <f>"خراسان جنوبي"</f>
        <v>خراسان جنوبي</v>
      </c>
      <c r="AD329" s="1" t="str">
        <f>"96/07/03"</f>
        <v>96/07/03</v>
      </c>
      <c r="AE329" s="1" t="str">
        <f>"اختتام"</f>
        <v>اختتام</v>
      </c>
      <c r="AF329" s="1" t="str">
        <f>""</f>
        <v/>
      </c>
      <c r="AG329" s="1" t="str">
        <f>""</f>
        <v/>
      </c>
      <c r="AH329" s="1" t="str">
        <f>""</f>
        <v/>
      </c>
      <c r="AI329" s="1" t="str">
        <f>""</f>
        <v/>
      </c>
      <c r="AJ329" s="1" t="str">
        <f>""</f>
        <v/>
      </c>
      <c r="AK329" s="1" t="str">
        <f>""</f>
        <v/>
      </c>
    </row>
    <row r="330" spans="1:37">
      <c r="A330" s="1">
        <v>42000</v>
      </c>
      <c r="B330" s="1">
        <v>966200445</v>
      </c>
      <c r="C330" s="1" t="str">
        <f>"تخليه- ياسوج-روستاي دارشاهي-کارخانه آسفالت شکوهي"</f>
        <v>تخليه- ياسوج-روستاي دارشاهي-کارخانه آسفالت شکوهي</v>
      </c>
      <c r="D330" s="1">
        <v>12820</v>
      </c>
      <c r="E330" s="1">
        <v>42000</v>
      </c>
      <c r="F330" s="1">
        <v>96</v>
      </c>
      <c r="G330" s="1">
        <v>0</v>
      </c>
      <c r="H330" s="1" t="str">
        <f>"96/09/20"</f>
        <v>96/09/20</v>
      </c>
      <c r="I330" s="1" t="str">
        <f>"كيلوگرم"</f>
        <v>كيلوگرم</v>
      </c>
      <c r="J330" s="1" t="str">
        <f>"0000000076"</f>
        <v>0000000076</v>
      </c>
      <c r="K330" s="1" t="str">
        <f>"قير 60/70 - فله"</f>
        <v>قير 60/70 - فله</v>
      </c>
      <c r="L330" s="1">
        <v>100</v>
      </c>
      <c r="M330" s="1" t="str">
        <f>"مخازن قير اصفهان"</f>
        <v>مخازن قير اصفهان</v>
      </c>
      <c r="N330" s="1">
        <v>11077</v>
      </c>
      <c r="O330" s="1">
        <v>50037638</v>
      </c>
      <c r="P330" s="1" t="str">
        <f>"  امير سازه بوير"</f>
        <v xml:space="preserve">  امير سازه بوير</v>
      </c>
      <c r="Q330" s="1">
        <v>62</v>
      </c>
      <c r="R330" s="1" t="str">
        <f>"فروش داخلي - سازمان بنيادمسكن انقلاب اسلامي"</f>
        <v>فروش داخلي - سازمان بنيادمسكن انقلاب اسلامي</v>
      </c>
      <c r="S330" s="1" t="str">
        <f>"قرارداد فروش"</f>
        <v>قرارداد فروش</v>
      </c>
      <c r="T330" s="1" t="str">
        <f>"ندارد"</f>
        <v>ندارد</v>
      </c>
      <c r="U330" s="1" t="str">
        <f>"غلام نجفي سيامك‌‌‌‌‌‌(1881082)"</f>
        <v>غلام نجفي سيامك‌‌‌‌‌‌(1881082)</v>
      </c>
      <c r="V330" s="1">
        <v>966200445</v>
      </c>
      <c r="W330" s="1">
        <v>966200445</v>
      </c>
      <c r="X330" s="1" t="str">
        <f>"1396531357"</f>
        <v>1396531357</v>
      </c>
      <c r="Y330" s="1" t="str">
        <f>"96/09/20"</f>
        <v>96/09/20</v>
      </c>
      <c r="Z330" s="1" t="str">
        <f>"41345/د"</f>
        <v>41345/د</v>
      </c>
      <c r="AA330" s="1" t="str">
        <f>"بنيادمسكن انقلاب اسلامي"</f>
        <v>بنيادمسكن انقلاب اسلامي</v>
      </c>
      <c r="AB330" s="1" t="str">
        <f>"96/09/20"</f>
        <v>96/09/20</v>
      </c>
      <c r="AC330" s="1" t="str">
        <f>"كهكيلويه و بوير احمد"</f>
        <v>كهكيلويه و بوير احمد</v>
      </c>
      <c r="AD330" s="1" t="str">
        <f>"96/09/20"</f>
        <v>96/09/20</v>
      </c>
      <c r="AE330" s="1" t="str">
        <f>"اختتام"</f>
        <v>اختتام</v>
      </c>
      <c r="AF330" s="1" t="str">
        <f>""</f>
        <v/>
      </c>
      <c r="AG330" s="1" t="str">
        <f>""</f>
        <v/>
      </c>
      <c r="AH330" s="1" t="str">
        <f>""</f>
        <v/>
      </c>
      <c r="AI330" s="1" t="str">
        <f>""</f>
        <v/>
      </c>
      <c r="AJ330" s="1" t="str">
        <f>""</f>
        <v/>
      </c>
      <c r="AK330" s="1" t="str">
        <f>""</f>
        <v/>
      </c>
    </row>
    <row r="331" spans="1:37">
      <c r="A331" s="1">
        <v>100000</v>
      </c>
      <c r="B331" s="1">
        <v>966200709</v>
      </c>
      <c r="C331" s="1" t="str">
        <f>"تخليه- ياسوج-روستاي دارشاهي-کارخانه آسفالت شکوهي"</f>
        <v>تخليه- ياسوج-روستاي دارشاهي-کارخانه آسفالت شکوهي</v>
      </c>
      <c r="D331" s="1">
        <v>13350</v>
      </c>
      <c r="E331" s="1">
        <v>100000</v>
      </c>
      <c r="F331" s="1">
        <v>96</v>
      </c>
      <c r="G331" s="1">
        <v>0</v>
      </c>
      <c r="H331" s="1" t="str">
        <f>"96/12/26"</f>
        <v>96/12/26</v>
      </c>
      <c r="I331" s="1" t="str">
        <f>"كيلوگرم"</f>
        <v>كيلوگرم</v>
      </c>
      <c r="J331" s="1" t="str">
        <f>"0000000076"</f>
        <v>0000000076</v>
      </c>
      <c r="K331" s="1" t="str">
        <f>"قير 60/70 - فله"</f>
        <v>قير 60/70 - فله</v>
      </c>
      <c r="L331" s="1">
        <v>100</v>
      </c>
      <c r="M331" s="1" t="str">
        <f>"مخازن قير اصفهان"</f>
        <v>مخازن قير اصفهان</v>
      </c>
      <c r="N331" s="1">
        <v>11077</v>
      </c>
      <c r="O331" s="1">
        <v>50039065</v>
      </c>
      <c r="P331" s="1" t="str">
        <f>"  امير سازه بوير"</f>
        <v xml:space="preserve">  امير سازه بوير</v>
      </c>
      <c r="Q331" s="1">
        <v>62</v>
      </c>
      <c r="R331" s="1" t="str">
        <f>"فروش داخلي - سازمان بنيادمسكن انقلاب اسلامي"</f>
        <v>فروش داخلي - سازمان بنيادمسكن انقلاب اسلامي</v>
      </c>
      <c r="S331" s="1" t="str">
        <f>"قرارداد فروش"</f>
        <v>قرارداد فروش</v>
      </c>
      <c r="T331" s="1" t="str">
        <f>"ندارد"</f>
        <v>ندارد</v>
      </c>
      <c r="U331" s="1" t="str">
        <f>"غلام نجفي سيامك‌‌‌‌‌‌(1881082)"</f>
        <v>غلام نجفي سيامك‌‌‌‌‌‌(1881082)</v>
      </c>
      <c r="V331" s="1">
        <v>966200709</v>
      </c>
      <c r="W331" s="1">
        <v>966200709</v>
      </c>
      <c r="X331" s="1" t="str">
        <f>"1396555371"</f>
        <v>1396555371</v>
      </c>
      <c r="Y331" s="1" t="str">
        <f>"96/12/26"</f>
        <v>96/12/26</v>
      </c>
      <c r="Z331" s="1" t="str">
        <f>"59457/د"</f>
        <v>59457/د</v>
      </c>
      <c r="AA331" s="1" t="str">
        <f>"بنيادمسكن انقلاب اسلامي"</f>
        <v>بنيادمسكن انقلاب اسلامي</v>
      </c>
      <c r="AB331" s="1" t="str">
        <f>"96/12/23"</f>
        <v>96/12/23</v>
      </c>
      <c r="AC331" s="1" t="str">
        <f>"كهكيلويه و بوير احمد"</f>
        <v>كهكيلويه و بوير احمد</v>
      </c>
      <c r="AD331" s="1" t="str">
        <f>"96/12/26"</f>
        <v>96/12/26</v>
      </c>
      <c r="AE331" s="1" t="str">
        <f>"اختتام"</f>
        <v>اختتام</v>
      </c>
      <c r="AF331" s="1" t="str">
        <f>""</f>
        <v/>
      </c>
      <c r="AG331" s="1" t="str">
        <f>""</f>
        <v/>
      </c>
      <c r="AH331" s="1" t="str">
        <f>""</f>
        <v/>
      </c>
      <c r="AI331" s="1" t="str">
        <f>""</f>
        <v/>
      </c>
      <c r="AJ331" s="1" t="str">
        <f>""</f>
        <v/>
      </c>
      <c r="AK331" s="1" t="str">
        <f>""</f>
        <v/>
      </c>
    </row>
    <row r="332" spans="1:37">
      <c r="A332" s="1">
        <v>100000</v>
      </c>
      <c r="B332" s="1">
        <v>966200711</v>
      </c>
      <c r="C332" s="1" t="str">
        <f>"تخليه- ياسوج-روستاي دارشاهي-کارخانه آسفالت شکوهي"</f>
        <v>تخليه- ياسوج-روستاي دارشاهي-کارخانه آسفالت شکوهي</v>
      </c>
      <c r="D332" s="1">
        <v>13350</v>
      </c>
      <c r="E332" s="1">
        <v>100000</v>
      </c>
      <c r="F332" s="1">
        <v>96</v>
      </c>
      <c r="G332" s="1">
        <v>0</v>
      </c>
      <c r="H332" s="1" t="str">
        <f>"96/12/26"</f>
        <v>96/12/26</v>
      </c>
      <c r="I332" s="1" t="str">
        <f>"كيلوگرم"</f>
        <v>كيلوگرم</v>
      </c>
      <c r="J332" s="1" t="str">
        <f>"0000000076"</f>
        <v>0000000076</v>
      </c>
      <c r="K332" s="1" t="str">
        <f>"قير 60/70 - فله"</f>
        <v>قير 60/70 - فله</v>
      </c>
      <c r="L332" s="1">
        <v>100</v>
      </c>
      <c r="M332" s="1" t="str">
        <f>"مخازن قير اصفهان"</f>
        <v>مخازن قير اصفهان</v>
      </c>
      <c r="N332" s="1">
        <v>11077</v>
      </c>
      <c r="O332" s="1">
        <v>50039068</v>
      </c>
      <c r="P332" s="1" t="str">
        <f>"  امير سازه بوير"</f>
        <v xml:space="preserve">  امير سازه بوير</v>
      </c>
      <c r="Q332" s="1">
        <v>62</v>
      </c>
      <c r="R332" s="1" t="str">
        <f>"فروش داخلي - سازمان بنيادمسكن انقلاب اسلامي"</f>
        <v>فروش داخلي - سازمان بنيادمسكن انقلاب اسلامي</v>
      </c>
      <c r="S332" s="1" t="str">
        <f>"قرارداد فروش"</f>
        <v>قرارداد فروش</v>
      </c>
      <c r="T332" s="1" t="str">
        <f>"ندارد"</f>
        <v>ندارد</v>
      </c>
      <c r="U332" s="1" t="str">
        <f>"غلام نجفي سيامك‌‌‌‌‌‌(1881082)"</f>
        <v>غلام نجفي سيامك‌‌‌‌‌‌(1881082)</v>
      </c>
      <c r="V332" s="1">
        <v>966200711</v>
      </c>
      <c r="W332" s="1">
        <v>966200711</v>
      </c>
      <c r="X332" s="1" t="str">
        <f>"1396555371"</f>
        <v>1396555371</v>
      </c>
      <c r="Y332" s="1" t="str">
        <f>"96/12/26"</f>
        <v>96/12/26</v>
      </c>
      <c r="Z332" s="1" t="str">
        <f>"59419/د"</f>
        <v>59419/د</v>
      </c>
      <c r="AA332" s="1" t="str">
        <f>"بنيادمسكن انقلاب اسلامي"</f>
        <v>بنيادمسكن انقلاب اسلامي</v>
      </c>
      <c r="AB332" s="1" t="str">
        <f>"96/12/23"</f>
        <v>96/12/23</v>
      </c>
      <c r="AC332" s="1" t="str">
        <f>"كهكيلويه و بوير احمد"</f>
        <v>كهكيلويه و بوير احمد</v>
      </c>
      <c r="AD332" s="1" t="str">
        <f>"96/12/26"</f>
        <v>96/12/26</v>
      </c>
      <c r="AE332" s="1" t="str">
        <f>"اختتام"</f>
        <v>اختتام</v>
      </c>
      <c r="AF332" s="1" t="str">
        <f>""</f>
        <v/>
      </c>
      <c r="AG332" s="1" t="str">
        <f>""</f>
        <v/>
      </c>
      <c r="AH332" s="1" t="str">
        <f>""</f>
        <v/>
      </c>
      <c r="AI332" s="1" t="str">
        <f>""</f>
        <v/>
      </c>
      <c r="AJ332" s="1" t="str">
        <f>""</f>
        <v/>
      </c>
      <c r="AK332" s="1" t="str">
        <f>""</f>
        <v/>
      </c>
    </row>
    <row r="333" spans="1:37">
      <c r="A333" s="1">
        <v>200000</v>
      </c>
      <c r="B333" s="1">
        <v>966200382</v>
      </c>
      <c r="C333" s="1" t="str">
        <f>"تخليه -اصفهان داران بلواردانشگاه خيابان شهرك صنعتي مجتمع توليدي جهاد"</f>
        <v>تخليه -اصفهان داران بلواردانشگاه خيابان شهرك صنعتي مجتمع توليدي جهاد</v>
      </c>
      <c r="D333" s="1">
        <v>12820</v>
      </c>
      <c r="E333" s="1">
        <v>199500</v>
      </c>
      <c r="F333" s="1">
        <v>96</v>
      </c>
      <c r="G333" s="1">
        <v>500</v>
      </c>
      <c r="H333" s="1" t="str">
        <f>"96/09/08"</f>
        <v>96/09/08</v>
      </c>
      <c r="I333" s="1" t="str">
        <f>"كيلوگرم"</f>
        <v>كيلوگرم</v>
      </c>
      <c r="J333" s="1" t="str">
        <f>"0000000076"</f>
        <v>0000000076</v>
      </c>
      <c r="K333" s="1" t="str">
        <f>"قير 60/70 - فله"</f>
        <v>قير 60/70 - فله</v>
      </c>
      <c r="L333" s="1">
        <v>100</v>
      </c>
      <c r="M333" s="1" t="str">
        <f>"مخازن قير اصفهان"</f>
        <v>مخازن قير اصفهان</v>
      </c>
      <c r="N333" s="1">
        <v>11082</v>
      </c>
      <c r="O333" s="1">
        <v>50037325</v>
      </c>
      <c r="P333" s="1" t="str">
        <f>"  پارسيان كاني پاسارگاد"</f>
        <v xml:space="preserve">  پارسيان كاني پاسارگاد</v>
      </c>
      <c r="Q333" s="1">
        <v>62</v>
      </c>
      <c r="R333" s="1" t="str">
        <f>"فروش داخلي - سازمان بنيادمسكن انقلاب اسلامي"</f>
        <v>فروش داخلي - سازمان بنيادمسكن انقلاب اسلامي</v>
      </c>
      <c r="S333" s="1" t="str">
        <f>"قرارداد فروش"</f>
        <v>قرارداد فروش</v>
      </c>
      <c r="T333" s="1" t="str">
        <f>"ندارد"</f>
        <v>ندارد</v>
      </c>
      <c r="U333" s="1" t="str">
        <f>"مرادي نجاتعلي(1020ج89)"</f>
        <v>مرادي نجاتعلي(1020ج89)</v>
      </c>
      <c r="V333" s="1">
        <v>966200382</v>
      </c>
      <c r="W333" s="1">
        <v>966200382</v>
      </c>
      <c r="X333" s="1" t="str">
        <f>"1396529172"</f>
        <v>1396529172</v>
      </c>
      <c r="Y333" s="1" t="str">
        <f>"96/09/08"</f>
        <v>96/09/08</v>
      </c>
      <c r="Z333" s="1" t="str">
        <f>"37343/د"</f>
        <v>37343/د</v>
      </c>
      <c r="AA333" s="1" t="str">
        <f>"بنيادمسكن انقلاب اسلامي"</f>
        <v>بنيادمسكن انقلاب اسلامي</v>
      </c>
      <c r="AB333" s="1" t="str">
        <f>"96/08/21"</f>
        <v>96/08/21</v>
      </c>
      <c r="AC333" s="1" t="str">
        <f>"استان اصفهان"</f>
        <v>استان اصفهان</v>
      </c>
      <c r="AD333" s="1" t="str">
        <f>"96/09/08"</f>
        <v>96/09/08</v>
      </c>
      <c r="AE333" s="1" t="str">
        <f>"اختتام"</f>
        <v>اختتام</v>
      </c>
      <c r="AF333" s="1" t="str">
        <f>""</f>
        <v/>
      </c>
      <c r="AG333" s="1" t="str">
        <f>""</f>
        <v/>
      </c>
      <c r="AH333" s="1" t="str">
        <f>""</f>
        <v/>
      </c>
      <c r="AI333" s="1" t="str">
        <f>""</f>
        <v/>
      </c>
      <c r="AJ333" s="1" t="str">
        <f>""</f>
        <v/>
      </c>
      <c r="AK333" s="1" t="str">
        <f>""</f>
        <v/>
      </c>
    </row>
    <row r="334" spans="1:37">
      <c r="A334" s="1">
        <v>19000</v>
      </c>
      <c r="B334" s="1">
        <v>966200481</v>
      </c>
      <c r="C334" s="1" t="str">
        <f>"تخليه كهگيلويه ياسوج پليس راه اصفهان ياسوج كارخانه آسفالت داريوش جوكار"</f>
        <v>تخليه كهگيلويه ياسوج پليس راه اصفهان ياسوج كارخانه آسفالت داريوش جوكار</v>
      </c>
      <c r="D334" s="1">
        <v>12820</v>
      </c>
      <c r="E334" s="1">
        <v>19000</v>
      </c>
      <c r="F334" s="1">
        <v>96</v>
      </c>
      <c r="G334" s="1">
        <v>0</v>
      </c>
      <c r="H334" s="1" t="str">
        <f>"96/09/27"</f>
        <v>96/09/27</v>
      </c>
      <c r="I334" s="1" t="str">
        <f>"كيلوگرم"</f>
        <v>كيلوگرم</v>
      </c>
      <c r="J334" s="1" t="str">
        <f>"0000000076"</f>
        <v>0000000076</v>
      </c>
      <c r="K334" s="1" t="str">
        <f>"قير 60/70 - فله"</f>
        <v>قير 60/70 - فله</v>
      </c>
      <c r="L334" s="1">
        <v>100</v>
      </c>
      <c r="M334" s="1" t="str">
        <f>"مخازن قير اصفهان"</f>
        <v>مخازن قير اصفهان</v>
      </c>
      <c r="N334" s="1">
        <v>11090</v>
      </c>
      <c r="O334" s="1">
        <v>50037926</v>
      </c>
      <c r="P334" s="1" t="str">
        <f>"  پارس گستر جوکار"</f>
        <v xml:space="preserve">  پارس گستر جوکار</v>
      </c>
      <c r="Q334" s="1">
        <v>62</v>
      </c>
      <c r="R334" s="1" t="str">
        <f>"فروش داخلي - سازمان بنيادمسكن انقلاب اسلامي"</f>
        <v>فروش داخلي - سازمان بنيادمسكن انقلاب اسلامي</v>
      </c>
      <c r="S334" s="1" t="str">
        <f>"قرارداد فروش"</f>
        <v>قرارداد فروش</v>
      </c>
      <c r="T334" s="1" t="str">
        <f>"ندارد"</f>
        <v>ندارد</v>
      </c>
      <c r="U334" s="1" t="str">
        <f>"غلام نجفي سيامك‌‌‌‌‌‌(1881082)"</f>
        <v>غلام نجفي سيامك‌‌‌‌‌‌(1881082)</v>
      </c>
      <c r="V334" s="1">
        <v>966200481</v>
      </c>
      <c r="W334" s="1">
        <v>966200481</v>
      </c>
      <c r="X334" s="1" t="str">
        <f>"1396533043"</f>
        <v>1396533043</v>
      </c>
      <c r="Y334" s="1" t="str">
        <f>"96/09/27"</f>
        <v>96/09/27</v>
      </c>
      <c r="Z334" s="1" t="str">
        <f>"42446/د"</f>
        <v>42446/د</v>
      </c>
      <c r="AA334" s="1" t="str">
        <f>"بنيادمسكن انقلاب اسلامي"</f>
        <v>بنيادمسكن انقلاب اسلامي</v>
      </c>
      <c r="AB334" s="1" t="str">
        <f>"96/09/26"</f>
        <v>96/09/26</v>
      </c>
      <c r="AC334" s="1" t="str">
        <f>"كهكيلويه و بوير احمد"</f>
        <v>كهكيلويه و بوير احمد</v>
      </c>
      <c r="AD334" s="1" t="str">
        <f>"96/09/27"</f>
        <v>96/09/27</v>
      </c>
      <c r="AE334" s="1" t="str">
        <f>"اختتام"</f>
        <v>اختتام</v>
      </c>
      <c r="AF334" s="1" t="str">
        <f>""</f>
        <v/>
      </c>
      <c r="AG334" s="1" t="str">
        <f>""</f>
        <v/>
      </c>
      <c r="AH334" s="1" t="str">
        <f>""</f>
        <v/>
      </c>
      <c r="AI334" s="1" t="str">
        <f>""</f>
        <v/>
      </c>
      <c r="AJ334" s="1" t="str">
        <f>""</f>
        <v/>
      </c>
      <c r="AK334" s="1" t="str">
        <f>""</f>
        <v/>
      </c>
    </row>
    <row r="335" spans="1:37">
      <c r="A335" s="1">
        <v>48000</v>
      </c>
      <c r="B335" s="1">
        <v>966300016</v>
      </c>
      <c r="C335" s="1" t="str">
        <f>"تخليه اصفهان خيابان زينبيه خ حبيب آبادخ شالباف شركت اوج بنا پايداركارخانه آسفالت مهدي"</f>
        <v>تخليه اصفهان خيابان زينبيه خ حبيب آبادخ شالباف شركت اوج بنا پايداركارخانه آسفالت مهدي</v>
      </c>
      <c r="D335" s="1">
        <v>9416</v>
      </c>
      <c r="E335" s="1">
        <v>47360</v>
      </c>
      <c r="F335" s="1">
        <v>96</v>
      </c>
      <c r="G335" s="1">
        <v>640</v>
      </c>
      <c r="H335" s="1" t="str">
        <f>"96/08/16"</f>
        <v>96/08/16</v>
      </c>
      <c r="I335" s="1" t="str">
        <f>"كيلوگرم"</f>
        <v>كيلوگرم</v>
      </c>
      <c r="J335" s="1" t="str">
        <f>"0000000076"</f>
        <v>0000000076</v>
      </c>
      <c r="K335" s="1" t="str">
        <f>"قير 60/70 - فله"</f>
        <v>قير 60/70 - فله</v>
      </c>
      <c r="L335" s="1">
        <v>100</v>
      </c>
      <c r="M335" s="1" t="str">
        <f>"مخازن قير اصفهان"</f>
        <v>مخازن قير اصفهان</v>
      </c>
      <c r="N335" s="1">
        <v>11098</v>
      </c>
      <c r="O335" s="1">
        <v>50037090</v>
      </c>
      <c r="P335" s="1" t="str">
        <f>"  اداره كل نوسازي توسعه وتجهيزمدارس استان اصفهان"</f>
        <v xml:space="preserve">  اداره كل نوسازي توسعه وتجهيزمدارس استان اصفهان</v>
      </c>
      <c r="Q335" s="1">
        <v>63</v>
      </c>
      <c r="R335" s="1" t="str">
        <f>"سازمان نوسازي،توسعه و تجهيز مدارس كشور"</f>
        <v>سازمان نوسازي،توسعه و تجهيز مدارس كشور</v>
      </c>
      <c r="S335" s="1" t="str">
        <f>"قرارداد فروش"</f>
        <v>قرارداد فروش</v>
      </c>
      <c r="T335" s="1" t="str">
        <f>"ندارد"</f>
        <v>ندارد</v>
      </c>
      <c r="U335" s="1" t="str">
        <f>"مرادي نجاتعلي(1020ج89)"</f>
        <v>مرادي نجاتعلي(1020ج89)</v>
      </c>
      <c r="V335" s="1">
        <v>966300016</v>
      </c>
      <c r="W335" s="1">
        <v>966300016</v>
      </c>
      <c r="X335" s="1" t="str">
        <f>"1396524013"</f>
        <v>1396524013</v>
      </c>
      <c r="Y335" s="1" t="str">
        <f>"96/08/16"</f>
        <v>96/08/16</v>
      </c>
      <c r="Z335" s="1" t="str">
        <f>"3-96/424-21377"</f>
        <v>3-96/424-21377</v>
      </c>
      <c r="AA335" s="1" t="str">
        <f>"سازمان نوسازي توسعه وتجهيزمدارس كشور"</f>
        <v>سازمان نوسازي توسعه وتجهيزمدارس كشور</v>
      </c>
      <c r="AB335" s="1" t="str">
        <f>"96/08/13"</f>
        <v>96/08/13</v>
      </c>
      <c r="AC335" s="1" t="str">
        <f>"استان اصفهان"</f>
        <v>استان اصفهان</v>
      </c>
      <c r="AD335" s="1" t="str">
        <f>"96/08/16"</f>
        <v>96/08/16</v>
      </c>
      <c r="AE335" s="1" t="str">
        <f>"اختتام"</f>
        <v>اختتام</v>
      </c>
      <c r="AF335" s="1" t="str">
        <f>""</f>
        <v/>
      </c>
      <c r="AG335" s="1" t="str">
        <f>""</f>
        <v/>
      </c>
      <c r="AH335" s="1" t="str">
        <f>""</f>
        <v/>
      </c>
      <c r="AI335" s="1" t="str">
        <f>""</f>
        <v/>
      </c>
      <c r="AJ335" s="1" t="str">
        <f>""</f>
        <v/>
      </c>
      <c r="AK335" s="1" t="str">
        <f>""</f>
        <v/>
      </c>
    </row>
    <row r="336" spans="1:37">
      <c r="A336" s="1">
        <v>36766</v>
      </c>
      <c r="B336" s="1">
        <v>962000404</v>
      </c>
      <c r="C336" s="1" t="str">
        <f>"تخليه اصفهان جاده حبيب آبادفرعي شالباف كارخانه آسفالت زينبيه"</f>
        <v>تخليه اصفهان جاده حبيب آبادفرعي شالباف كارخانه آسفالت زينبيه</v>
      </c>
      <c r="D336" s="1">
        <v>12820</v>
      </c>
      <c r="E336" s="1">
        <v>36766</v>
      </c>
      <c r="F336" s="1">
        <v>96</v>
      </c>
      <c r="G336" s="1">
        <v>0</v>
      </c>
      <c r="H336" s="1" t="str">
        <f>"96/09/20"</f>
        <v>96/09/20</v>
      </c>
      <c r="I336" s="1" t="str">
        <f>"كيلوگرم"</f>
        <v>كيلوگرم</v>
      </c>
      <c r="J336" s="1" t="str">
        <f>"0000000076"</f>
        <v>0000000076</v>
      </c>
      <c r="K336" s="1" t="str">
        <f>"قير 60/70 - فله"</f>
        <v>قير 60/70 - فله</v>
      </c>
      <c r="L336" s="1">
        <v>100</v>
      </c>
      <c r="M336" s="1" t="str">
        <f>"مخازن قير اصفهان"</f>
        <v>مخازن قير اصفهان</v>
      </c>
      <c r="N336" s="1">
        <v>10700</v>
      </c>
      <c r="O336" s="1">
        <v>50037717</v>
      </c>
      <c r="P336" s="1" t="str">
        <f>"  شهرداري سجزي"</f>
        <v xml:space="preserve">  شهرداري سجزي</v>
      </c>
      <c r="Q336" s="1">
        <v>20</v>
      </c>
      <c r="R336" s="1" t="str">
        <f>"فروش داخلي - سازمان شهرداري ها و دهياري هاي كشور"</f>
        <v>فروش داخلي - سازمان شهرداري ها و دهياري هاي كشور</v>
      </c>
      <c r="S336" s="1" t="str">
        <f>"قرارداد فروش"</f>
        <v>قرارداد فروش</v>
      </c>
      <c r="T336" s="1" t="str">
        <f>"ندارد"</f>
        <v>ندارد</v>
      </c>
      <c r="U336" s="1" t="str">
        <f>"تعاوني جم گستر (1001 ج 89)"</f>
        <v>تعاوني جم گستر (1001 ج 89)</v>
      </c>
      <c r="V336" s="1">
        <v>962000404</v>
      </c>
      <c r="W336" s="1">
        <v>962000404</v>
      </c>
      <c r="X336" s="1" t="str">
        <f>"1396529711"</f>
        <v>1396529711</v>
      </c>
      <c r="Y336" s="1" t="str">
        <f>"96/09/20"</f>
        <v>96/09/20</v>
      </c>
      <c r="Z336" s="1" t="str">
        <f>"37170مرحله دوم"</f>
        <v>37170مرحله دوم</v>
      </c>
      <c r="AA336" s="1" t="str">
        <f>"شهرداريها"</f>
        <v>شهرداريها</v>
      </c>
      <c r="AB336" s="1" t="str">
        <f>"96/09/05"</f>
        <v>96/09/05</v>
      </c>
      <c r="AC336" s="1" t="str">
        <f>"استان اصفهان"</f>
        <v>استان اصفهان</v>
      </c>
      <c r="AD336" s="1" t="str">
        <f>"96/09/13"</f>
        <v>96/09/13</v>
      </c>
      <c r="AE336" s="1" t="str">
        <f>"اختتام"</f>
        <v>اختتام</v>
      </c>
      <c r="AF336" s="1" t="str">
        <f>""</f>
        <v/>
      </c>
      <c r="AG336" s="1" t="str">
        <f>""</f>
        <v/>
      </c>
      <c r="AH336" s="1" t="str">
        <f>""</f>
        <v/>
      </c>
      <c r="AI336" s="1" t="str">
        <f>""</f>
        <v/>
      </c>
      <c r="AJ336" s="1" t="str">
        <f>""</f>
        <v/>
      </c>
      <c r="AK336" s="1" t="str">
        <f>""</f>
        <v/>
      </c>
    </row>
    <row r="337" spans="1:37">
      <c r="A337" s="1">
        <v>100632</v>
      </c>
      <c r="B337" s="1">
        <v>962000030</v>
      </c>
      <c r="C337" s="1" t="str">
        <f>"تخليه -اصفهان كيلومتر5جاده كارخانه آسفالت ثمين راه صفاهان"</f>
        <v>تخليه -اصفهان كيلومتر5جاده كارخانه آسفالت ثمين راه صفاهان</v>
      </c>
      <c r="D337" s="1">
        <v>9113</v>
      </c>
      <c r="E337" s="1">
        <v>100632</v>
      </c>
      <c r="F337" s="1">
        <v>96</v>
      </c>
      <c r="G337" s="1">
        <v>0</v>
      </c>
      <c r="H337" s="1" t="str">
        <f>"96/07/03"</f>
        <v>96/07/03</v>
      </c>
      <c r="I337" s="1" t="str">
        <f>"كيلوگرم"</f>
        <v>كيلوگرم</v>
      </c>
      <c r="J337" s="1" t="str">
        <f>"0000000076"</f>
        <v>0000000076</v>
      </c>
      <c r="K337" s="1" t="str">
        <f>"قير 60/70 - فله"</f>
        <v>قير 60/70 - فله</v>
      </c>
      <c r="L337" s="1">
        <v>100</v>
      </c>
      <c r="M337" s="1" t="str">
        <f>"مخازن قير اصفهان"</f>
        <v>مخازن قير اصفهان</v>
      </c>
      <c r="N337" s="1">
        <v>10042</v>
      </c>
      <c r="O337" s="1">
        <v>50036174</v>
      </c>
      <c r="P337" s="1" t="str">
        <f>"  شهرداري حسن آباد"</f>
        <v xml:space="preserve">  شهرداري حسن آباد</v>
      </c>
      <c r="Q337" s="1">
        <v>20</v>
      </c>
      <c r="R337" s="1" t="str">
        <f>"فروش داخلي - سازمان شهرداري ها و دهياري هاي كشور"</f>
        <v>فروش داخلي - سازمان شهرداري ها و دهياري هاي كشور</v>
      </c>
      <c r="S337" s="1" t="str">
        <f>"قرارداد فروش"</f>
        <v>قرارداد فروش</v>
      </c>
      <c r="T337" s="1" t="str">
        <f>"ندارد"</f>
        <v>ندارد</v>
      </c>
      <c r="U337" s="1" t="str">
        <f>"تعاوني جم گستر (1001 ج 89)"</f>
        <v>تعاوني جم گستر (1001 ج 89)</v>
      </c>
      <c r="V337" s="1">
        <v>962000030</v>
      </c>
      <c r="W337" s="1">
        <v>962000030</v>
      </c>
      <c r="X337" s="1" t="str">
        <f>"1396514467"</f>
        <v>1396514467</v>
      </c>
      <c r="Y337" s="1" t="str">
        <f>"96/07/03"</f>
        <v>96/07/03</v>
      </c>
      <c r="Z337" s="1" t="str">
        <f>"26839مرحله اول"</f>
        <v>26839مرحله اول</v>
      </c>
      <c r="AA337" s="1" t="str">
        <f>"شهرداريها"</f>
        <v>شهرداريها</v>
      </c>
      <c r="AB337" s="1" t="str">
        <f>"96/06/29"</f>
        <v>96/06/29</v>
      </c>
      <c r="AC337" s="1" t="str">
        <f>"استان اصفهان"</f>
        <v>استان اصفهان</v>
      </c>
      <c r="AD337" s="1" t="str">
        <f>"96/07/03"</f>
        <v>96/07/03</v>
      </c>
      <c r="AE337" s="1" t="str">
        <f>"اختتام"</f>
        <v>اختتام</v>
      </c>
      <c r="AF337" s="1" t="str">
        <f>""</f>
        <v/>
      </c>
      <c r="AG337" s="1" t="str">
        <f>""</f>
        <v/>
      </c>
      <c r="AH337" s="1" t="str">
        <f>""</f>
        <v/>
      </c>
      <c r="AI337" s="1" t="str">
        <f>""</f>
        <v/>
      </c>
      <c r="AJ337" s="1" t="str">
        <f>""</f>
        <v/>
      </c>
      <c r="AK337" s="1" t="str">
        <f>""</f>
        <v/>
      </c>
    </row>
    <row r="338" spans="1:37">
      <c r="A338" s="1">
        <v>97267</v>
      </c>
      <c r="B338" s="1">
        <v>962000093</v>
      </c>
      <c r="C338" s="1" t="str">
        <f>"تخليه -اصفهان -جرقويه سفلي -سه راهي محمدآباد-كارخانه آسفالت جرقويه"</f>
        <v>تخليه -اصفهان -جرقويه سفلي -سه راهي محمدآباد-كارخانه آسفالت جرقويه</v>
      </c>
      <c r="D338" s="1">
        <v>9113</v>
      </c>
      <c r="E338" s="1">
        <v>97267</v>
      </c>
      <c r="F338" s="1">
        <v>96</v>
      </c>
      <c r="G338" s="1">
        <v>0</v>
      </c>
      <c r="H338" s="1" t="str">
        <f>"96/07/03"</f>
        <v>96/07/03</v>
      </c>
      <c r="I338" s="1" t="str">
        <f>"كيلوگرم"</f>
        <v>كيلوگرم</v>
      </c>
      <c r="J338" s="1" t="str">
        <f>"0000000076"</f>
        <v>0000000076</v>
      </c>
      <c r="K338" s="1" t="str">
        <f>"قير 60/70 - فله"</f>
        <v>قير 60/70 - فله</v>
      </c>
      <c r="L338" s="1">
        <v>100</v>
      </c>
      <c r="M338" s="1" t="str">
        <f>"مخازن قير اصفهان"</f>
        <v>مخازن قير اصفهان</v>
      </c>
      <c r="N338" s="1">
        <v>10046</v>
      </c>
      <c r="O338" s="1">
        <v>50036247</v>
      </c>
      <c r="P338" s="1" t="str">
        <f>"  شهرداري نيك آباد"</f>
        <v xml:space="preserve">  شهرداري نيك آباد</v>
      </c>
      <c r="Q338" s="1">
        <v>20</v>
      </c>
      <c r="R338" s="1" t="str">
        <f>"فروش داخلي - سازمان شهرداري ها و دهياري هاي كشور"</f>
        <v>فروش داخلي - سازمان شهرداري ها و دهياري هاي كشور</v>
      </c>
      <c r="S338" s="1" t="str">
        <f>"قرارداد فروش"</f>
        <v>قرارداد فروش</v>
      </c>
      <c r="T338" s="1" t="str">
        <f>"ندارد"</f>
        <v>ندارد</v>
      </c>
      <c r="U338" s="1" t="str">
        <f>"تعاوني جم گستر (1001 ج 89)"</f>
        <v>تعاوني جم گستر (1001 ج 89)</v>
      </c>
      <c r="V338" s="1">
        <v>962000093</v>
      </c>
      <c r="W338" s="1">
        <v>962000093</v>
      </c>
      <c r="X338" s="1" t="str">
        <f>"1396514467"</f>
        <v>1396514467</v>
      </c>
      <c r="Y338" s="1" t="str">
        <f>"96/07/03"</f>
        <v>96/07/03</v>
      </c>
      <c r="Z338" s="1" t="str">
        <f>"26644مرحله اول"</f>
        <v>26644مرحله اول</v>
      </c>
      <c r="AA338" s="1" t="str">
        <f>"شهرداريها"</f>
        <v>شهرداريها</v>
      </c>
      <c r="AB338" s="1" t="str">
        <f>"96/06/29"</f>
        <v>96/06/29</v>
      </c>
      <c r="AC338" s="1" t="str">
        <f>"استان اصفهان"</f>
        <v>استان اصفهان</v>
      </c>
      <c r="AD338" s="1" t="str">
        <f>"96/07/03"</f>
        <v>96/07/03</v>
      </c>
      <c r="AE338" s="1" t="str">
        <f>"اختتام"</f>
        <v>اختتام</v>
      </c>
      <c r="AF338" s="1" t="str">
        <f>""</f>
        <v/>
      </c>
      <c r="AG338" s="1" t="str">
        <f>""</f>
        <v/>
      </c>
      <c r="AH338" s="1" t="str">
        <f>""</f>
        <v/>
      </c>
      <c r="AI338" s="1" t="str">
        <f>""</f>
        <v/>
      </c>
      <c r="AJ338" s="1" t="str">
        <f>""</f>
        <v/>
      </c>
      <c r="AK338" s="1" t="str">
        <f>""</f>
        <v/>
      </c>
    </row>
    <row r="339" spans="1:37">
      <c r="A339" s="1">
        <v>104950</v>
      </c>
      <c r="B339" s="1">
        <v>962000065</v>
      </c>
      <c r="C339" s="1" t="str">
        <f>"تخليه -اصفهان گردنه زينل كارخانه كاشمر"</f>
        <v>تخليه -اصفهان گردنه زينل كارخانه كاشمر</v>
      </c>
      <c r="D339" s="1">
        <v>9113</v>
      </c>
      <c r="E339" s="1">
        <v>104950</v>
      </c>
      <c r="F339" s="1">
        <v>96</v>
      </c>
      <c r="G339" s="1">
        <v>0</v>
      </c>
      <c r="H339" s="1" t="str">
        <f>"96/07/03"</f>
        <v>96/07/03</v>
      </c>
      <c r="I339" s="1" t="str">
        <f>"كيلوگرم"</f>
        <v>كيلوگرم</v>
      </c>
      <c r="J339" s="1" t="str">
        <f>"0000000076"</f>
        <v>0000000076</v>
      </c>
      <c r="K339" s="1" t="str">
        <f>"قير 60/70 - فله"</f>
        <v>قير 60/70 - فله</v>
      </c>
      <c r="L339" s="1">
        <v>100</v>
      </c>
      <c r="M339" s="1" t="str">
        <f>"مخازن قير اصفهان"</f>
        <v>مخازن قير اصفهان</v>
      </c>
      <c r="N339" s="1">
        <v>10060</v>
      </c>
      <c r="O339" s="1">
        <v>50036213</v>
      </c>
      <c r="P339" s="1" t="str">
        <f>"  شهرداري قهجاورستان"</f>
        <v xml:space="preserve">  شهرداري قهجاورستان</v>
      </c>
      <c r="Q339" s="1">
        <v>20</v>
      </c>
      <c r="R339" s="1" t="str">
        <f>"فروش داخلي - سازمان شهرداري ها و دهياري هاي كشور"</f>
        <v>فروش داخلي - سازمان شهرداري ها و دهياري هاي كشور</v>
      </c>
      <c r="S339" s="1" t="str">
        <f>"قرارداد فروش"</f>
        <v>قرارداد فروش</v>
      </c>
      <c r="T339" s="1" t="str">
        <f>"ندارد"</f>
        <v>ندارد</v>
      </c>
      <c r="U339" s="1" t="str">
        <f>"تعاوني جم گستر (1001 ج 89)"</f>
        <v>تعاوني جم گستر (1001 ج 89)</v>
      </c>
      <c r="V339" s="1">
        <v>962000065</v>
      </c>
      <c r="W339" s="1">
        <v>962000065</v>
      </c>
      <c r="X339" s="1" t="str">
        <f>"1396514467"</f>
        <v>1396514467</v>
      </c>
      <c r="Y339" s="1" t="str">
        <f>"96/07/03"</f>
        <v>96/07/03</v>
      </c>
      <c r="Z339" s="1" t="str">
        <f>"26689مرحله اول"</f>
        <v>26689مرحله اول</v>
      </c>
      <c r="AA339" s="1" t="str">
        <f>"شهرداريها"</f>
        <v>شهرداريها</v>
      </c>
      <c r="AB339" s="1" t="str">
        <f>"96/06/29"</f>
        <v>96/06/29</v>
      </c>
      <c r="AC339" s="1" t="str">
        <f>"استان اصفهان"</f>
        <v>استان اصفهان</v>
      </c>
      <c r="AD339" s="1" t="str">
        <f>"96/07/03"</f>
        <v>96/07/03</v>
      </c>
      <c r="AE339" s="1" t="str">
        <f>"اختتام"</f>
        <v>اختتام</v>
      </c>
      <c r="AF339" s="1" t="str">
        <f>""</f>
        <v/>
      </c>
      <c r="AG339" s="1" t="str">
        <f>""</f>
        <v/>
      </c>
      <c r="AH339" s="1" t="str">
        <f>""</f>
        <v/>
      </c>
      <c r="AI339" s="1" t="str">
        <f>""</f>
        <v/>
      </c>
      <c r="AJ339" s="1" t="str">
        <f>""</f>
        <v/>
      </c>
      <c r="AK339" s="1" t="str">
        <f>""</f>
        <v/>
      </c>
    </row>
    <row r="340" spans="1:37">
      <c r="A340" s="1">
        <v>142000</v>
      </c>
      <c r="B340" s="1">
        <v>966300025</v>
      </c>
      <c r="C340" s="1" t="str">
        <f>"تخليه اصفهان كاشان كارخانه آسفالت سازمان عمران شهرداري كاشان"</f>
        <v>تخليه اصفهان كاشان كارخانه آسفالت سازمان عمران شهرداري كاشان</v>
      </c>
      <c r="D340" s="1">
        <v>12820</v>
      </c>
      <c r="E340" s="1">
        <v>140600</v>
      </c>
      <c r="F340" s="1">
        <v>96</v>
      </c>
      <c r="G340" s="1">
        <v>1400</v>
      </c>
      <c r="H340" s="1" t="str">
        <f>"96/09/08"</f>
        <v>96/09/08</v>
      </c>
      <c r="I340" s="1" t="str">
        <f>"كيلوگرم"</f>
        <v>كيلوگرم</v>
      </c>
      <c r="J340" s="1" t="str">
        <f>"0000000076"</f>
        <v>0000000076</v>
      </c>
      <c r="K340" s="1" t="str">
        <f>"قير 60/70 - فله"</f>
        <v>قير 60/70 - فله</v>
      </c>
      <c r="L340" s="1">
        <v>100</v>
      </c>
      <c r="M340" s="1" t="str">
        <f>"مخازن قير اصفهان"</f>
        <v>مخازن قير اصفهان</v>
      </c>
      <c r="N340" s="1">
        <v>11098</v>
      </c>
      <c r="O340" s="1">
        <v>50037343</v>
      </c>
      <c r="P340" s="1" t="str">
        <f>"  اداره كل نوسازي توسعه وتجهيزمدارس استان اصفهان"</f>
        <v xml:space="preserve">  اداره كل نوسازي توسعه وتجهيزمدارس استان اصفهان</v>
      </c>
      <c r="Q340" s="1">
        <v>63</v>
      </c>
      <c r="R340" s="1" t="str">
        <f>"سازمان نوسازي،توسعه و تجهيز مدارس كشور"</f>
        <v>سازمان نوسازي،توسعه و تجهيز مدارس كشور</v>
      </c>
      <c r="S340" s="1" t="str">
        <f>"قرارداد فروش"</f>
        <v>قرارداد فروش</v>
      </c>
      <c r="T340" s="1" t="str">
        <f>"ندارد"</f>
        <v>ندارد</v>
      </c>
      <c r="U340" s="1" t="str">
        <f>"سيفي پور گودرز(1019ج89)"</f>
        <v>سيفي پور گودرز(1019ج89)</v>
      </c>
      <c r="V340" s="1">
        <v>966300025</v>
      </c>
      <c r="W340" s="1">
        <v>966300025</v>
      </c>
      <c r="X340" s="1" t="str">
        <f>"1396529165"</f>
        <v>1396529165</v>
      </c>
      <c r="Y340" s="1" t="str">
        <f>"96/09/08"</f>
        <v>96/09/08</v>
      </c>
      <c r="Z340" s="1" t="str">
        <f>"3-96/422-21896"</f>
        <v>3-96/422-21896</v>
      </c>
      <c r="AA340" s="1" t="str">
        <f>"سازمان نوسازي توسعه وتجهيزمدارس كشور"</f>
        <v>سازمان نوسازي توسعه وتجهيزمدارس كشور</v>
      </c>
      <c r="AB340" s="1" t="str">
        <f>"96/08/20"</f>
        <v>96/08/20</v>
      </c>
      <c r="AC340" s="1" t="str">
        <f>"استان اصفهان"</f>
        <v>استان اصفهان</v>
      </c>
      <c r="AD340" s="1" t="str">
        <f>"96/09/08"</f>
        <v>96/09/08</v>
      </c>
      <c r="AE340" s="1" t="str">
        <f>"اختتام"</f>
        <v>اختتام</v>
      </c>
      <c r="AF340" s="1" t="str">
        <f>""</f>
        <v/>
      </c>
      <c r="AG340" s="1" t="str">
        <f>""</f>
        <v/>
      </c>
      <c r="AH340" s="1" t="str">
        <f>""</f>
        <v/>
      </c>
      <c r="AI340" s="1" t="str">
        <f>""</f>
        <v/>
      </c>
      <c r="AJ340" s="1" t="str">
        <f>""</f>
        <v/>
      </c>
      <c r="AK340" s="1" t="str">
        <f>""</f>
        <v/>
      </c>
    </row>
    <row r="341" spans="1:37">
      <c r="A341" s="1">
        <v>83000</v>
      </c>
      <c r="B341" s="1">
        <v>966300060</v>
      </c>
      <c r="C341" s="1" t="str">
        <f>"تخليه اصفهان اشترجان شهرك صنعتي اشترجان شركت افروزشهركردكارخانه آسفالت راه آژند"</f>
        <v>تخليه اصفهان اشترجان شهرك صنعتي اشترجان شركت افروزشهركردكارخانه آسفالت راه آژند</v>
      </c>
      <c r="D341" s="1">
        <v>13200</v>
      </c>
      <c r="E341" s="1">
        <v>82440</v>
      </c>
      <c r="F341" s="1">
        <v>96</v>
      </c>
      <c r="G341" s="1">
        <v>560</v>
      </c>
      <c r="H341" s="1" t="str">
        <f>"96/11/11"</f>
        <v>96/11/11</v>
      </c>
      <c r="I341" s="1" t="str">
        <f>"كيلوگرم"</f>
        <v>كيلوگرم</v>
      </c>
      <c r="J341" s="1" t="str">
        <f>"0000000076"</f>
        <v>0000000076</v>
      </c>
      <c r="K341" s="1" t="str">
        <f>"قير 60/70 - فله"</f>
        <v>قير 60/70 - فله</v>
      </c>
      <c r="L341" s="1">
        <v>100</v>
      </c>
      <c r="M341" s="1" t="str">
        <f>"مخازن قير اصفهان"</f>
        <v>مخازن قير اصفهان</v>
      </c>
      <c r="N341" s="1">
        <v>11098</v>
      </c>
      <c r="O341" s="1">
        <v>50038337</v>
      </c>
      <c r="P341" s="1" t="str">
        <f>"  اداره كل نوسازي توسعه وتجهيزمدارس استان اصفهان"</f>
        <v xml:space="preserve">  اداره كل نوسازي توسعه وتجهيزمدارس استان اصفهان</v>
      </c>
      <c r="Q341" s="1">
        <v>63</v>
      </c>
      <c r="R341" s="1" t="str">
        <f>"سازمان نوسازي،توسعه و تجهيز مدارس كشور"</f>
        <v>سازمان نوسازي،توسعه و تجهيز مدارس كشور</v>
      </c>
      <c r="S341" s="1" t="str">
        <f>"قرارداد فروش"</f>
        <v>قرارداد فروش</v>
      </c>
      <c r="T341" s="1" t="str">
        <f>"ندارد"</f>
        <v>ندارد</v>
      </c>
      <c r="U341" s="1" t="str">
        <f>"سيفي پور عبدالمجيد(1009ج89)"</f>
        <v>سيفي پور عبدالمجيد(1009ج89)</v>
      </c>
      <c r="V341" s="1">
        <v>966300060</v>
      </c>
      <c r="W341" s="1">
        <v>966300060</v>
      </c>
      <c r="X341" s="1" t="str">
        <f>"1396544895"</f>
        <v>1396544895</v>
      </c>
      <c r="Y341" s="1" t="str">
        <f>"96/11/11"</f>
        <v>96/11/11</v>
      </c>
      <c r="Z341" s="1" t="str">
        <f>"3-96/424-30053"</f>
        <v>3-96/424-30053</v>
      </c>
      <c r="AA341" s="1" t="str">
        <f>"سازمان نوسازي توسعه وتجهيزمدارس كشور"</f>
        <v>سازمان نوسازي توسعه وتجهيزمدارس كشور</v>
      </c>
      <c r="AB341" s="1" t="str">
        <f>"96/11/09"</f>
        <v>96/11/09</v>
      </c>
      <c r="AC341" s="1" t="str">
        <f>"استان اصفهان"</f>
        <v>استان اصفهان</v>
      </c>
      <c r="AD341" s="1" t="str">
        <f>"96/11/11"</f>
        <v>96/11/11</v>
      </c>
      <c r="AE341" s="1" t="str">
        <f>"اختتام"</f>
        <v>اختتام</v>
      </c>
      <c r="AF341" s="1" t="str">
        <f>""</f>
        <v/>
      </c>
      <c r="AG341" s="1" t="str">
        <f>""</f>
        <v/>
      </c>
      <c r="AH341" s="1" t="str">
        <f>""</f>
        <v/>
      </c>
      <c r="AI341" s="1" t="str">
        <f>""</f>
        <v/>
      </c>
      <c r="AJ341" s="1" t="str">
        <f>""</f>
        <v/>
      </c>
      <c r="AK341" s="1" t="str">
        <f>""</f>
        <v/>
      </c>
    </row>
    <row r="342" spans="1:37">
      <c r="A342" s="1">
        <v>90000</v>
      </c>
      <c r="B342" s="1">
        <v>966300061</v>
      </c>
      <c r="C342" s="1" t="str">
        <f>"تخليه اصفهان اشترجان  شهرك صنعتي اشترجان كارخانه آسفالت راه آژندشركت زرين بناي زاگرس"</f>
        <v>تخليه اصفهان اشترجان  شهرك صنعتي اشترجان كارخانه آسفالت راه آژندشركت زرين بناي زاگرس</v>
      </c>
      <c r="D342" s="1">
        <v>13200</v>
      </c>
      <c r="E342" s="1">
        <v>89380</v>
      </c>
      <c r="F342" s="1">
        <v>96</v>
      </c>
      <c r="G342" s="1">
        <v>620</v>
      </c>
      <c r="H342" s="1" t="str">
        <f>"96/11/23"</f>
        <v>96/11/23</v>
      </c>
      <c r="I342" s="1" t="str">
        <f>"كيلوگرم"</f>
        <v>كيلوگرم</v>
      </c>
      <c r="J342" s="1" t="str">
        <f>"0000000076"</f>
        <v>0000000076</v>
      </c>
      <c r="K342" s="1" t="str">
        <f>"قير 60/70 - فله"</f>
        <v>قير 60/70 - فله</v>
      </c>
      <c r="L342" s="1">
        <v>100</v>
      </c>
      <c r="M342" s="1" t="str">
        <f>"مخازن قير اصفهان"</f>
        <v>مخازن قير اصفهان</v>
      </c>
      <c r="N342" s="1">
        <v>11098</v>
      </c>
      <c r="O342" s="1">
        <v>50038487</v>
      </c>
      <c r="P342" s="1" t="str">
        <f>"  اداره كل نوسازي توسعه وتجهيزمدارس استان اصفهان"</f>
        <v xml:space="preserve">  اداره كل نوسازي توسعه وتجهيزمدارس استان اصفهان</v>
      </c>
      <c r="Q342" s="1">
        <v>63</v>
      </c>
      <c r="R342" s="1" t="str">
        <f>"سازمان نوسازي،توسعه و تجهيز مدارس كشور"</f>
        <v>سازمان نوسازي،توسعه و تجهيز مدارس كشور</v>
      </c>
      <c r="S342" s="1" t="str">
        <f>"قرارداد فروش"</f>
        <v>قرارداد فروش</v>
      </c>
      <c r="T342" s="1" t="str">
        <f>"ندارد"</f>
        <v>ندارد</v>
      </c>
      <c r="U342" s="1" t="str">
        <f>"سيفي پور عبدالمجيد(1009ج89)"</f>
        <v>سيفي پور عبدالمجيد(1009ج89)</v>
      </c>
      <c r="V342" s="1">
        <v>966300061</v>
      </c>
      <c r="W342" s="1">
        <v>966300061</v>
      </c>
      <c r="X342" s="1" t="str">
        <f>"1396547333"</f>
        <v>1396547333</v>
      </c>
      <c r="Y342" s="1" t="str">
        <f>"96/11/23"</f>
        <v>96/11/23</v>
      </c>
      <c r="Z342" s="1" t="str">
        <f>"3-96/424-31005"</f>
        <v>3-96/424-31005</v>
      </c>
      <c r="AA342" s="1" t="str">
        <f>"سازمان نوسازي توسعه وتجهيزمدارس كشور"</f>
        <v>سازمان نوسازي توسعه وتجهيزمدارس كشور</v>
      </c>
      <c r="AB342" s="1" t="str">
        <f>"96/11/18"</f>
        <v>96/11/18</v>
      </c>
      <c r="AC342" s="1" t="str">
        <f>"استان اصفهان"</f>
        <v>استان اصفهان</v>
      </c>
      <c r="AD342" s="1" t="str">
        <f>"96/11/23"</f>
        <v>96/11/23</v>
      </c>
      <c r="AE342" s="1" t="str">
        <f>"اختتام"</f>
        <v>اختتام</v>
      </c>
      <c r="AF342" s="1" t="str">
        <f>""</f>
        <v/>
      </c>
      <c r="AG342" s="1" t="str">
        <f>""</f>
        <v/>
      </c>
      <c r="AH342" s="1" t="str">
        <f>""</f>
        <v/>
      </c>
      <c r="AI342" s="1" t="str">
        <f>""</f>
        <v/>
      </c>
      <c r="AJ342" s="1" t="str">
        <f>""</f>
        <v/>
      </c>
      <c r="AK342" s="1" t="str">
        <f>""</f>
        <v/>
      </c>
    </row>
    <row r="343" spans="1:37">
      <c r="A343" s="1">
        <v>28000</v>
      </c>
      <c r="B343" s="1">
        <v>966300062</v>
      </c>
      <c r="C343" s="1" t="str">
        <f>"تخليه اصفهان منطقه صنعتي اشترجان خيابان 11شركت آرشيت عمران پارس كارخانه آسفالت راه آژند"</f>
        <v>تخليه اصفهان منطقه صنعتي اشترجان خيابان 11شركت آرشيت عمران پارس كارخانه آسفالت راه آژند</v>
      </c>
      <c r="D343" s="1">
        <v>13200</v>
      </c>
      <c r="E343" s="1">
        <v>27880</v>
      </c>
      <c r="F343" s="1">
        <v>96</v>
      </c>
      <c r="G343" s="1">
        <v>120</v>
      </c>
      <c r="H343" s="1" t="str">
        <f>"96/11/23"</f>
        <v>96/11/23</v>
      </c>
      <c r="I343" s="1" t="str">
        <f>"كيلوگرم"</f>
        <v>كيلوگرم</v>
      </c>
      <c r="J343" s="1" t="str">
        <f>"0000000076"</f>
        <v>0000000076</v>
      </c>
      <c r="K343" s="1" t="str">
        <f>"قير 60/70 - فله"</f>
        <v>قير 60/70 - فله</v>
      </c>
      <c r="L343" s="1">
        <v>100</v>
      </c>
      <c r="M343" s="1" t="str">
        <f>"مخازن قير اصفهان"</f>
        <v>مخازن قير اصفهان</v>
      </c>
      <c r="N343" s="1">
        <v>11098</v>
      </c>
      <c r="O343" s="1">
        <v>50038488</v>
      </c>
      <c r="P343" s="1" t="str">
        <f>"  اداره كل نوسازي توسعه وتجهيزمدارس استان اصفهان"</f>
        <v xml:space="preserve">  اداره كل نوسازي توسعه وتجهيزمدارس استان اصفهان</v>
      </c>
      <c r="Q343" s="1">
        <v>63</v>
      </c>
      <c r="R343" s="1" t="str">
        <f>"سازمان نوسازي،توسعه و تجهيز مدارس كشور"</f>
        <v>سازمان نوسازي،توسعه و تجهيز مدارس كشور</v>
      </c>
      <c r="S343" s="1" t="str">
        <f>"قرارداد فروش"</f>
        <v>قرارداد فروش</v>
      </c>
      <c r="T343" s="1" t="str">
        <f>"ندارد"</f>
        <v>ندارد</v>
      </c>
      <c r="U343" s="1" t="str">
        <f>"سيفي پور عبدالمجيد(1009ج89)"</f>
        <v>سيفي پور عبدالمجيد(1009ج89)</v>
      </c>
      <c r="V343" s="1">
        <v>966300062</v>
      </c>
      <c r="W343" s="1">
        <v>966300062</v>
      </c>
      <c r="X343" s="1" t="str">
        <f>"1396547333"</f>
        <v>1396547333</v>
      </c>
      <c r="Y343" s="1" t="str">
        <f>"96/11/23"</f>
        <v>96/11/23</v>
      </c>
      <c r="Z343" s="1" t="str">
        <f>"3-96/424-30710"</f>
        <v>3-96/424-30710</v>
      </c>
      <c r="AA343" s="1" t="str">
        <f>"سازمان نوسازي توسعه وتجهيزمدارس كشور"</f>
        <v>سازمان نوسازي توسعه وتجهيزمدارس كشور</v>
      </c>
      <c r="AB343" s="1" t="str">
        <f>"96/11/16"</f>
        <v>96/11/16</v>
      </c>
      <c r="AC343" s="1" t="str">
        <f>"استان اصفهان"</f>
        <v>استان اصفهان</v>
      </c>
      <c r="AD343" s="1" t="str">
        <f>"96/11/23"</f>
        <v>96/11/23</v>
      </c>
      <c r="AE343" s="1" t="str">
        <f>"اختتام"</f>
        <v>اختتام</v>
      </c>
      <c r="AF343" s="1" t="str">
        <f>""</f>
        <v/>
      </c>
      <c r="AG343" s="1" t="str">
        <f>""</f>
        <v/>
      </c>
      <c r="AH343" s="1" t="str">
        <f>""</f>
        <v/>
      </c>
      <c r="AI343" s="1" t="str">
        <f>""</f>
        <v/>
      </c>
      <c r="AJ343" s="1" t="str">
        <f>""</f>
        <v/>
      </c>
      <c r="AK343" s="1" t="str">
        <f>""</f>
        <v/>
      </c>
    </row>
    <row r="344" spans="1:37">
      <c r="A344" s="1">
        <v>25000</v>
      </c>
      <c r="B344" s="1">
        <v>966200746</v>
      </c>
      <c r="C344" s="1" t="str">
        <f>"تخليه خراسان جنوبي بيرجندكيلومتر15جاده بيرجند-خوسف جنب كويرتايرابتداي جاده كات كارخانه آسفالت مسيرياب بيرجند"</f>
        <v>تخليه خراسان جنوبي بيرجندكيلومتر15جاده بيرجند-خوسف جنب كويرتايرابتداي جاده كات كارخانه آسفالت مسيرياب بيرجند</v>
      </c>
      <c r="D344" s="1">
        <v>13350</v>
      </c>
      <c r="E344" s="1">
        <v>24880</v>
      </c>
      <c r="F344" s="1">
        <v>96</v>
      </c>
      <c r="G344" s="1">
        <v>120</v>
      </c>
      <c r="H344" s="1" t="str">
        <f>"96/12/26"</f>
        <v>96/12/26</v>
      </c>
      <c r="I344" s="1" t="str">
        <f>"كيلوگرم"</f>
        <v>كيلوگرم</v>
      </c>
      <c r="J344" s="1" t="str">
        <f>"0000000076"</f>
        <v>0000000076</v>
      </c>
      <c r="K344" s="1" t="str">
        <f>"قير 60/70 - فله"</f>
        <v>قير 60/70 - فله</v>
      </c>
      <c r="L344" s="1">
        <v>100</v>
      </c>
      <c r="M344" s="1" t="str">
        <f>"مخازن قير اصفهان"</f>
        <v>مخازن قير اصفهان</v>
      </c>
      <c r="N344" s="1">
        <v>11109</v>
      </c>
      <c r="O344" s="1">
        <v>50039107</v>
      </c>
      <c r="P344" s="1" t="str">
        <f>"  راهسازي وساختمان مسيرياب بيرجند"</f>
        <v xml:space="preserve">  راهسازي وساختمان مسيرياب بيرجند</v>
      </c>
      <c r="Q344" s="1">
        <v>62</v>
      </c>
      <c r="R344" s="1" t="str">
        <f>"فروش داخلي - سازمان بنيادمسكن انقلاب اسلامي"</f>
        <v>فروش داخلي - سازمان بنيادمسكن انقلاب اسلامي</v>
      </c>
      <c r="S344" s="1" t="str">
        <f>"قرارداد فروش"</f>
        <v>قرارداد فروش</v>
      </c>
      <c r="T344" s="1" t="str">
        <f>"ندارد"</f>
        <v>ندارد</v>
      </c>
      <c r="U344" s="1" t="str">
        <f>"كاردان اسپادان راه مصطفي  (1911100)"</f>
        <v>كاردان اسپادان راه مصطفي  (1911100)</v>
      </c>
      <c r="V344" s="1">
        <v>966200746</v>
      </c>
      <c r="W344" s="1">
        <v>966200746</v>
      </c>
      <c r="X344" s="1" t="str">
        <f>"1396555422"</f>
        <v>1396555422</v>
      </c>
      <c r="Y344" s="1" t="str">
        <f>"96/12/26"</f>
        <v>96/12/26</v>
      </c>
      <c r="Z344" s="1" t="str">
        <f>"59744/د"</f>
        <v>59744/د</v>
      </c>
      <c r="AA344" s="1" t="str">
        <f>"بنيادمسكن انقلاب اسلامي"</f>
        <v>بنيادمسكن انقلاب اسلامي</v>
      </c>
      <c r="AB344" s="1" t="str">
        <f>"96/12/26"</f>
        <v>96/12/26</v>
      </c>
      <c r="AC344" s="1" t="str">
        <f>"خراسان جنوبي"</f>
        <v>خراسان جنوبي</v>
      </c>
      <c r="AD344" s="1" t="str">
        <f>"96/12/26"</f>
        <v>96/12/26</v>
      </c>
      <c r="AE344" s="1" t="str">
        <f>"اختتام"</f>
        <v>اختتام</v>
      </c>
      <c r="AF344" s="1" t="str">
        <f>""</f>
        <v/>
      </c>
      <c r="AG344" s="1" t="str">
        <f>""</f>
        <v/>
      </c>
      <c r="AH344" s="1" t="str">
        <f>""</f>
        <v/>
      </c>
      <c r="AI344" s="1" t="str">
        <f>""</f>
        <v/>
      </c>
      <c r="AJ344" s="1" t="str">
        <f>""</f>
        <v/>
      </c>
      <c r="AK344" s="1" t="str">
        <f>""</f>
        <v/>
      </c>
    </row>
    <row r="345" spans="1:37">
      <c r="A345" s="1">
        <v>29000</v>
      </c>
      <c r="B345" s="1">
        <v>966200685</v>
      </c>
      <c r="C345" s="1" t="str">
        <f>"تخليه -خراسان جنوبي اسفدن -كارخانه توس راديه"</f>
        <v>تخليه -خراسان جنوبي اسفدن -كارخانه توس راديه</v>
      </c>
      <c r="D345" s="1">
        <v>13350</v>
      </c>
      <c r="E345" s="1">
        <v>28680</v>
      </c>
      <c r="F345" s="1">
        <v>96</v>
      </c>
      <c r="G345" s="1">
        <v>320</v>
      </c>
      <c r="H345" s="1" t="str">
        <f>"96/12/20"</f>
        <v>96/12/20</v>
      </c>
      <c r="I345" s="1" t="str">
        <f>"كيلوگرم"</f>
        <v>كيلوگرم</v>
      </c>
      <c r="J345" s="1" t="str">
        <f>"0000000076"</f>
        <v>0000000076</v>
      </c>
      <c r="K345" s="1" t="str">
        <f>"قير 60/70 - فله"</f>
        <v>قير 60/70 - فله</v>
      </c>
      <c r="L345" s="1">
        <v>100</v>
      </c>
      <c r="M345" s="1" t="str">
        <f>"مخازن قير اصفهان"</f>
        <v>مخازن قير اصفهان</v>
      </c>
      <c r="N345" s="1">
        <v>11119</v>
      </c>
      <c r="O345" s="1">
        <v>50038880</v>
      </c>
      <c r="P345" s="1" t="str">
        <f>"  نويدگسترزهان"</f>
        <v xml:space="preserve">  نويدگسترزهان</v>
      </c>
      <c r="Q345" s="1">
        <v>62</v>
      </c>
      <c r="R345" s="1" t="str">
        <f>"فروش داخلي - سازمان بنيادمسكن انقلاب اسلامي"</f>
        <v>فروش داخلي - سازمان بنيادمسكن انقلاب اسلامي</v>
      </c>
      <c r="S345" s="1" t="str">
        <f>"قرارداد فروش"</f>
        <v>قرارداد فروش</v>
      </c>
      <c r="T345" s="1" t="str">
        <f>"ندارد"</f>
        <v>ندارد</v>
      </c>
      <c r="U345" s="1" t="str">
        <f>"آقا علي منوچهر(1016ج89)"</f>
        <v>آقا علي منوچهر(1016ج89)</v>
      </c>
      <c r="V345" s="1">
        <v>966200685</v>
      </c>
      <c r="W345" s="1">
        <v>966200685</v>
      </c>
      <c r="X345" s="1" t="str">
        <f>"1396553921"</f>
        <v>1396553921</v>
      </c>
      <c r="Y345" s="1" t="str">
        <f>"96/12/20"</f>
        <v>96/12/20</v>
      </c>
      <c r="Z345" s="1" t="str">
        <f>"58160/د"</f>
        <v>58160/د</v>
      </c>
      <c r="AA345" s="1" t="str">
        <f>"بنيادمسكن انقلاب اسلامي"</f>
        <v>بنيادمسكن انقلاب اسلامي</v>
      </c>
      <c r="AB345" s="1" t="str">
        <f>"96/12/19"</f>
        <v>96/12/19</v>
      </c>
      <c r="AC345" s="1" t="str">
        <f>"خراسان جنوبي"</f>
        <v>خراسان جنوبي</v>
      </c>
      <c r="AD345" s="1" t="str">
        <f>"96/12/20"</f>
        <v>96/12/20</v>
      </c>
      <c r="AE345" s="1" t="str">
        <f>"اختتام"</f>
        <v>اختتام</v>
      </c>
      <c r="AF345" s="1" t="str">
        <f>""</f>
        <v/>
      </c>
      <c r="AG345" s="1" t="str">
        <f>""</f>
        <v/>
      </c>
      <c r="AH345" s="1" t="str">
        <f>""</f>
        <v/>
      </c>
      <c r="AI345" s="1" t="str">
        <f>""</f>
        <v/>
      </c>
      <c r="AJ345" s="1" t="str">
        <f>""</f>
        <v/>
      </c>
      <c r="AK345" s="1" t="str">
        <f>""</f>
        <v/>
      </c>
    </row>
    <row r="346" spans="1:37">
      <c r="A346" s="1">
        <v>88000</v>
      </c>
      <c r="B346" s="1">
        <v>966200485</v>
      </c>
      <c r="C346" s="1" t="str">
        <f>"تخليه كهگيلويه ياسوج پليس راه اصفهان ياسوج كارخانه آسفالت داريوش جوكار"</f>
        <v>تخليه كهگيلويه ياسوج پليس راه اصفهان ياسوج كارخانه آسفالت داريوش جوكار</v>
      </c>
      <c r="D346" s="1">
        <v>12820</v>
      </c>
      <c r="E346" s="1">
        <v>86300</v>
      </c>
      <c r="F346" s="1">
        <v>96</v>
      </c>
      <c r="G346" s="1">
        <v>1700</v>
      </c>
      <c r="H346" s="1" t="str">
        <f>"96/09/27"</f>
        <v>96/09/27</v>
      </c>
      <c r="I346" s="1" t="str">
        <f>"كيلوگرم"</f>
        <v>كيلوگرم</v>
      </c>
      <c r="J346" s="1" t="str">
        <f>"0000000076"</f>
        <v>0000000076</v>
      </c>
      <c r="K346" s="1" t="str">
        <f>"قير 60/70 - فله"</f>
        <v>قير 60/70 - فله</v>
      </c>
      <c r="L346" s="1">
        <v>100</v>
      </c>
      <c r="M346" s="1" t="str">
        <f>"مخازن قير اصفهان"</f>
        <v>مخازن قير اصفهان</v>
      </c>
      <c r="N346" s="1">
        <v>11135</v>
      </c>
      <c r="O346" s="1">
        <v>50037931</v>
      </c>
      <c r="P346" s="1" t="str">
        <f>"  آسمان خراش آپادانا"</f>
        <v xml:space="preserve">  آسمان خراش آپادانا</v>
      </c>
      <c r="Q346" s="1">
        <v>62</v>
      </c>
      <c r="R346" s="1" t="str">
        <f>"فروش داخلي - سازمان بنيادمسكن انقلاب اسلامي"</f>
        <v>فروش داخلي - سازمان بنيادمسكن انقلاب اسلامي</v>
      </c>
      <c r="S346" s="1" t="str">
        <f>"قرارداد فروش"</f>
        <v>قرارداد فروش</v>
      </c>
      <c r="T346" s="1" t="str">
        <f>"ندارد"</f>
        <v>ندارد</v>
      </c>
      <c r="U346" s="1" t="str">
        <f>"غلام نجفي سيامك‌‌‌‌‌‌(1881082)"</f>
        <v>غلام نجفي سيامك‌‌‌‌‌‌(1881082)</v>
      </c>
      <c r="V346" s="1">
        <v>966200485</v>
      </c>
      <c r="W346" s="1">
        <v>966200485</v>
      </c>
      <c r="X346" s="1" t="str">
        <f>"1396533043"</f>
        <v>1396533043</v>
      </c>
      <c r="Y346" s="1" t="str">
        <f>"96/09/27"</f>
        <v>96/09/27</v>
      </c>
      <c r="Z346" s="1" t="str">
        <f>"42468/د"</f>
        <v>42468/د</v>
      </c>
      <c r="AA346" s="1" t="str">
        <f>"بنيادمسكن انقلاب اسلامي"</f>
        <v>بنيادمسكن انقلاب اسلامي</v>
      </c>
      <c r="AB346" s="1" t="str">
        <f>"96/09/26"</f>
        <v>96/09/26</v>
      </c>
      <c r="AC346" s="1" t="str">
        <f>"كهكيلويه و بوير احمد"</f>
        <v>كهكيلويه و بوير احمد</v>
      </c>
      <c r="AD346" s="1" t="str">
        <f>"96/09/27"</f>
        <v>96/09/27</v>
      </c>
      <c r="AE346" s="1" t="str">
        <f>"اختتام"</f>
        <v>اختتام</v>
      </c>
      <c r="AF346" s="1" t="str">
        <f>""</f>
        <v/>
      </c>
      <c r="AG346" s="1" t="str">
        <f>""</f>
        <v/>
      </c>
      <c r="AH346" s="1" t="str">
        <f>""</f>
        <v/>
      </c>
      <c r="AI346" s="1" t="str">
        <f>""</f>
        <v/>
      </c>
      <c r="AJ346" s="1" t="str">
        <f>""</f>
        <v/>
      </c>
      <c r="AK346" s="1" t="str">
        <f>""</f>
        <v/>
      </c>
    </row>
    <row r="347" spans="1:37">
      <c r="A347" s="1">
        <v>103092</v>
      </c>
      <c r="B347" s="1">
        <v>962000009</v>
      </c>
      <c r="C347" s="1" t="str">
        <f>"تخليه - اصفهان - کارخانه آسفالت شهرداري  فريدونشهر"</f>
        <v>تخليه - اصفهان - کارخانه آسفالت شهرداري  فريدونشهر</v>
      </c>
      <c r="D347" s="1">
        <v>9113</v>
      </c>
      <c r="E347" s="1">
        <v>103092</v>
      </c>
      <c r="F347" s="1">
        <v>96</v>
      </c>
      <c r="G347" s="1">
        <v>0</v>
      </c>
      <c r="H347" s="1" t="str">
        <f>"96/07/03"</f>
        <v>96/07/03</v>
      </c>
      <c r="I347" s="1" t="str">
        <f>"كيلوگرم"</f>
        <v>كيلوگرم</v>
      </c>
      <c r="J347" s="1" t="str">
        <f>"0000000076"</f>
        <v>0000000076</v>
      </c>
      <c r="K347" s="1" t="str">
        <f>"قير 60/70 - فله"</f>
        <v>قير 60/70 - فله</v>
      </c>
      <c r="L347" s="1">
        <v>100</v>
      </c>
      <c r="M347" s="1" t="str">
        <f>"مخازن قير اصفهان"</f>
        <v>مخازن قير اصفهان</v>
      </c>
      <c r="N347" s="1">
        <v>10817</v>
      </c>
      <c r="O347" s="1">
        <v>50036148</v>
      </c>
      <c r="P347" s="1" t="str">
        <f>"  شهرداري افوس"</f>
        <v xml:space="preserve">  شهرداري افوس</v>
      </c>
      <c r="Q347" s="1">
        <v>20</v>
      </c>
      <c r="R347" s="1" t="str">
        <f>"فروش داخلي - سازمان شهرداري ها و دهياري هاي كشور"</f>
        <v>فروش داخلي - سازمان شهرداري ها و دهياري هاي كشور</v>
      </c>
      <c r="S347" s="1" t="str">
        <f>"قرارداد فروش"</f>
        <v>قرارداد فروش</v>
      </c>
      <c r="T347" s="1" t="str">
        <f>"ندارد"</f>
        <v>ندارد</v>
      </c>
      <c r="U347" s="1" t="str">
        <f>"تعاوني جم گستر (1001 ج 89)"</f>
        <v>تعاوني جم گستر (1001 ج 89)</v>
      </c>
      <c r="V347" s="1">
        <v>962000009</v>
      </c>
      <c r="W347" s="1">
        <v>962000009</v>
      </c>
      <c r="X347" s="1" t="str">
        <f>"1396514467"</f>
        <v>1396514467</v>
      </c>
      <c r="Y347" s="1" t="str">
        <f>"96/07/03"</f>
        <v>96/07/03</v>
      </c>
      <c r="Z347" s="1" t="str">
        <f>"26872مرحله اول"</f>
        <v>26872مرحله اول</v>
      </c>
      <c r="AA347" s="1" t="str">
        <f>"شهرداريها"</f>
        <v>شهرداريها</v>
      </c>
      <c r="AB347" s="1" t="str">
        <f>"96/06/29"</f>
        <v>96/06/29</v>
      </c>
      <c r="AC347" s="1" t="str">
        <f>"استان اصفهان"</f>
        <v>استان اصفهان</v>
      </c>
      <c r="AD347" s="1" t="str">
        <f>"96/07/03"</f>
        <v>96/07/03</v>
      </c>
      <c r="AE347" s="1" t="str">
        <f>"اختتام"</f>
        <v>اختتام</v>
      </c>
      <c r="AF347" s="1" t="str">
        <f>""</f>
        <v/>
      </c>
      <c r="AG347" s="1" t="str">
        <f>""</f>
        <v/>
      </c>
      <c r="AH347" s="1" t="str">
        <f>""</f>
        <v/>
      </c>
      <c r="AI347" s="1" t="str">
        <f>""</f>
        <v/>
      </c>
      <c r="AJ347" s="1" t="str">
        <f>""</f>
        <v/>
      </c>
      <c r="AK347" s="1" t="str">
        <f>""</f>
        <v/>
      </c>
    </row>
    <row r="348" spans="1:37">
      <c r="A348" s="1">
        <v>96815</v>
      </c>
      <c r="B348" s="1">
        <v>962000068</v>
      </c>
      <c r="C348" s="1" t="str">
        <f>"تخليه -اصفهان -مباركه جنب جاده صنايع هفتم تيرروبروي ايران خودرو-كارخانه آسفالت شركت ساتان"</f>
        <v>تخليه -اصفهان -مباركه جنب جاده صنايع هفتم تيرروبروي ايران خودرو-كارخانه آسفالت شركت ساتان</v>
      </c>
      <c r="D348" s="1">
        <v>9113</v>
      </c>
      <c r="E348" s="1">
        <v>96815</v>
      </c>
      <c r="F348" s="1">
        <v>96</v>
      </c>
      <c r="G348" s="1">
        <v>0</v>
      </c>
      <c r="H348" s="1" t="str">
        <f>"96/07/03"</f>
        <v>96/07/03</v>
      </c>
      <c r="I348" s="1" t="str">
        <f>"كيلوگرم"</f>
        <v>كيلوگرم</v>
      </c>
      <c r="J348" s="1" t="str">
        <f>"0000000076"</f>
        <v>0000000076</v>
      </c>
      <c r="K348" s="1" t="str">
        <f>"قير 60/70 - فله"</f>
        <v>قير 60/70 - فله</v>
      </c>
      <c r="L348" s="1">
        <v>100</v>
      </c>
      <c r="M348" s="1" t="str">
        <f>"مخازن قير اصفهان"</f>
        <v>مخازن قير اصفهان</v>
      </c>
      <c r="N348" s="1">
        <v>10847</v>
      </c>
      <c r="O348" s="1">
        <v>50036217</v>
      </c>
      <c r="P348" s="1" t="str">
        <f>"  شهرداري كركوند"</f>
        <v xml:space="preserve">  شهرداري كركوند</v>
      </c>
      <c r="Q348" s="1">
        <v>20</v>
      </c>
      <c r="R348" s="1" t="str">
        <f>"فروش داخلي - سازمان شهرداري ها و دهياري هاي كشور"</f>
        <v>فروش داخلي - سازمان شهرداري ها و دهياري هاي كشور</v>
      </c>
      <c r="S348" s="1" t="str">
        <f>"قرارداد فروش"</f>
        <v>قرارداد فروش</v>
      </c>
      <c r="T348" s="1" t="str">
        <f>"ندارد"</f>
        <v>ندارد</v>
      </c>
      <c r="U348" s="1" t="str">
        <f>"تعاوني جم گستر (1001 ج 89)"</f>
        <v>تعاوني جم گستر (1001 ج 89)</v>
      </c>
      <c r="V348" s="1">
        <v>962000068</v>
      </c>
      <c r="W348" s="1">
        <v>962000068</v>
      </c>
      <c r="X348" s="1" t="str">
        <f>"1396514467"</f>
        <v>1396514467</v>
      </c>
      <c r="Y348" s="1" t="str">
        <f>"96/07/03"</f>
        <v>96/07/03</v>
      </c>
      <c r="Z348" s="1" t="str">
        <f>"26683مرحله اول"</f>
        <v>26683مرحله اول</v>
      </c>
      <c r="AA348" s="1" t="str">
        <f>"شهرداريها"</f>
        <v>شهرداريها</v>
      </c>
      <c r="AB348" s="1" t="str">
        <f>"96/06/29"</f>
        <v>96/06/29</v>
      </c>
      <c r="AC348" s="1" t="str">
        <f>"استان اصفهان"</f>
        <v>استان اصفهان</v>
      </c>
      <c r="AD348" s="1" t="str">
        <f>"96/07/03"</f>
        <v>96/07/03</v>
      </c>
      <c r="AE348" s="1" t="str">
        <f>"اختتام"</f>
        <v>اختتام</v>
      </c>
      <c r="AF348" s="1" t="str">
        <f>""</f>
        <v/>
      </c>
      <c r="AG348" s="1" t="str">
        <f>""</f>
        <v/>
      </c>
      <c r="AH348" s="1" t="str">
        <f>""</f>
        <v/>
      </c>
      <c r="AI348" s="1" t="str">
        <f>""</f>
        <v/>
      </c>
      <c r="AJ348" s="1" t="str">
        <f>""</f>
        <v/>
      </c>
      <c r="AK348" s="1" t="str">
        <f>""</f>
        <v/>
      </c>
    </row>
    <row r="349" spans="1:37">
      <c r="A349" s="1">
        <v>50000</v>
      </c>
      <c r="B349" s="1">
        <v>961100016</v>
      </c>
      <c r="C349" s="1" t="str">
        <f>"تخليه --منطقه ويژه اقتصادي  سلفچگان قم -فاز1 - قطعه 30E- شرکت توسعه ساختار محيط"</f>
        <v>تخليه --منطقه ويژه اقتصادي  سلفچگان قم -فاز1 - قطعه 30E- شرکت توسعه ساختار محيط</v>
      </c>
      <c r="D349" s="1">
        <v>8918</v>
      </c>
      <c r="E349" s="1">
        <v>47340</v>
      </c>
      <c r="F349" s="1">
        <v>96</v>
      </c>
      <c r="G349" s="1">
        <v>2660</v>
      </c>
      <c r="H349" s="1" t="str">
        <f>"96/02/18"</f>
        <v>96/02/18</v>
      </c>
      <c r="I349" s="1" t="str">
        <f>"كيلوگرم"</f>
        <v>كيلوگرم</v>
      </c>
      <c r="J349" s="1" t="str">
        <f>"0000000076"</f>
        <v>0000000076</v>
      </c>
      <c r="K349" s="1" t="str">
        <f>"قير 60/70 - فله"</f>
        <v>قير 60/70 - فله</v>
      </c>
      <c r="L349" s="1">
        <v>100</v>
      </c>
      <c r="M349" s="1" t="str">
        <f>"مخازن قير اصفهان"</f>
        <v>مخازن قير اصفهان</v>
      </c>
      <c r="N349" s="1">
        <v>8795</v>
      </c>
      <c r="O349" s="1">
        <v>50034796</v>
      </c>
      <c r="P349" s="1" t="str">
        <f>"  توسعه ساختارمحيط"</f>
        <v xml:space="preserve">  توسعه ساختارمحيط</v>
      </c>
      <c r="Q349" s="1">
        <v>11</v>
      </c>
      <c r="R349" s="1" t="str">
        <f>"فروش داخلي تهران - بورس"</f>
        <v>فروش داخلي تهران - بورس</v>
      </c>
      <c r="S349" s="1" t="str">
        <f>"قرارداد فروش"</f>
        <v>قرارداد فروش</v>
      </c>
      <c r="T349" s="1" t="str">
        <f>"ندارد"</f>
        <v>ندارد</v>
      </c>
      <c r="U349" s="1" t="str">
        <f>"عابدي محمود(1018ج89)"</f>
        <v>عابدي محمود(1018ج89)</v>
      </c>
      <c r="V349" s="1">
        <v>961100016</v>
      </c>
      <c r="W349" s="1">
        <v>961100016</v>
      </c>
      <c r="X349" s="1" t="str">
        <f>"1396477738"</f>
        <v>1396477738</v>
      </c>
      <c r="Y349" s="1" t="str">
        <f>"96/02/17"</f>
        <v>96/02/17</v>
      </c>
      <c r="Z349" s="1" t="str">
        <f>"96-35445"</f>
        <v>96-35445</v>
      </c>
      <c r="AA349" s="1" t="str">
        <f>"توليدقيرامولسيون"</f>
        <v>توليدقيرامولسيون</v>
      </c>
      <c r="AB349" s="1" t="str">
        <f>"96/02/17"</f>
        <v>96/02/17</v>
      </c>
      <c r="AC349" s="1" t="str">
        <f>"قم"</f>
        <v>قم</v>
      </c>
      <c r="AD349" s="1" t="str">
        <f>"96/02/10"</f>
        <v>96/02/10</v>
      </c>
      <c r="AE349" s="1" t="str">
        <f>"اختتام"</f>
        <v>اختتام</v>
      </c>
      <c r="AF349" s="1" t="str">
        <f>""</f>
        <v/>
      </c>
      <c r="AG349" s="1" t="str">
        <f>""</f>
        <v/>
      </c>
      <c r="AH349" s="1" t="str">
        <f>""</f>
        <v/>
      </c>
      <c r="AI349" s="1" t="str">
        <f>""</f>
        <v/>
      </c>
      <c r="AJ349" s="1" t="str">
        <f>""</f>
        <v/>
      </c>
      <c r="AK349" s="1" t="str">
        <f>""</f>
        <v/>
      </c>
    </row>
    <row r="350" spans="1:37">
      <c r="A350" s="1">
        <v>101937</v>
      </c>
      <c r="B350" s="1">
        <v>962000082</v>
      </c>
      <c r="C350" s="1" t="str">
        <f>"تخليه اصفهان كيلومتر60جاده آبشار-كارخانه آسفالت جرقويه"</f>
        <v>تخليه اصفهان كيلومتر60جاده آبشار-كارخانه آسفالت جرقويه</v>
      </c>
      <c r="D350" s="1">
        <v>9113</v>
      </c>
      <c r="E350" s="1">
        <v>101937</v>
      </c>
      <c r="F350" s="1">
        <v>96</v>
      </c>
      <c r="G350" s="1">
        <v>0</v>
      </c>
      <c r="H350" s="1" t="str">
        <f>"96/07/03"</f>
        <v>96/07/03</v>
      </c>
      <c r="I350" s="1" t="str">
        <f>"كيلوگرم"</f>
        <v>كيلوگرم</v>
      </c>
      <c r="J350" s="1" t="str">
        <f>"0000000076"</f>
        <v>0000000076</v>
      </c>
      <c r="K350" s="1" t="str">
        <f>"قير 60/70 - فله"</f>
        <v>قير 60/70 - فله</v>
      </c>
      <c r="L350" s="1">
        <v>100</v>
      </c>
      <c r="M350" s="1" t="str">
        <f>"مخازن قير اصفهان"</f>
        <v>مخازن قير اصفهان</v>
      </c>
      <c r="N350" s="1">
        <v>10073</v>
      </c>
      <c r="O350" s="1">
        <v>50036236</v>
      </c>
      <c r="P350" s="1" t="str">
        <f>"  شهرداري محمدآباد"</f>
        <v xml:space="preserve">  شهرداري محمدآباد</v>
      </c>
      <c r="Q350" s="1">
        <v>20</v>
      </c>
      <c r="R350" s="1" t="str">
        <f>"فروش داخلي - سازمان شهرداري ها و دهياري هاي كشور"</f>
        <v>فروش داخلي - سازمان شهرداري ها و دهياري هاي كشور</v>
      </c>
      <c r="S350" s="1" t="str">
        <f>"قرارداد فروش"</f>
        <v>قرارداد فروش</v>
      </c>
      <c r="T350" s="1" t="str">
        <f>"ندارد"</f>
        <v>ندارد</v>
      </c>
      <c r="U350" s="1" t="str">
        <f>"تعاوني جم گستر (1001 ج 89)"</f>
        <v>تعاوني جم گستر (1001 ج 89)</v>
      </c>
      <c r="V350" s="1">
        <v>962000082</v>
      </c>
      <c r="W350" s="1">
        <v>962000082</v>
      </c>
      <c r="X350" s="1" t="str">
        <f>"1396514467"</f>
        <v>1396514467</v>
      </c>
      <c r="Y350" s="1" t="str">
        <f>"96/07/03"</f>
        <v>96/07/03</v>
      </c>
      <c r="Z350" s="1" t="str">
        <f>"26654مرحله اول"</f>
        <v>26654مرحله اول</v>
      </c>
      <c r="AA350" s="1" t="str">
        <f>"شهرداريها"</f>
        <v>شهرداريها</v>
      </c>
      <c r="AB350" s="1" t="str">
        <f>"96/06/29"</f>
        <v>96/06/29</v>
      </c>
      <c r="AC350" s="1" t="str">
        <f>"استان اصفهان"</f>
        <v>استان اصفهان</v>
      </c>
      <c r="AD350" s="1" t="str">
        <f>"96/07/03"</f>
        <v>96/07/03</v>
      </c>
      <c r="AE350" s="1" t="str">
        <f>"اختتام"</f>
        <v>اختتام</v>
      </c>
      <c r="AF350" s="1" t="str">
        <f>""</f>
        <v/>
      </c>
      <c r="AG350" s="1" t="str">
        <f>""</f>
        <v/>
      </c>
      <c r="AH350" s="1" t="str">
        <f>""</f>
        <v/>
      </c>
      <c r="AI350" s="1" t="str">
        <f>""</f>
        <v/>
      </c>
      <c r="AJ350" s="1" t="str">
        <f>""</f>
        <v/>
      </c>
      <c r="AK350" s="1" t="str">
        <f>""</f>
        <v/>
      </c>
    </row>
    <row r="351" spans="1:37">
      <c r="A351" s="1">
        <v>36891</v>
      </c>
      <c r="B351" s="1">
        <v>962000461</v>
      </c>
      <c r="C351" s="1" t="str">
        <f>"تخليه -اصفهان -كاشان -كيلومتر20محوركاشان -قم -درم"</f>
        <v>تخليه -اصفهان -كاشان -كيلومتر20محوركاشان -قم -درم</v>
      </c>
      <c r="D351" s="1">
        <v>12820</v>
      </c>
      <c r="E351" s="1">
        <v>36891</v>
      </c>
      <c r="F351" s="1">
        <v>96</v>
      </c>
      <c r="G351" s="1">
        <v>0</v>
      </c>
      <c r="H351" s="1" t="str">
        <f>"96/09/20"</f>
        <v>96/09/20</v>
      </c>
      <c r="I351" s="1" t="str">
        <f>"كيلوگرم"</f>
        <v>كيلوگرم</v>
      </c>
      <c r="J351" s="1" t="str">
        <f>"0000000076"</f>
        <v>0000000076</v>
      </c>
      <c r="K351" s="1" t="str">
        <f>"قير 60/70 - فله"</f>
        <v>قير 60/70 - فله</v>
      </c>
      <c r="L351" s="1">
        <v>100</v>
      </c>
      <c r="M351" s="1" t="str">
        <f>"مخازن قير اصفهان"</f>
        <v>مخازن قير اصفهان</v>
      </c>
      <c r="N351" s="1">
        <v>10083</v>
      </c>
      <c r="O351" s="1">
        <v>50037783</v>
      </c>
      <c r="P351" s="1" t="str">
        <f>"  شهرداري مشكات"</f>
        <v xml:space="preserve">  شهرداري مشكات</v>
      </c>
      <c r="Q351" s="1">
        <v>20</v>
      </c>
      <c r="R351" s="1" t="str">
        <f>"فروش داخلي - سازمان شهرداري ها و دهياري هاي كشور"</f>
        <v>فروش داخلي - سازمان شهرداري ها و دهياري هاي كشور</v>
      </c>
      <c r="S351" s="1" t="str">
        <f>"قرارداد فروش"</f>
        <v>قرارداد فروش</v>
      </c>
      <c r="T351" s="1" t="str">
        <f>"ندارد"</f>
        <v>ندارد</v>
      </c>
      <c r="U351" s="1" t="str">
        <f>"تعاوني جم گستر (1001 ج 89)"</f>
        <v>تعاوني جم گستر (1001 ج 89)</v>
      </c>
      <c r="V351" s="1">
        <v>962000461</v>
      </c>
      <c r="W351" s="1">
        <v>962000461</v>
      </c>
      <c r="X351" s="1" t="str">
        <f>"1396529711"</f>
        <v>1396529711</v>
      </c>
      <c r="Y351" s="1" t="str">
        <f>"96/09/20"</f>
        <v>96/09/20</v>
      </c>
      <c r="Z351" s="1" t="str">
        <f>"37254مرحله دوم"</f>
        <v>37254مرحله دوم</v>
      </c>
      <c r="AA351" s="1" t="str">
        <f>"شهرداريها"</f>
        <v>شهرداريها</v>
      </c>
      <c r="AB351" s="1" t="str">
        <f>"96/09/05"</f>
        <v>96/09/05</v>
      </c>
      <c r="AC351" s="1" t="str">
        <f>"استان اصفهان"</f>
        <v>استان اصفهان</v>
      </c>
      <c r="AD351" s="1" t="str">
        <f>"96/09/13"</f>
        <v>96/09/13</v>
      </c>
      <c r="AE351" s="1" t="str">
        <f>"اختتام"</f>
        <v>اختتام</v>
      </c>
      <c r="AF351" s="1" t="str">
        <f>""</f>
        <v/>
      </c>
      <c r="AG351" s="1" t="str">
        <f>""</f>
        <v/>
      </c>
      <c r="AH351" s="1" t="str">
        <f>""</f>
        <v/>
      </c>
      <c r="AI351" s="1" t="str">
        <f>""</f>
        <v/>
      </c>
      <c r="AJ351" s="1" t="str">
        <f>""</f>
        <v/>
      </c>
      <c r="AK351" s="1" t="str">
        <f>""</f>
        <v/>
      </c>
    </row>
    <row r="352" spans="1:37">
      <c r="A352" s="1">
        <v>123480</v>
      </c>
      <c r="B352" s="1">
        <v>962000147</v>
      </c>
      <c r="C352" s="1" t="str">
        <f>"تخليه خراسان جنوبي كيلومتر5جاده بيرجندزاهدان بعدازروستاي بجدشركت ارتقاء"</f>
        <v>تخليه خراسان جنوبي كيلومتر5جاده بيرجندزاهدان بعدازروستاي بجدشركت ارتقاء</v>
      </c>
      <c r="D352" s="1">
        <v>9113</v>
      </c>
      <c r="E352" s="1">
        <v>121920</v>
      </c>
      <c r="F352" s="1">
        <v>96</v>
      </c>
      <c r="G352" s="1">
        <v>1560</v>
      </c>
      <c r="H352" s="1" t="str">
        <f>"96/07/03"</f>
        <v>96/07/03</v>
      </c>
      <c r="I352" s="1" t="str">
        <f>"كيلوگرم"</f>
        <v>كيلوگرم</v>
      </c>
      <c r="J352" s="1" t="str">
        <f>"0000000076"</f>
        <v>0000000076</v>
      </c>
      <c r="K352" s="1" t="str">
        <f>"قير 60/70 - فله"</f>
        <v>قير 60/70 - فله</v>
      </c>
      <c r="L352" s="1">
        <v>100</v>
      </c>
      <c r="M352" s="1" t="str">
        <f>"مخازن قير اصفهان"</f>
        <v>مخازن قير اصفهان</v>
      </c>
      <c r="N352" s="1">
        <v>10740</v>
      </c>
      <c r="O352" s="1">
        <v>50036340</v>
      </c>
      <c r="P352" s="1" t="str">
        <f>"  شهرداري قهستان"</f>
        <v xml:space="preserve">  شهرداري قهستان</v>
      </c>
      <c r="Q352" s="1">
        <v>20</v>
      </c>
      <c r="R352" s="1" t="str">
        <f>"فروش داخلي - سازمان شهرداري ها و دهياري هاي كشور"</f>
        <v>فروش داخلي - سازمان شهرداري ها و دهياري هاي كشور</v>
      </c>
      <c r="S352" s="1" t="str">
        <f>"قرارداد فروش"</f>
        <v>قرارداد فروش</v>
      </c>
      <c r="T352" s="1" t="str">
        <f>"ندارد"</f>
        <v>ندارد</v>
      </c>
      <c r="U352" s="1" t="str">
        <f>"تعاوني جم گستر (1001 ج 89)"</f>
        <v>تعاوني جم گستر (1001 ج 89)</v>
      </c>
      <c r="V352" s="1">
        <v>962000147</v>
      </c>
      <c r="W352" s="1">
        <v>962000147</v>
      </c>
      <c r="X352" s="1" t="str">
        <f>"1396514467"</f>
        <v>1396514467</v>
      </c>
      <c r="Y352" s="1" t="str">
        <f>"96/07/03"</f>
        <v>96/07/03</v>
      </c>
      <c r="Z352" s="1" t="str">
        <f>"26712مرحله اول"</f>
        <v>26712مرحله اول</v>
      </c>
      <c r="AA352" s="1" t="str">
        <f>"شهرداريها"</f>
        <v>شهرداريها</v>
      </c>
      <c r="AB352" s="1" t="str">
        <f>"96/06/29"</f>
        <v>96/06/29</v>
      </c>
      <c r="AC352" s="1" t="str">
        <f>"خراسان جنوبي"</f>
        <v>خراسان جنوبي</v>
      </c>
      <c r="AD352" s="1" t="str">
        <f>"96/07/03"</f>
        <v>96/07/03</v>
      </c>
      <c r="AE352" s="1" t="str">
        <f>"اختتام"</f>
        <v>اختتام</v>
      </c>
      <c r="AF352" s="1" t="str">
        <f>""</f>
        <v/>
      </c>
      <c r="AG352" s="1" t="str">
        <f>""</f>
        <v/>
      </c>
      <c r="AH352" s="1" t="str">
        <f>""</f>
        <v/>
      </c>
      <c r="AI352" s="1" t="str">
        <f>""</f>
        <v/>
      </c>
      <c r="AJ352" s="1" t="str">
        <f>""</f>
        <v/>
      </c>
      <c r="AK352" s="1" t="str">
        <f>""</f>
        <v/>
      </c>
    </row>
    <row r="353" spans="1:37">
      <c r="A353" s="1">
        <v>112834</v>
      </c>
      <c r="B353" s="1">
        <v>962000169</v>
      </c>
      <c r="C353" s="1" t="str">
        <f>"تخليه خراسان رضوي سنگ بست جنب كارخانه گچ رحيمي كارخانه آسفالت طوفان"</f>
        <v>تخليه خراسان رضوي سنگ بست جنب كارخانه گچ رحيمي كارخانه آسفالت طوفان</v>
      </c>
      <c r="D353" s="1">
        <v>9113</v>
      </c>
      <c r="E353" s="1">
        <v>112480</v>
      </c>
      <c r="F353" s="1">
        <v>96</v>
      </c>
      <c r="G353" s="1">
        <v>354</v>
      </c>
      <c r="H353" s="1" t="str">
        <f>"96/07/03"</f>
        <v>96/07/03</v>
      </c>
      <c r="I353" s="1" t="str">
        <f>"كيلوگرم"</f>
        <v>كيلوگرم</v>
      </c>
      <c r="J353" s="1" t="str">
        <f>"0000000076"</f>
        <v>0000000076</v>
      </c>
      <c r="K353" s="1" t="str">
        <f>"قير 60/70 - فله"</f>
        <v>قير 60/70 - فله</v>
      </c>
      <c r="L353" s="1">
        <v>100</v>
      </c>
      <c r="M353" s="1" t="str">
        <f>"مخازن قير اصفهان"</f>
        <v>مخازن قير اصفهان</v>
      </c>
      <c r="N353" s="1">
        <v>10745</v>
      </c>
      <c r="O353" s="1">
        <v>50036374</v>
      </c>
      <c r="P353" s="1" t="str">
        <f>"  شهرداري رباط سنگ"</f>
        <v xml:space="preserve">  شهرداري رباط سنگ</v>
      </c>
      <c r="Q353" s="1">
        <v>20</v>
      </c>
      <c r="R353" s="1" t="str">
        <f>"فروش داخلي - سازمان شهرداري ها و دهياري هاي كشور"</f>
        <v>فروش داخلي - سازمان شهرداري ها و دهياري هاي كشور</v>
      </c>
      <c r="S353" s="1" t="str">
        <f>"قرارداد فروش"</f>
        <v>قرارداد فروش</v>
      </c>
      <c r="T353" s="1" t="str">
        <f>"ندارد"</f>
        <v>ندارد</v>
      </c>
      <c r="U353" s="1" t="str">
        <f>"تعاوني جم گستر (1001 ج 89)"</f>
        <v>تعاوني جم گستر (1001 ج 89)</v>
      </c>
      <c r="V353" s="1">
        <v>962000169</v>
      </c>
      <c r="W353" s="1">
        <v>962000169</v>
      </c>
      <c r="X353" s="1" t="str">
        <f>"1396514467"</f>
        <v>1396514467</v>
      </c>
      <c r="Y353" s="1" t="str">
        <f>"96/07/03"</f>
        <v>96/07/03</v>
      </c>
      <c r="Z353" s="1" t="str">
        <f>"26812مرحله اول"</f>
        <v>26812مرحله اول</v>
      </c>
      <c r="AA353" s="1" t="str">
        <f>"شهرداريها"</f>
        <v>شهرداريها</v>
      </c>
      <c r="AB353" s="1" t="str">
        <f>"96/06/29"</f>
        <v>96/06/29</v>
      </c>
      <c r="AC353" s="1" t="str">
        <f>"خراسان رضوي"</f>
        <v>خراسان رضوي</v>
      </c>
      <c r="AD353" s="1" t="str">
        <f>"96/07/03"</f>
        <v>96/07/03</v>
      </c>
      <c r="AE353" s="1" t="str">
        <f>"اختتام"</f>
        <v>اختتام</v>
      </c>
      <c r="AF353" s="1" t="str">
        <f>""</f>
        <v/>
      </c>
      <c r="AG353" s="1" t="str">
        <f>""</f>
        <v/>
      </c>
      <c r="AH353" s="1" t="str">
        <f>""</f>
        <v/>
      </c>
      <c r="AI353" s="1" t="str">
        <f>""</f>
        <v/>
      </c>
      <c r="AJ353" s="1" t="str">
        <f>""</f>
        <v/>
      </c>
      <c r="AK353" s="1" t="str">
        <f>""</f>
        <v/>
      </c>
    </row>
    <row r="354" spans="1:37">
      <c r="A354" s="1">
        <v>50000</v>
      </c>
      <c r="B354" s="1">
        <v>961100113</v>
      </c>
      <c r="C354" s="1" t="str">
        <f>"تخليه اصفهان خوركيلومتر8جاده جعفرآبادكارخانه آسفالت رحيمي"</f>
        <v>تخليه اصفهان خوركيلومتر8جاده جعفرآبادكارخانه آسفالت رحيمي</v>
      </c>
      <c r="D354" s="1">
        <v>12850</v>
      </c>
      <c r="E354" s="1">
        <v>49140</v>
      </c>
      <c r="F354" s="1">
        <v>96</v>
      </c>
      <c r="G354" s="1">
        <v>860</v>
      </c>
      <c r="H354" s="1" t="str">
        <f>"96/10/28"</f>
        <v>96/10/28</v>
      </c>
      <c r="I354" s="1" t="str">
        <f>"كيلوگرم"</f>
        <v>كيلوگرم</v>
      </c>
      <c r="J354" s="1" t="str">
        <f>"0000000076"</f>
        <v>0000000076</v>
      </c>
      <c r="K354" s="1" t="str">
        <f>"قير 60/70 - فله"</f>
        <v>قير 60/70 - فله</v>
      </c>
      <c r="L354" s="1">
        <v>100</v>
      </c>
      <c r="M354" s="1" t="str">
        <f>"مخازن قير اصفهان"</f>
        <v>مخازن قير اصفهان</v>
      </c>
      <c r="N354" s="1">
        <v>10748</v>
      </c>
      <c r="O354" s="1">
        <v>50038239</v>
      </c>
      <c r="P354" s="1" t="str">
        <f>"  شهرداري خور"</f>
        <v xml:space="preserve">  شهرداري خور</v>
      </c>
      <c r="Q354" s="1">
        <v>11</v>
      </c>
      <c r="R354" s="1" t="str">
        <f>"فروش داخلي تهران - بورس"</f>
        <v>فروش داخلي تهران - بورس</v>
      </c>
      <c r="S354" s="1" t="str">
        <f>"قرارداد فروش"</f>
        <v>قرارداد فروش</v>
      </c>
      <c r="T354" s="1" t="str">
        <f>"ندارد"</f>
        <v>ندارد</v>
      </c>
      <c r="U354" s="1" t="str">
        <f>"غلام نجفي سيامك‌‌‌‌‌‌(1881082)"</f>
        <v>غلام نجفي سيامك‌‌‌‌‌‌(1881082)</v>
      </c>
      <c r="V354" s="1">
        <v>961100113</v>
      </c>
      <c r="W354" s="1">
        <v>961100113</v>
      </c>
      <c r="X354" s="1" t="str">
        <f>"1396541324"</f>
        <v>1396541324</v>
      </c>
      <c r="Y354" s="1" t="str">
        <f>"96/10/27"</f>
        <v>96/10/27</v>
      </c>
      <c r="Z354" s="1" t="str">
        <f>"5007"</f>
        <v>5007</v>
      </c>
      <c r="AA354" s="1" t="str">
        <f>"شهرداريها"</f>
        <v>شهرداريها</v>
      </c>
      <c r="AB354" s="1" t="str">
        <f>"96/10/27"</f>
        <v>96/10/27</v>
      </c>
      <c r="AC354" s="1" t="str">
        <f>"استان اصفهان"</f>
        <v>استان اصفهان</v>
      </c>
      <c r="AD354" s="1" t="str">
        <f>"96/10/27"</f>
        <v>96/10/27</v>
      </c>
      <c r="AE354" s="1" t="str">
        <f>"اختتام"</f>
        <v>اختتام</v>
      </c>
      <c r="AF354" s="1" t="str">
        <f>""</f>
        <v/>
      </c>
      <c r="AG354" s="1" t="str">
        <f>""</f>
        <v/>
      </c>
      <c r="AH354" s="1" t="str">
        <f>""</f>
        <v/>
      </c>
      <c r="AI354" s="1" t="str">
        <f>""</f>
        <v/>
      </c>
      <c r="AJ354" s="1" t="str">
        <f>""</f>
        <v/>
      </c>
      <c r="AK354" s="1" t="str">
        <f>""</f>
        <v/>
      </c>
    </row>
    <row r="355" spans="1:37">
      <c r="A355" s="1">
        <v>223000</v>
      </c>
      <c r="B355" s="1">
        <v>966200030</v>
      </c>
      <c r="C355" s="1" t="str">
        <f>"تخليه -لرستان -فيروزآباد-كارخانه آسفالت شركت يكتابتن پرشين"</f>
        <v>تخليه -لرستان -فيروزآباد-كارخانه آسفالت شركت يكتابتن پرشين</v>
      </c>
      <c r="D355" s="1">
        <v>8918</v>
      </c>
      <c r="E355" s="1">
        <v>223000</v>
      </c>
      <c r="F355" s="1">
        <v>96</v>
      </c>
      <c r="G355" s="1">
        <v>0</v>
      </c>
      <c r="H355" s="1" t="str">
        <f>"96/02/04"</f>
        <v>96/02/04</v>
      </c>
      <c r="I355" s="1" t="str">
        <f>"كيلوگرم"</f>
        <v>كيلوگرم</v>
      </c>
      <c r="J355" s="1" t="str">
        <f>"0000000076"</f>
        <v>0000000076</v>
      </c>
      <c r="K355" s="1" t="str">
        <f>"قير 60/70 - فله"</f>
        <v>قير 60/70 - فله</v>
      </c>
      <c r="L355" s="1">
        <v>100</v>
      </c>
      <c r="M355" s="1" t="str">
        <f>"مخازن قير اصفهان"</f>
        <v>مخازن قير اصفهان</v>
      </c>
      <c r="N355" s="1">
        <v>10506</v>
      </c>
      <c r="O355" s="1">
        <v>50034669</v>
      </c>
      <c r="P355" s="1" t="str">
        <f>"  يكتابتن پرشين"</f>
        <v xml:space="preserve">  يكتابتن پرشين</v>
      </c>
      <c r="Q355" s="1">
        <v>62</v>
      </c>
      <c r="R355" s="1" t="str">
        <f>"فروش داخلي - سازمان بنيادمسكن انقلاب اسلامي"</f>
        <v>فروش داخلي - سازمان بنيادمسكن انقلاب اسلامي</v>
      </c>
      <c r="S355" s="1" t="str">
        <f>"قرارداد فروش"</f>
        <v>قرارداد فروش</v>
      </c>
      <c r="T355" s="1" t="str">
        <f>"ندارد"</f>
        <v>ندارد</v>
      </c>
      <c r="U355" s="1" t="str">
        <f>"عظيمي محمد(2842015)"</f>
        <v>عظيمي محمد(2842015)</v>
      </c>
      <c r="V355" s="1">
        <v>966200030</v>
      </c>
      <c r="W355" s="1">
        <v>966200030</v>
      </c>
      <c r="X355" s="1" t="str">
        <f>"1396476390"</f>
        <v>1396476390</v>
      </c>
      <c r="Y355" s="1" t="str">
        <f>"96/02/04"</f>
        <v>96/02/04</v>
      </c>
      <c r="Z355" s="1" t="str">
        <f>"2257/د"</f>
        <v>2257/د</v>
      </c>
      <c r="AA355" s="1" t="str">
        <f>"بنيادمسكن انقلاب اسلامي"</f>
        <v>بنيادمسكن انقلاب اسلامي</v>
      </c>
      <c r="AB355" s="1" t="str">
        <f>"96/01/28"</f>
        <v>96/01/28</v>
      </c>
      <c r="AC355" s="1" t="str">
        <f>"لرستان"</f>
        <v>لرستان</v>
      </c>
      <c r="AD355" s="1" t="str">
        <f>"96/02/04"</f>
        <v>96/02/04</v>
      </c>
      <c r="AE355" s="1" t="str">
        <f>"اختتام"</f>
        <v>اختتام</v>
      </c>
      <c r="AF355" s="1" t="str">
        <f>""</f>
        <v/>
      </c>
      <c r="AG355" s="1" t="str">
        <f>""</f>
        <v/>
      </c>
      <c r="AH355" s="1" t="str">
        <f>""</f>
        <v/>
      </c>
      <c r="AI355" s="1" t="str">
        <f>""</f>
        <v/>
      </c>
      <c r="AJ355" s="1" t="str">
        <f>""</f>
        <v/>
      </c>
      <c r="AK355" s="1" t="str">
        <f>""</f>
        <v/>
      </c>
    </row>
    <row r="356" spans="1:37">
      <c r="A356" s="1">
        <v>283000</v>
      </c>
      <c r="B356" s="1">
        <v>966200376</v>
      </c>
      <c r="C356" s="1" t="str">
        <f>"تخليه -لرستان-اليگودرز-ابتداي جاده سد کزنار"</f>
        <v>تخليه -لرستان-اليگودرز-ابتداي جاده سد کزنار</v>
      </c>
      <c r="D356" s="1">
        <v>9416</v>
      </c>
      <c r="E356" s="1">
        <v>282680</v>
      </c>
      <c r="F356" s="1">
        <v>96</v>
      </c>
      <c r="G356" s="1">
        <v>320</v>
      </c>
      <c r="H356" s="1" t="str">
        <f>"96/08/17"</f>
        <v>96/08/17</v>
      </c>
      <c r="I356" s="1" t="str">
        <f>"كيلوگرم"</f>
        <v>كيلوگرم</v>
      </c>
      <c r="J356" s="1" t="str">
        <f>"0000000076"</f>
        <v>0000000076</v>
      </c>
      <c r="K356" s="1" t="str">
        <f>"قير 60/70 - فله"</f>
        <v>قير 60/70 - فله</v>
      </c>
      <c r="L356" s="1">
        <v>100</v>
      </c>
      <c r="M356" s="1" t="str">
        <f>"مخازن قير اصفهان"</f>
        <v>مخازن قير اصفهان</v>
      </c>
      <c r="N356" s="1">
        <v>10507</v>
      </c>
      <c r="O356" s="1">
        <v>50037123</v>
      </c>
      <c r="P356" s="1" t="str">
        <f>"  زيباسازان پايداراراك"</f>
        <v xml:space="preserve">  زيباسازان پايداراراك</v>
      </c>
      <c r="Q356" s="1">
        <v>62</v>
      </c>
      <c r="R356" s="1" t="str">
        <f>"فروش داخلي - سازمان بنيادمسكن انقلاب اسلامي"</f>
        <v>فروش داخلي - سازمان بنيادمسكن انقلاب اسلامي</v>
      </c>
      <c r="S356" s="1" t="str">
        <f>"قرارداد فروش"</f>
        <v>قرارداد فروش</v>
      </c>
      <c r="T356" s="1" t="str">
        <f>"ندارد"</f>
        <v>ندارد</v>
      </c>
      <c r="U356" s="1" t="str">
        <f>"ريسماني حسن(1007ج89)"</f>
        <v>ريسماني حسن(1007ج89)</v>
      </c>
      <c r="V356" s="1">
        <v>966200376</v>
      </c>
      <c r="W356" s="1">
        <v>966200376</v>
      </c>
      <c r="X356" s="1" t="str">
        <f>"1396524777"</f>
        <v>1396524777</v>
      </c>
      <c r="Y356" s="1" t="str">
        <f>"96/08/17"</f>
        <v>96/08/17</v>
      </c>
      <c r="Z356" s="1" t="str">
        <f>"36782/د"</f>
        <v>36782/د</v>
      </c>
      <c r="AA356" s="1" t="str">
        <f>"بنيادمسكن انقلاب اسلامي"</f>
        <v>بنيادمسكن انقلاب اسلامي</v>
      </c>
      <c r="AB356" s="1" t="str">
        <f>"96/08/16"</f>
        <v>96/08/16</v>
      </c>
      <c r="AC356" s="1" t="str">
        <f>"لرستان"</f>
        <v>لرستان</v>
      </c>
      <c r="AD356" s="1" t="str">
        <f>"96/08/17"</f>
        <v>96/08/17</v>
      </c>
      <c r="AE356" s="1" t="str">
        <f>"اختتام"</f>
        <v>اختتام</v>
      </c>
      <c r="AF356" s="1" t="str">
        <f>""</f>
        <v/>
      </c>
      <c r="AG356" s="1" t="str">
        <f>""</f>
        <v/>
      </c>
      <c r="AH356" s="1" t="str">
        <f>""</f>
        <v/>
      </c>
      <c r="AI356" s="1" t="str">
        <f>""</f>
        <v/>
      </c>
      <c r="AJ356" s="1" t="str">
        <f>""</f>
        <v/>
      </c>
      <c r="AK356" s="1" t="str">
        <f>""</f>
        <v/>
      </c>
    </row>
    <row r="357" spans="1:37">
      <c r="A357" s="1">
        <v>114893</v>
      </c>
      <c r="B357" s="1">
        <v>962000018</v>
      </c>
      <c r="C357" s="1" t="str">
        <f>"تخليه - اصفهان- فريدونشهر کارخانه آسفالت شهرداري"</f>
        <v>تخليه - اصفهان- فريدونشهر کارخانه آسفالت شهرداري</v>
      </c>
      <c r="D357" s="1">
        <v>9113</v>
      </c>
      <c r="E357" s="1">
        <v>114893</v>
      </c>
      <c r="F357" s="1">
        <v>96</v>
      </c>
      <c r="G357" s="1">
        <v>0</v>
      </c>
      <c r="H357" s="1" t="str">
        <f>"96/07/03"</f>
        <v>96/07/03</v>
      </c>
      <c r="I357" s="1" t="str">
        <f>"كيلوگرم"</f>
        <v>كيلوگرم</v>
      </c>
      <c r="J357" s="1" t="str">
        <f>"0000000076"</f>
        <v>0000000076</v>
      </c>
      <c r="K357" s="1" t="str">
        <f>"قير 60/70 - فله"</f>
        <v>قير 60/70 - فله</v>
      </c>
      <c r="L357" s="1">
        <v>100</v>
      </c>
      <c r="M357" s="1" t="str">
        <f>"مخازن قير اصفهان"</f>
        <v>مخازن قير اصفهان</v>
      </c>
      <c r="N357" s="1">
        <v>10866</v>
      </c>
      <c r="O357" s="1">
        <v>50036159</v>
      </c>
      <c r="P357" s="1" t="str">
        <f>"  شهرداري بوئين و مياندشت"</f>
        <v xml:space="preserve">  شهرداري بوئين و مياندشت</v>
      </c>
      <c r="Q357" s="1">
        <v>20</v>
      </c>
      <c r="R357" s="1" t="str">
        <f>"فروش داخلي - سازمان شهرداري ها و دهياري هاي كشور"</f>
        <v>فروش داخلي - سازمان شهرداري ها و دهياري هاي كشور</v>
      </c>
      <c r="S357" s="1" t="str">
        <f>"قرارداد فروش"</f>
        <v>قرارداد فروش</v>
      </c>
      <c r="T357" s="1" t="str">
        <f>"ندارد"</f>
        <v>ندارد</v>
      </c>
      <c r="U357" s="1" t="str">
        <f>"تعاوني جم گستر (1001 ج 89)"</f>
        <v>تعاوني جم گستر (1001 ج 89)</v>
      </c>
      <c r="V357" s="1">
        <v>962000018</v>
      </c>
      <c r="W357" s="1">
        <v>962000018</v>
      </c>
      <c r="X357" s="1" t="str">
        <f>"1396514467"</f>
        <v>1396514467</v>
      </c>
      <c r="Y357" s="1" t="str">
        <f>"96/07/03"</f>
        <v>96/07/03</v>
      </c>
      <c r="Z357" s="1" t="str">
        <f>"26850مرحله اول"</f>
        <v>26850مرحله اول</v>
      </c>
      <c r="AA357" s="1" t="str">
        <f>"شهرداريها"</f>
        <v>شهرداريها</v>
      </c>
      <c r="AB357" s="1" t="str">
        <f>"96/06/29"</f>
        <v>96/06/29</v>
      </c>
      <c r="AC357" s="1" t="str">
        <f>"استان اصفهان"</f>
        <v>استان اصفهان</v>
      </c>
      <c r="AD357" s="1" t="str">
        <f>"96/07/03"</f>
        <v>96/07/03</v>
      </c>
      <c r="AE357" s="1" t="str">
        <f>"اختتام"</f>
        <v>اختتام</v>
      </c>
      <c r="AF357" s="1" t="str">
        <f>""</f>
        <v/>
      </c>
      <c r="AG357" s="1" t="str">
        <f>""</f>
        <v/>
      </c>
      <c r="AH357" s="1" t="str">
        <f>""</f>
        <v/>
      </c>
      <c r="AI357" s="1" t="str">
        <f>""</f>
        <v/>
      </c>
      <c r="AJ357" s="1" t="str">
        <f>""</f>
        <v/>
      </c>
      <c r="AK357" s="1" t="str">
        <f>""</f>
        <v/>
      </c>
    </row>
    <row r="358" spans="1:37">
      <c r="A358" s="1">
        <v>15000</v>
      </c>
      <c r="B358" s="1">
        <v>966200600</v>
      </c>
      <c r="C358" s="1" t="str">
        <f>"تخليه - کهگيلويه و بويراحمد-دهدشت - لنده - روستاي ايدنک - کارخانه آسفالت تقي زاده"</f>
        <v>تخليه - کهگيلويه و بويراحمد-دهدشت - لنده - روستاي ايدنک - کارخانه آسفالت تقي زاده</v>
      </c>
      <c r="D358" s="1">
        <v>13350</v>
      </c>
      <c r="E358" s="1">
        <v>14620</v>
      </c>
      <c r="F358" s="1">
        <v>96</v>
      </c>
      <c r="G358" s="1">
        <v>380</v>
      </c>
      <c r="H358" s="1" t="str">
        <f>"96/12/09"</f>
        <v>96/12/09</v>
      </c>
      <c r="I358" s="1" t="str">
        <f>"كيلوگرم"</f>
        <v>كيلوگرم</v>
      </c>
      <c r="J358" s="1" t="str">
        <f>"0000000076"</f>
        <v>0000000076</v>
      </c>
      <c r="K358" s="1" t="str">
        <f>"قير 60/70 - فله"</f>
        <v>قير 60/70 - فله</v>
      </c>
      <c r="L358" s="1">
        <v>100</v>
      </c>
      <c r="M358" s="1" t="str">
        <f>"مخازن قير اصفهان"</f>
        <v>مخازن قير اصفهان</v>
      </c>
      <c r="N358" s="1">
        <v>11182</v>
      </c>
      <c r="O358" s="1">
        <v>50038659</v>
      </c>
      <c r="P358" s="1" t="str">
        <f>"  سخت سازان سيراف"</f>
        <v xml:space="preserve">  سخت سازان سيراف</v>
      </c>
      <c r="Q358" s="1">
        <v>62</v>
      </c>
      <c r="R358" s="1" t="str">
        <f>"فروش داخلي - سازمان بنيادمسكن انقلاب اسلامي"</f>
        <v>فروش داخلي - سازمان بنيادمسكن انقلاب اسلامي</v>
      </c>
      <c r="S358" s="1" t="str">
        <f>"قرارداد فروش"</f>
        <v>قرارداد فروش</v>
      </c>
      <c r="T358" s="1" t="str">
        <f>"ندارد"</f>
        <v>ندارد</v>
      </c>
      <c r="U358" s="1" t="str">
        <f>"غلام نجفي سيامك‌‌‌‌‌‌(1881082)"</f>
        <v>غلام نجفي سيامك‌‌‌‌‌‌(1881082)</v>
      </c>
      <c r="V358" s="1">
        <v>966200600</v>
      </c>
      <c r="W358" s="1">
        <v>966200600</v>
      </c>
      <c r="X358" s="1" t="str">
        <f>"1396551611"</f>
        <v>1396551611</v>
      </c>
      <c r="Y358" s="1" t="str">
        <f>"96/12/09"</f>
        <v>96/12/09</v>
      </c>
      <c r="Z358" s="1" t="str">
        <f>"55674/د"</f>
        <v>55674/د</v>
      </c>
      <c r="AA358" s="1" t="str">
        <f>"بنيادمسكن انقلاب اسلامي"</f>
        <v>بنيادمسكن انقلاب اسلامي</v>
      </c>
      <c r="AB358" s="1" t="str">
        <f>"96/12/08"</f>
        <v>96/12/08</v>
      </c>
      <c r="AC358" s="1" t="str">
        <f>"كهكيلويه و بوير احمد"</f>
        <v>كهكيلويه و بوير احمد</v>
      </c>
      <c r="AD358" s="1" t="str">
        <f>"96/12/09"</f>
        <v>96/12/09</v>
      </c>
      <c r="AE358" s="1" t="str">
        <f>"اختتام"</f>
        <v>اختتام</v>
      </c>
      <c r="AF358" s="1" t="str">
        <f>""</f>
        <v/>
      </c>
      <c r="AG358" s="1" t="str">
        <f>""</f>
        <v/>
      </c>
      <c r="AH358" s="1" t="str">
        <f>""</f>
        <v/>
      </c>
      <c r="AI358" s="1" t="str">
        <f>""</f>
        <v/>
      </c>
      <c r="AJ358" s="1" t="str">
        <f>""</f>
        <v/>
      </c>
      <c r="AK358" s="1" t="str">
        <f>""</f>
        <v/>
      </c>
    </row>
    <row r="359" spans="1:37">
      <c r="A359" s="1">
        <v>48403</v>
      </c>
      <c r="B359" s="1">
        <v>962000491</v>
      </c>
      <c r="C359" s="1" t="str">
        <f>"تخليه - کهگيلويه و بويراحمد-ياسوج-دارشاهي-کارخانه آسفالت اسلامي"</f>
        <v>تخليه - کهگيلويه و بويراحمد-ياسوج-دارشاهي-کارخانه آسفالت اسلامي</v>
      </c>
      <c r="D359" s="1">
        <v>12820</v>
      </c>
      <c r="E359" s="1">
        <v>48403</v>
      </c>
      <c r="F359" s="1">
        <v>96</v>
      </c>
      <c r="G359" s="1">
        <v>0</v>
      </c>
      <c r="H359" s="1" t="str">
        <f>"96/09/20"</f>
        <v>96/09/20</v>
      </c>
      <c r="I359" s="1" t="str">
        <f>"كيلوگرم"</f>
        <v>كيلوگرم</v>
      </c>
      <c r="J359" s="1" t="str">
        <f>"0000000076"</f>
        <v>0000000076</v>
      </c>
      <c r="K359" s="1" t="str">
        <f>"قير 60/70 - فله"</f>
        <v>قير 60/70 - فله</v>
      </c>
      <c r="L359" s="1">
        <v>100</v>
      </c>
      <c r="M359" s="1" t="str">
        <f>"مخازن قير اصفهان"</f>
        <v>مخازن قير اصفهان</v>
      </c>
      <c r="N359" s="1">
        <v>11191</v>
      </c>
      <c r="O359" s="1">
        <v>50037866</v>
      </c>
      <c r="P359" s="1" t="str">
        <f>"  شهرداري گراب سفلي"</f>
        <v xml:space="preserve">  شهرداري گراب سفلي</v>
      </c>
      <c r="Q359" s="1">
        <v>20</v>
      </c>
      <c r="R359" s="1" t="str">
        <f>"فروش داخلي - سازمان شهرداري ها و دهياري هاي كشور"</f>
        <v>فروش داخلي - سازمان شهرداري ها و دهياري هاي كشور</v>
      </c>
      <c r="S359" s="1" t="str">
        <f>"قرارداد فروش"</f>
        <v>قرارداد فروش</v>
      </c>
      <c r="T359" s="1" t="str">
        <f>"ندارد"</f>
        <v>ندارد</v>
      </c>
      <c r="U359" s="1" t="str">
        <f>"تعاوني جم گستر (1001 ج 89)"</f>
        <v>تعاوني جم گستر (1001 ج 89)</v>
      </c>
      <c r="V359" s="1">
        <v>962000491</v>
      </c>
      <c r="W359" s="1">
        <v>962000491</v>
      </c>
      <c r="X359" s="1" t="str">
        <f>"1396529711"</f>
        <v>1396529711</v>
      </c>
      <c r="Y359" s="1" t="str">
        <f>"96/09/20"</f>
        <v>96/09/20</v>
      </c>
      <c r="Z359" s="1" t="str">
        <f>"38292مرحله دوم"</f>
        <v>38292مرحله دوم</v>
      </c>
      <c r="AA359" s="1" t="str">
        <f>"شهرداريها"</f>
        <v>شهرداريها</v>
      </c>
      <c r="AB359" s="1" t="str">
        <f>"96/09/11"</f>
        <v>96/09/11</v>
      </c>
      <c r="AC359" s="1" t="str">
        <f>"كهكيلويه و بوير احمد"</f>
        <v>كهكيلويه و بوير احمد</v>
      </c>
      <c r="AD359" s="1" t="str">
        <f>"96/09/13"</f>
        <v>96/09/13</v>
      </c>
      <c r="AE359" s="1" t="str">
        <f>"اختتام"</f>
        <v>اختتام</v>
      </c>
      <c r="AF359" s="1" t="str">
        <f>""</f>
        <v/>
      </c>
      <c r="AG359" s="1" t="str">
        <f>""</f>
        <v/>
      </c>
      <c r="AH359" s="1" t="str">
        <f>""</f>
        <v/>
      </c>
      <c r="AI359" s="1" t="str">
        <f>""</f>
        <v/>
      </c>
      <c r="AJ359" s="1" t="str">
        <f>""</f>
        <v/>
      </c>
      <c r="AK359" s="1" t="str">
        <f>""</f>
        <v/>
      </c>
    </row>
    <row r="360" spans="1:37">
      <c r="A360" s="1">
        <v>66000</v>
      </c>
      <c r="B360" s="1">
        <v>966200444</v>
      </c>
      <c r="C360" s="1" t="str">
        <f>"تخليه - کهگيلويه - باشت - جاده ده بزرگ -کارخانه آسفالت رزمان"</f>
        <v>تخليه - کهگيلويه - باشت - جاده ده بزرگ -کارخانه آسفالت رزمان</v>
      </c>
      <c r="D360" s="1">
        <v>12820</v>
      </c>
      <c r="E360" s="1">
        <v>64300</v>
      </c>
      <c r="F360" s="1">
        <v>96</v>
      </c>
      <c r="G360" s="1">
        <v>1700</v>
      </c>
      <c r="H360" s="1" t="str">
        <f>"96/09/20"</f>
        <v>96/09/20</v>
      </c>
      <c r="I360" s="1" t="str">
        <f>"كيلوگرم"</f>
        <v>كيلوگرم</v>
      </c>
      <c r="J360" s="1" t="str">
        <f>"0000000076"</f>
        <v>0000000076</v>
      </c>
      <c r="K360" s="1" t="str">
        <f>"قير 60/70 - فله"</f>
        <v>قير 60/70 - فله</v>
      </c>
      <c r="L360" s="1">
        <v>100</v>
      </c>
      <c r="M360" s="1" t="str">
        <f>"مخازن قير اصفهان"</f>
        <v>مخازن قير اصفهان</v>
      </c>
      <c r="N360" s="1">
        <v>11203</v>
      </c>
      <c r="O360" s="1">
        <v>50037637</v>
      </c>
      <c r="P360" s="1" t="str">
        <f>"  مسير پيماي شياس"</f>
        <v xml:space="preserve">  مسير پيماي شياس</v>
      </c>
      <c r="Q360" s="1">
        <v>62</v>
      </c>
      <c r="R360" s="1" t="str">
        <f>"فروش داخلي - سازمان بنيادمسكن انقلاب اسلامي"</f>
        <v>فروش داخلي - سازمان بنيادمسكن انقلاب اسلامي</v>
      </c>
      <c r="S360" s="1" t="str">
        <f>"قرارداد فروش"</f>
        <v>قرارداد فروش</v>
      </c>
      <c r="T360" s="1" t="str">
        <f>"ندارد"</f>
        <v>ندارد</v>
      </c>
      <c r="U360" s="1" t="str">
        <f>"غلام نجفي سيامك‌‌‌‌‌‌(1881082)"</f>
        <v>غلام نجفي سيامك‌‌‌‌‌‌(1881082)</v>
      </c>
      <c r="V360" s="1">
        <v>966200444</v>
      </c>
      <c r="W360" s="1">
        <v>966200444</v>
      </c>
      <c r="X360" s="1" t="str">
        <f>"1396531357"</f>
        <v>1396531357</v>
      </c>
      <c r="Y360" s="1" t="str">
        <f>"96/09/20"</f>
        <v>96/09/20</v>
      </c>
      <c r="Z360" s="1" t="str">
        <f>"41347/د"</f>
        <v>41347/د</v>
      </c>
      <c r="AA360" s="1" t="str">
        <f>"بنيادمسكن انقلاب اسلامي"</f>
        <v>بنيادمسكن انقلاب اسلامي</v>
      </c>
      <c r="AB360" s="1" t="str">
        <f>"96/09/20"</f>
        <v>96/09/20</v>
      </c>
      <c r="AC360" s="1" t="str">
        <f>"كهكيلويه و بوير احمد"</f>
        <v>كهكيلويه و بوير احمد</v>
      </c>
      <c r="AD360" s="1" t="str">
        <f>"96/09/20"</f>
        <v>96/09/20</v>
      </c>
      <c r="AE360" s="1" t="str">
        <f>"اختتام"</f>
        <v>اختتام</v>
      </c>
      <c r="AF360" s="1" t="str">
        <f>""</f>
        <v/>
      </c>
      <c r="AG360" s="1" t="str">
        <f>""</f>
        <v/>
      </c>
      <c r="AH360" s="1" t="str">
        <f>""</f>
        <v/>
      </c>
      <c r="AI360" s="1" t="str">
        <f>""</f>
        <v/>
      </c>
      <c r="AJ360" s="1" t="str">
        <f>""</f>
        <v/>
      </c>
      <c r="AK360" s="1" t="str">
        <f>""</f>
        <v/>
      </c>
    </row>
    <row r="361" spans="1:37">
      <c r="A361" s="1">
        <v>230000</v>
      </c>
      <c r="B361" s="1">
        <v>966300002</v>
      </c>
      <c r="C361" s="1" t="str">
        <f>"تخليه-اصفهان-فريدون شهر -کارخانه آسفالت شهرداري فريدونشهر"</f>
        <v>تخليه-اصفهان-فريدون شهر -کارخانه آسفالت شهرداري فريدونشهر</v>
      </c>
      <c r="D361" s="1">
        <v>9113</v>
      </c>
      <c r="E361" s="1">
        <v>227620</v>
      </c>
      <c r="F361" s="1">
        <v>96</v>
      </c>
      <c r="G361" s="1">
        <v>2380</v>
      </c>
      <c r="H361" s="1" t="str">
        <f>"96/07/06"</f>
        <v>96/07/06</v>
      </c>
      <c r="I361" s="1" t="str">
        <f>"كيلوگرم"</f>
        <v>كيلوگرم</v>
      </c>
      <c r="J361" s="1" t="str">
        <f>"0000000076"</f>
        <v>0000000076</v>
      </c>
      <c r="K361" s="1" t="str">
        <f>"قير 60/70 - فله"</f>
        <v>قير 60/70 - فله</v>
      </c>
      <c r="L361" s="1">
        <v>100</v>
      </c>
      <c r="M361" s="1" t="str">
        <f>"مخازن قير اصفهان"</f>
        <v>مخازن قير اصفهان</v>
      </c>
      <c r="N361" s="1">
        <v>10536</v>
      </c>
      <c r="O361" s="1">
        <v>50036472</v>
      </c>
      <c r="P361" s="1" t="str">
        <f>"  آبجيل صنعت"</f>
        <v xml:space="preserve">  آبجيل صنعت</v>
      </c>
      <c r="Q361" s="1">
        <v>63</v>
      </c>
      <c r="R361" s="1" t="str">
        <f>"سازمان نوسازي،توسعه و تجهيز مدارس كشور"</f>
        <v>سازمان نوسازي،توسعه و تجهيز مدارس كشور</v>
      </c>
      <c r="S361" s="1" t="str">
        <f>"قرارداد فروش"</f>
        <v>قرارداد فروش</v>
      </c>
      <c r="T361" s="1" t="str">
        <f>"ندارد"</f>
        <v>ندارد</v>
      </c>
      <c r="U361" s="1" t="str">
        <f>"سيفي پور گودرز(1019ج89)"</f>
        <v>سيفي پور گودرز(1019ج89)</v>
      </c>
      <c r="V361" s="1">
        <v>966300002</v>
      </c>
      <c r="W361" s="1">
        <v>966300002</v>
      </c>
      <c r="X361" s="1" t="str">
        <f>"1396514726"</f>
        <v>1396514726</v>
      </c>
      <c r="Y361" s="1" t="str">
        <f>"96/07/06"</f>
        <v>96/07/06</v>
      </c>
      <c r="Z361" s="1" t="str">
        <f>"3-96/424-17727"</f>
        <v>3-96/424-17727</v>
      </c>
      <c r="AA361" s="1" t="str">
        <f>"سازمان نوسازي توسعه وتجهيزمدارس كشور"</f>
        <v>سازمان نوسازي توسعه وتجهيزمدارس كشور</v>
      </c>
      <c r="AB361" s="1" t="str">
        <f>"96/07/02"</f>
        <v>96/07/02</v>
      </c>
      <c r="AC361" s="1" t="str">
        <f>"استان اصفهان"</f>
        <v>استان اصفهان</v>
      </c>
      <c r="AD361" s="1" t="str">
        <f>"96/07/04"</f>
        <v>96/07/04</v>
      </c>
      <c r="AE361" s="1" t="str">
        <f>"اختتام"</f>
        <v>اختتام</v>
      </c>
      <c r="AF361" s="1" t="str">
        <f>""</f>
        <v/>
      </c>
      <c r="AG361" s="1" t="str">
        <f>""</f>
        <v/>
      </c>
      <c r="AH361" s="1" t="str">
        <f>""</f>
        <v/>
      </c>
      <c r="AI361" s="1" t="str">
        <f>""</f>
        <v/>
      </c>
      <c r="AJ361" s="1" t="str">
        <f>""</f>
        <v/>
      </c>
      <c r="AK361" s="1" t="str">
        <f>""</f>
        <v/>
      </c>
    </row>
    <row r="362" spans="1:37">
      <c r="A362" s="1">
        <v>685000</v>
      </c>
      <c r="B362" s="1">
        <v>966200390</v>
      </c>
      <c r="C362" s="1" t="str">
        <f>"تخليه -اصفهان -فريدن -كارخانه آسفالت دامنه"</f>
        <v>تخليه -اصفهان -فريدن -كارخانه آسفالت دامنه</v>
      </c>
      <c r="D362" s="1">
        <v>12820</v>
      </c>
      <c r="E362" s="1">
        <v>684380</v>
      </c>
      <c r="F362" s="1">
        <v>96</v>
      </c>
      <c r="G362" s="1">
        <v>620</v>
      </c>
      <c r="H362" s="1" t="str">
        <f>"96/09/08"</f>
        <v>96/09/08</v>
      </c>
      <c r="I362" s="1" t="str">
        <f>"كيلوگرم"</f>
        <v>كيلوگرم</v>
      </c>
      <c r="J362" s="1" t="str">
        <f>"0000000076"</f>
        <v>0000000076</v>
      </c>
      <c r="K362" s="1" t="str">
        <f>"قير 60/70 - فله"</f>
        <v>قير 60/70 - فله</v>
      </c>
      <c r="L362" s="1">
        <v>100</v>
      </c>
      <c r="M362" s="1" t="str">
        <f>"مخازن قير اصفهان"</f>
        <v>مخازن قير اصفهان</v>
      </c>
      <c r="N362" s="1">
        <v>10536</v>
      </c>
      <c r="O362" s="1">
        <v>50037339</v>
      </c>
      <c r="P362" s="1" t="str">
        <f>"  آبجيل صنعت"</f>
        <v xml:space="preserve">  آبجيل صنعت</v>
      </c>
      <c r="Q362" s="1">
        <v>62</v>
      </c>
      <c r="R362" s="1" t="str">
        <f>"فروش داخلي - سازمان بنيادمسكن انقلاب اسلامي"</f>
        <v>فروش داخلي - سازمان بنيادمسكن انقلاب اسلامي</v>
      </c>
      <c r="S362" s="1" t="str">
        <f>"قرارداد فروش"</f>
        <v>قرارداد فروش</v>
      </c>
      <c r="T362" s="1" t="str">
        <f>"ندارد"</f>
        <v>ندارد</v>
      </c>
      <c r="U362" s="1" t="str">
        <f>"سيفي پور گودرز(1019ج89)"</f>
        <v>سيفي پور گودرز(1019ج89)</v>
      </c>
      <c r="V362" s="1">
        <v>966200390</v>
      </c>
      <c r="W362" s="1">
        <v>966200390</v>
      </c>
      <c r="X362" s="1" t="str">
        <f>"1396529172"</f>
        <v>1396529172</v>
      </c>
      <c r="Y362" s="1" t="str">
        <f>"96/09/08"</f>
        <v>96/09/08</v>
      </c>
      <c r="Z362" s="1" t="str">
        <f>"37296/د"</f>
        <v>37296/د</v>
      </c>
      <c r="AA362" s="1" t="str">
        <f>"بنيادمسكن انقلاب اسلامي"</f>
        <v>بنيادمسكن انقلاب اسلامي</v>
      </c>
      <c r="AB362" s="1" t="str">
        <f>"96/08/21"</f>
        <v>96/08/21</v>
      </c>
      <c r="AC362" s="1" t="str">
        <f>"استان اصفهان"</f>
        <v>استان اصفهان</v>
      </c>
      <c r="AD362" s="1" t="str">
        <f>"96/09/08"</f>
        <v>96/09/08</v>
      </c>
      <c r="AE362" s="1" t="str">
        <f>"اختتام"</f>
        <v>اختتام</v>
      </c>
      <c r="AF362" s="1" t="str">
        <f>""</f>
        <v/>
      </c>
      <c r="AG362" s="1" t="str">
        <f>""</f>
        <v/>
      </c>
      <c r="AH362" s="1" t="str">
        <f>""</f>
        <v/>
      </c>
      <c r="AI362" s="1" t="str">
        <f>""</f>
        <v/>
      </c>
      <c r="AJ362" s="1" t="str">
        <f>""</f>
        <v/>
      </c>
      <c r="AK362" s="1" t="str">
        <f>""</f>
        <v/>
      </c>
    </row>
    <row r="363" spans="1:37">
      <c r="A363" s="1">
        <v>67540</v>
      </c>
      <c r="B363" s="1">
        <v>962000258</v>
      </c>
      <c r="C363" s="1" t="str">
        <f>"تخليه خراسان جنوبي مخازن شركت توس راديه واقع دركيلومتر5جاده فردوس"</f>
        <v>تخليه خراسان جنوبي مخازن شركت توس راديه واقع دركيلومتر5جاده فردوس</v>
      </c>
      <c r="D363" s="1">
        <v>9113</v>
      </c>
      <c r="E363" s="1">
        <v>67540</v>
      </c>
      <c r="F363" s="1">
        <v>96</v>
      </c>
      <c r="G363" s="1">
        <v>0</v>
      </c>
      <c r="H363" s="1" t="str">
        <f>"96/09/08"</f>
        <v>96/09/08</v>
      </c>
      <c r="I363" s="1" t="str">
        <f>"كيلوگرم"</f>
        <v>كيلوگرم</v>
      </c>
      <c r="J363" s="1" t="str">
        <f>"0000000076"</f>
        <v>0000000076</v>
      </c>
      <c r="K363" s="1" t="str">
        <f>"قير 60/70 - فله"</f>
        <v>قير 60/70 - فله</v>
      </c>
      <c r="L363" s="1">
        <v>100</v>
      </c>
      <c r="M363" s="1" t="str">
        <f>"مخازن قير اصفهان"</f>
        <v>مخازن قير اصفهان</v>
      </c>
      <c r="N363" s="1">
        <v>10552</v>
      </c>
      <c r="O363" s="1">
        <v>50037387</v>
      </c>
      <c r="P363" s="1" t="str">
        <f>"  شهرداري آيسك"</f>
        <v xml:space="preserve">  شهرداري آيسك</v>
      </c>
      <c r="Q363" s="1">
        <v>20</v>
      </c>
      <c r="R363" s="1" t="str">
        <f>"فروش داخلي - سازمان شهرداري ها و دهياري هاي كشور"</f>
        <v>فروش داخلي - سازمان شهرداري ها و دهياري هاي كشور</v>
      </c>
      <c r="S363" s="1" t="str">
        <f>"قرارداد فروش"</f>
        <v>قرارداد فروش</v>
      </c>
      <c r="T363" s="1" t="str">
        <f>"ندارد"</f>
        <v>ندارد</v>
      </c>
      <c r="U363" s="1" t="str">
        <f>"تعاوني جم گستر (1001 ج 89)"</f>
        <v>تعاوني جم گستر (1001 ج 89)</v>
      </c>
      <c r="V363" s="1">
        <v>962000258</v>
      </c>
      <c r="W363" s="1">
        <v>962000258</v>
      </c>
      <c r="X363" s="1" t="str">
        <f>"1396514467"</f>
        <v>1396514467</v>
      </c>
      <c r="Y363" s="1" t="str">
        <f>"96/09/08"</f>
        <v>96/09/08</v>
      </c>
      <c r="Z363" s="1" t="str">
        <f>"37093مرحله دوم"</f>
        <v>37093مرحله دوم</v>
      </c>
      <c r="AA363" s="1" t="str">
        <f>"شهرداريها"</f>
        <v>شهرداريها</v>
      </c>
      <c r="AB363" s="1" t="str">
        <f>"96/09/04"</f>
        <v>96/09/04</v>
      </c>
      <c r="AC363" s="1" t="str">
        <f>"خراسان جنوبي"</f>
        <v>خراسان جنوبي</v>
      </c>
      <c r="AD363" s="1" t="str">
        <f>"96/07/03"</f>
        <v>96/07/03</v>
      </c>
      <c r="AE363" s="1" t="str">
        <f>"اختتام"</f>
        <v>اختتام</v>
      </c>
      <c r="AF363" s="1" t="str">
        <f>""</f>
        <v/>
      </c>
      <c r="AG363" s="1" t="str">
        <f>""</f>
        <v/>
      </c>
      <c r="AH363" s="1" t="str">
        <f>""</f>
        <v/>
      </c>
      <c r="AI363" s="1" t="str">
        <f>""</f>
        <v/>
      </c>
      <c r="AJ363" s="1" t="str">
        <f>""</f>
        <v/>
      </c>
      <c r="AK363" s="1" t="str">
        <f>""</f>
        <v/>
      </c>
    </row>
    <row r="364" spans="1:37">
      <c r="A364" s="1">
        <v>37051</v>
      </c>
      <c r="B364" s="1">
        <v>962000340</v>
      </c>
      <c r="C364" s="1" t="str">
        <f>"تخليه كرمان جاده اناريزد20كيلومتري يزدشركت زاويه سازيزد"</f>
        <v>تخليه كرمان جاده اناريزد20كيلومتري يزدشركت زاويه سازيزد</v>
      </c>
      <c r="D364" s="1">
        <v>12820</v>
      </c>
      <c r="E364" s="1">
        <v>36093</v>
      </c>
      <c r="F364" s="1">
        <v>96</v>
      </c>
      <c r="G364" s="1">
        <v>958</v>
      </c>
      <c r="H364" s="1" t="str">
        <f>"96/09/18"</f>
        <v>96/09/18</v>
      </c>
      <c r="I364" s="1" t="str">
        <f>"كيلوگرم"</f>
        <v>كيلوگرم</v>
      </c>
      <c r="J364" s="1" t="str">
        <f>"0000000076"</f>
        <v>0000000076</v>
      </c>
      <c r="K364" s="1" t="str">
        <f>"قير 60/70 - فله"</f>
        <v>قير 60/70 - فله</v>
      </c>
      <c r="L364" s="1">
        <v>100</v>
      </c>
      <c r="M364" s="1" t="str">
        <f>"مخازن قير اصفهان"</f>
        <v>مخازن قير اصفهان</v>
      </c>
      <c r="N364" s="1">
        <v>10877</v>
      </c>
      <c r="O364" s="1">
        <v>50037593</v>
      </c>
      <c r="P364" s="1" t="str">
        <f>"  شهرداري امين شهر"</f>
        <v xml:space="preserve">  شهرداري امين شهر</v>
      </c>
      <c r="Q364" s="1">
        <v>20</v>
      </c>
      <c r="R364" s="1" t="str">
        <f>"فروش داخلي - سازمان شهرداري ها و دهياري هاي كشور"</f>
        <v>فروش داخلي - سازمان شهرداري ها و دهياري هاي كشور</v>
      </c>
      <c r="S364" s="1" t="str">
        <f>"قرارداد فروش"</f>
        <v>قرارداد فروش</v>
      </c>
      <c r="T364" s="1" t="str">
        <f>"ندارد"</f>
        <v>ندارد</v>
      </c>
      <c r="U364" s="1" t="str">
        <f>"تعاوني جم گستر (1001 ج 89)"</f>
        <v>تعاوني جم گستر (1001 ج 89)</v>
      </c>
      <c r="V364" s="1">
        <v>962000340</v>
      </c>
      <c r="W364" s="1">
        <v>962000340</v>
      </c>
      <c r="X364" s="1" t="str">
        <f>"1396529711"</f>
        <v>1396529711</v>
      </c>
      <c r="Y364" s="1" t="str">
        <f>"96/09/18"</f>
        <v>96/09/18</v>
      </c>
      <c r="Z364" s="1" t="str">
        <f>"38579مرحله دوم"</f>
        <v>38579مرحله دوم</v>
      </c>
      <c r="AA364" s="1" t="str">
        <f>"شهرداريها"</f>
        <v>شهرداريها</v>
      </c>
      <c r="AB364" s="1" t="str">
        <f>"96/09/11"</f>
        <v>96/09/11</v>
      </c>
      <c r="AC364" s="1" t="str">
        <f>"استان كرمان"</f>
        <v>استان كرمان</v>
      </c>
      <c r="AD364" s="1" t="str">
        <f>"96/09/13"</f>
        <v>96/09/13</v>
      </c>
      <c r="AE364" s="1" t="str">
        <f>"تاييدشده"</f>
        <v>تاييدشده</v>
      </c>
      <c r="AF364" s="1" t="str">
        <f>""</f>
        <v/>
      </c>
      <c r="AG364" s="1" t="str">
        <f>""</f>
        <v/>
      </c>
      <c r="AH364" s="1" t="str">
        <f>""</f>
        <v/>
      </c>
      <c r="AI364" s="1" t="str">
        <f>""</f>
        <v/>
      </c>
      <c r="AJ364" s="1" t="str">
        <f>""</f>
        <v/>
      </c>
      <c r="AK364" s="1" t="str">
        <f>""</f>
        <v/>
      </c>
    </row>
    <row r="365" spans="1:37">
      <c r="A365" s="1">
        <v>144470</v>
      </c>
      <c r="B365" s="1">
        <v>962000210</v>
      </c>
      <c r="C365" s="1" t="str">
        <f>"تخليه-کهگيلويه و بويراحمد-شرکت تعوني1853توليد بتن و ماسه و آسفالت باشت"</f>
        <v>تخليه-کهگيلويه و بويراحمد-شرکت تعوني1853توليد بتن و ماسه و آسفالت باشت</v>
      </c>
      <c r="D365" s="1">
        <v>9113</v>
      </c>
      <c r="E365" s="1">
        <v>144470</v>
      </c>
      <c r="F365" s="1">
        <v>96</v>
      </c>
      <c r="G365" s="1">
        <v>0</v>
      </c>
      <c r="H365" s="1" t="str">
        <f>"96/07/03"</f>
        <v>96/07/03</v>
      </c>
      <c r="I365" s="1" t="str">
        <f>"كيلوگرم"</f>
        <v>كيلوگرم</v>
      </c>
      <c r="J365" s="1" t="str">
        <f>"0000000076"</f>
        <v>0000000076</v>
      </c>
      <c r="K365" s="1" t="str">
        <f>"قير 60/70 - فله"</f>
        <v>قير 60/70 - فله</v>
      </c>
      <c r="L365" s="1">
        <v>100</v>
      </c>
      <c r="M365" s="1" t="str">
        <f>"مخازن قير اصفهان"</f>
        <v>مخازن قير اصفهان</v>
      </c>
      <c r="N365" s="1">
        <v>11210</v>
      </c>
      <c r="O365" s="1">
        <v>50036446</v>
      </c>
      <c r="P365" s="1" t="str">
        <f>"  شهرداري سرفارياب"</f>
        <v xml:space="preserve">  شهرداري سرفارياب</v>
      </c>
      <c r="Q365" s="1">
        <v>20</v>
      </c>
      <c r="R365" s="1" t="str">
        <f>"فروش داخلي - سازمان شهرداري ها و دهياري هاي كشور"</f>
        <v>فروش داخلي - سازمان شهرداري ها و دهياري هاي كشور</v>
      </c>
      <c r="S365" s="1" t="str">
        <f>"قرارداد فروش"</f>
        <v>قرارداد فروش</v>
      </c>
      <c r="T365" s="1" t="str">
        <f>"ندارد"</f>
        <v>ندارد</v>
      </c>
      <c r="U365" s="1" t="str">
        <f>"تعاوني جم گستر (1001 ج 89)"</f>
        <v>تعاوني جم گستر (1001 ج 89)</v>
      </c>
      <c r="V365" s="1">
        <v>962000210</v>
      </c>
      <c r="W365" s="1">
        <v>962000210</v>
      </c>
      <c r="X365" s="1" t="str">
        <f>"1396514467"</f>
        <v>1396514467</v>
      </c>
      <c r="Y365" s="1" t="str">
        <f>"96/07/03"</f>
        <v>96/07/03</v>
      </c>
      <c r="Z365" s="1" t="str">
        <f>"26750مرحله اول"</f>
        <v>26750مرحله اول</v>
      </c>
      <c r="AA365" s="1" t="str">
        <f>"شهرداريها"</f>
        <v>شهرداريها</v>
      </c>
      <c r="AB365" s="1" t="str">
        <f>"96/06/29"</f>
        <v>96/06/29</v>
      </c>
      <c r="AC365" s="1" t="str">
        <f>"كهكيلويه و بوير احمد"</f>
        <v>كهكيلويه و بوير احمد</v>
      </c>
      <c r="AD365" s="1" t="str">
        <f>"96/07/03"</f>
        <v>96/07/03</v>
      </c>
      <c r="AE365" s="1" t="str">
        <f>"تاييدشده"</f>
        <v>تاييدشده</v>
      </c>
      <c r="AF365" s="1" t="str">
        <f>""</f>
        <v/>
      </c>
      <c r="AG365" s="1" t="str">
        <f>""</f>
        <v/>
      </c>
      <c r="AH365" s="1" t="str">
        <f>""</f>
        <v/>
      </c>
      <c r="AI365" s="1" t="str">
        <f>""</f>
        <v/>
      </c>
      <c r="AJ365" s="1" t="str">
        <f>""</f>
        <v/>
      </c>
      <c r="AK365" s="1" t="str">
        <f>""</f>
        <v/>
      </c>
    </row>
    <row r="366" spans="1:37">
      <c r="A366" s="1">
        <v>51347</v>
      </c>
      <c r="B366" s="1">
        <v>962000496</v>
      </c>
      <c r="C366" s="1" t="str">
        <f>"تخليه: كهگيلويه وبويراحمد-شهرستان چرام -كارخانه آسفالت شهرداري چرام"</f>
        <v>تخليه: كهگيلويه وبويراحمد-شهرستان چرام -كارخانه آسفالت شهرداري چرام</v>
      </c>
      <c r="D366" s="1">
        <v>12820</v>
      </c>
      <c r="E366" s="1">
        <v>51347</v>
      </c>
      <c r="F366" s="1">
        <v>96</v>
      </c>
      <c r="G366" s="1">
        <v>0</v>
      </c>
      <c r="H366" s="1" t="str">
        <f>"96/09/20"</f>
        <v>96/09/20</v>
      </c>
      <c r="I366" s="1" t="str">
        <f>"كيلوگرم"</f>
        <v>كيلوگرم</v>
      </c>
      <c r="J366" s="1" t="str">
        <f>"0000000076"</f>
        <v>0000000076</v>
      </c>
      <c r="K366" s="1" t="str">
        <f>"قير 60/70 - فله"</f>
        <v>قير 60/70 - فله</v>
      </c>
      <c r="L366" s="1">
        <v>100</v>
      </c>
      <c r="M366" s="1" t="str">
        <f>"مخازن قير اصفهان"</f>
        <v>مخازن قير اصفهان</v>
      </c>
      <c r="N366" s="1">
        <v>11210</v>
      </c>
      <c r="O366" s="1">
        <v>50037873</v>
      </c>
      <c r="P366" s="1" t="str">
        <f>"  شهرداري سرفارياب"</f>
        <v xml:space="preserve">  شهرداري سرفارياب</v>
      </c>
      <c r="Q366" s="1">
        <v>20</v>
      </c>
      <c r="R366" s="1" t="str">
        <f>"فروش داخلي - سازمان شهرداري ها و دهياري هاي كشور"</f>
        <v>فروش داخلي - سازمان شهرداري ها و دهياري هاي كشور</v>
      </c>
      <c r="S366" s="1" t="str">
        <f>"قرارداد فروش"</f>
        <v>قرارداد فروش</v>
      </c>
      <c r="T366" s="1" t="str">
        <f>"ندارد"</f>
        <v>ندارد</v>
      </c>
      <c r="U366" s="1" t="str">
        <f>"تعاوني جم گستر (1001 ج 89)"</f>
        <v>تعاوني جم گستر (1001 ج 89)</v>
      </c>
      <c r="V366" s="1">
        <v>962000496</v>
      </c>
      <c r="W366" s="1">
        <v>962000496</v>
      </c>
      <c r="X366" s="1" t="str">
        <f>"1396529711"</f>
        <v>1396529711</v>
      </c>
      <c r="Y366" s="1" t="str">
        <f>"96/09/20"</f>
        <v>96/09/20</v>
      </c>
      <c r="Z366" s="1" t="str">
        <f>"38295مرحله دوم"</f>
        <v>38295مرحله دوم</v>
      </c>
      <c r="AA366" s="1" t="str">
        <f>"شهرداريها"</f>
        <v>شهرداريها</v>
      </c>
      <c r="AB366" s="1" t="str">
        <f>"96/09/11"</f>
        <v>96/09/11</v>
      </c>
      <c r="AC366" s="1" t="str">
        <f>"كهكيلويه و بوير احمد"</f>
        <v>كهكيلويه و بوير احمد</v>
      </c>
      <c r="AD366" s="1" t="str">
        <f>"96/09/13"</f>
        <v>96/09/13</v>
      </c>
      <c r="AE366" s="1" t="str">
        <f>"تاييدشده"</f>
        <v>تاييدشده</v>
      </c>
      <c r="AF366" s="1" t="str">
        <f>""</f>
        <v/>
      </c>
      <c r="AG366" s="1" t="str">
        <f>""</f>
        <v/>
      </c>
      <c r="AH366" s="1" t="str">
        <f>""</f>
        <v/>
      </c>
      <c r="AI366" s="1" t="str">
        <f>""</f>
        <v/>
      </c>
      <c r="AJ366" s="1" t="str">
        <f>""</f>
        <v/>
      </c>
      <c r="AK366" s="1" t="str">
        <f>""</f>
        <v/>
      </c>
    </row>
    <row r="367" spans="1:37">
      <c r="A367" s="1">
        <v>374000</v>
      </c>
      <c r="B367" s="1">
        <v>966200035</v>
      </c>
      <c r="C367" s="1" t="str">
        <f>"تخليه-سيستان و بلوچستان - چابهار-روستاي کمب"</f>
        <v>تخليه-سيستان و بلوچستان - چابهار-روستاي کمب</v>
      </c>
      <c r="D367" s="1">
        <v>8918</v>
      </c>
      <c r="E367" s="1">
        <v>374000</v>
      </c>
      <c r="F367" s="1">
        <v>96</v>
      </c>
      <c r="G367" s="1">
        <v>0</v>
      </c>
      <c r="H367" s="1" t="str">
        <f>"96/02/04"</f>
        <v>96/02/04</v>
      </c>
      <c r="I367" s="1" t="str">
        <f>"كيلوگرم"</f>
        <v>كيلوگرم</v>
      </c>
      <c r="J367" s="1" t="str">
        <f>"0000000076"</f>
        <v>0000000076</v>
      </c>
      <c r="K367" s="1" t="str">
        <f>"قير 60/70 - فله"</f>
        <v>قير 60/70 - فله</v>
      </c>
      <c r="L367" s="1">
        <v>100</v>
      </c>
      <c r="M367" s="1" t="str">
        <f>"مخازن قير اصفهان"</f>
        <v>مخازن قير اصفهان</v>
      </c>
      <c r="N367" s="1">
        <v>11216</v>
      </c>
      <c r="O367" s="1">
        <v>50034674</v>
      </c>
      <c r="P367" s="1" t="str">
        <f>"  آکام راه هرمز"</f>
        <v xml:space="preserve">  آکام راه هرمز</v>
      </c>
      <c r="Q367" s="1">
        <v>62</v>
      </c>
      <c r="R367" s="1" t="str">
        <f>"فروش داخلي - سازمان بنيادمسكن انقلاب اسلامي"</f>
        <v>فروش داخلي - سازمان بنيادمسكن انقلاب اسلامي</v>
      </c>
      <c r="S367" s="1" t="str">
        <f>"قرارداد فروش"</f>
        <v>قرارداد فروش</v>
      </c>
      <c r="T367" s="1" t="str">
        <f>"ندارد"</f>
        <v>ندارد</v>
      </c>
      <c r="U367" s="1" t="str">
        <f>"پورباقري ترابر (4914036)"</f>
        <v>پورباقري ترابر (4914036)</v>
      </c>
      <c r="V367" s="1">
        <v>966200035</v>
      </c>
      <c r="W367" s="1">
        <v>966200035</v>
      </c>
      <c r="X367" s="1" t="str">
        <f>"1396476390"</f>
        <v>1396476390</v>
      </c>
      <c r="Y367" s="1" t="str">
        <f>"96/02/04"</f>
        <v>96/02/04</v>
      </c>
      <c r="Z367" s="1" t="str">
        <f>"3097/د"</f>
        <v>3097/د</v>
      </c>
      <c r="AA367" s="1" t="str">
        <f>"بنيادمسكن انقلاب اسلامي"</f>
        <v>بنيادمسكن انقلاب اسلامي</v>
      </c>
      <c r="AB367" s="1" t="str">
        <f>"96/02/02"</f>
        <v>96/02/02</v>
      </c>
      <c r="AC367" s="1" t="str">
        <f>"استان سيستان بلوچستان"</f>
        <v>استان سيستان بلوچستان</v>
      </c>
      <c r="AD367" s="1" t="str">
        <f>"96/02/04"</f>
        <v>96/02/04</v>
      </c>
      <c r="AE367" s="1" t="str">
        <f>"اختتام"</f>
        <v>اختتام</v>
      </c>
      <c r="AF367" s="1" t="str">
        <f>""</f>
        <v/>
      </c>
      <c r="AG367" s="1" t="str">
        <f>""</f>
        <v/>
      </c>
      <c r="AH367" s="1" t="str">
        <f>""</f>
        <v/>
      </c>
      <c r="AI367" s="1" t="str">
        <f>""</f>
        <v/>
      </c>
      <c r="AJ367" s="1" t="str">
        <f>""</f>
        <v/>
      </c>
      <c r="AK367" s="1" t="str">
        <f>""</f>
        <v/>
      </c>
    </row>
    <row r="368" spans="1:37">
      <c r="A368" s="1">
        <v>320000</v>
      </c>
      <c r="B368" s="1">
        <v>966200073</v>
      </c>
      <c r="C368" s="1" t="str">
        <f>"تخليه-سيستان و بلوچستان - چابهار-روستاي کمب"</f>
        <v>تخليه-سيستان و بلوچستان - چابهار-روستاي کمب</v>
      </c>
      <c r="D368" s="1">
        <v>8918</v>
      </c>
      <c r="E368" s="1">
        <v>320000</v>
      </c>
      <c r="F368" s="1">
        <v>96</v>
      </c>
      <c r="G368" s="1">
        <v>0</v>
      </c>
      <c r="H368" s="1" t="str">
        <f>"96/02/26"</f>
        <v>96/02/26</v>
      </c>
      <c r="I368" s="1" t="str">
        <f>"كيلوگرم"</f>
        <v>كيلوگرم</v>
      </c>
      <c r="J368" s="1" t="str">
        <f>"0000000076"</f>
        <v>0000000076</v>
      </c>
      <c r="K368" s="1" t="str">
        <f>"قير 60/70 - فله"</f>
        <v>قير 60/70 - فله</v>
      </c>
      <c r="L368" s="1">
        <v>100</v>
      </c>
      <c r="M368" s="1" t="str">
        <f>"مخازن قير اصفهان"</f>
        <v>مخازن قير اصفهان</v>
      </c>
      <c r="N368" s="1">
        <v>11216</v>
      </c>
      <c r="O368" s="1">
        <v>50034840</v>
      </c>
      <c r="P368" s="1" t="str">
        <f>"  آکام راه هرمز"</f>
        <v xml:space="preserve">  آکام راه هرمز</v>
      </c>
      <c r="Q368" s="1">
        <v>62</v>
      </c>
      <c r="R368" s="1" t="str">
        <f>"فروش داخلي - سازمان بنيادمسكن انقلاب اسلامي"</f>
        <v>فروش داخلي - سازمان بنيادمسكن انقلاب اسلامي</v>
      </c>
      <c r="S368" s="1" t="str">
        <f>"قرارداد فروش"</f>
        <v>قرارداد فروش</v>
      </c>
      <c r="T368" s="1" t="str">
        <f>"ندارد"</f>
        <v>ندارد</v>
      </c>
      <c r="U368" s="1" t="str">
        <f>"پورباقري ترابر (4914036)"</f>
        <v>پورباقري ترابر (4914036)</v>
      </c>
      <c r="V368" s="1">
        <v>966200073</v>
      </c>
      <c r="W368" s="1">
        <v>966200073</v>
      </c>
      <c r="X368" s="1" t="str">
        <f>"1396481180"</f>
        <v>1396481180</v>
      </c>
      <c r="Y368" s="1" t="str">
        <f>"96/02/26"</f>
        <v>96/02/26</v>
      </c>
      <c r="Z368" s="1" t="str">
        <f>"6829/د"</f>
        <v>6829/د</v>
      </c>
      <c r="AA368" s="1" t="str">
        <f>"بنيادمسكن انقلاب اسلامي"</f>
        <v>بنيادمسكن انقلاب اسلامي</v>
      </c>
      <c r="AB368" s="1" t="str">
        <f>"96/02/25"</f>
        <v>96/02/25</v>
      </c>
      <c r="AC368" s="1" t="str">
        <f>"استان سيستان بلوچستان"</f>
        <v>استان سيستان بلوچستان</v>
      </c>
      <c r="AD368" s="1" t="str">
        <f>"96/02/26"</f>
        <v>96/02/26</v>
      </c>
      <c r="AE368" s="1" t="str">
        <f>"اختتام"</f>
        <v>اختتام</v>
      </c>
      <c r="AF368" s="1" t="str">
        <f>""</f>
        <v/>
      </c>
      <c r="AG368" s="1" t="str">
        <f>""</f>
        <v/>
      </c>
      <c r="AH368" s="1" t="str">
        <f>""</f>
        <v/>
      </c>
      <c r="AI368" s="1" t="str">
        <f>""</f>
        <v/>
      </c>
      <c r="AJ368" s="1" t="str">
        <f>""</f>
        <v/>
      </c>
      <c r="AK368" s="1" t="str">
        <f>""</f>
        <v/>
      </c>
    </row>
    <row r="369" spans="1:37">
      <c r="A369" s="1">
        <v>440000</v>
      </c>
      <c r="B369" s="1">
        <v>966200178</v>
      </c>
      <c r="C369" s="1" t="str">
        <f>"تخليه - مازندران-نکا-کيلومتر 3 جاده بهشهر-روستاي چاله پل-کارخانه آسفالت سليم بهرامي"</f>
        <v>تخليه - مازندران-نکا-کيلومتر 3 جاده بهشهر-روستاي چاله پل-کارخانه آسفالت سليم بهرامي</v>
      </c>
      <c r="D369" s="1">
        <v>8704</v>
      </c>
      <c r="E369" s="1">
        <v>434520</v>
      </c>
      <c r="F369" s="1">
        <v>96</v>
      </c>
      <c r="G369" s="1">
        <v>5480</v>
      </c>
      <c r="H369" s="1" t="str">
        <f>"96/05/15"</f>
        <v>96/05/15</v>
      </c>
      <c r="I369" s="1" t="str">
        <f>"كيلوگرم"</f>
        <v>كيلوگرم</v>
      </c>
      <c r="J369" s="1" t="str">
        <f>"0000000076"</f>
        <v>0000000076</v>
      </c>
      <c r="K369" s="1" t="str">
        <f>"قير 60/70 - فله"</f>
        <v>قير 60/70 - فله</v>
      </c>
      <c r="L369" s="1">
        <v>100</v>
      </c>
      <c r="M369" s="1" t="str">
        <f>"مخازن قير اصفهان"</f>
        <v>مخازن قير اصفهان</v>
      </c>
      <c r="N369" s="1">
        <v>11228</v>
      </c>
      <c r="O369" s="1">
        <v>50035533</v>
      </c>
      <c r="P369" s="1" t="str">
        <f>"  پارسيان سازه بهرام"</f>
        <v xml:space="preserve">  پارسيان سازه بهرام</v>
      </c>
      <c r="Q369" s="1">
        <v>62</v>
      </c>
      <c r="R369" s="1" t="str">
        <f>"فروش داخلي - سازمان بنيادمسكن انقلاب اسلامي"</f>
        <v>فروش داخلي - سازمان بنيادمسكن انقلاب اسلامي</v>
      </c>
      <c r="S369" s="1" t="str">
        <f>"قرارداد فروش"</f>
        <v>قرارداد فروش</v>
      </c>
      <c r="T369" s="1" t="str">
        <f>"ندارد"</f>
        <v>ندارد</v>
      </c>
      <c r="U369" s="1" t="str">
        <f>"هاشمي باروقير سعيد(1841020)"</f>
        <v>هاشمي باروقير سعيد(1841020)</v>
      </c>
      <c r="V369" s="1">
        <v>966200178</v>
      </c>
      <c r="W369" s="1">
        <v>966200178</v>
      </c>
      <c r="X369" s="1" t="str">
        <f>"1396502842"</f>
        <v>1396502842</v>
      </c>
      <c r="Y369" s="1" t="str">
        <f>"96/05/15"</f>
        <v>96/05/15</v>
      </c>
      <c r="Z369" s="1" t="str">
        <f>"19684/د"</f>
        <v>19684/د</v>
      </c>
      <c r="AA369" s="1" t="str">
        <f>"بنيادمسكن انقلاب اسلامي"</f>
        <v>بنيادمسكن انقلاب اسلامي</v>
      </c>
      <c r="AB369" s="1" t="str">
        <f>"96/05/11"</f>
        <v>96/05/11</v>
      </c>
      <c r="AC369" s="1" t="str">
        <f>"استان مازندران"</f>
        <v>استان مازندران</v>
      </c>
      <c r="AD369" s="1" t="str">
        <f>"96/05/15"</f>
        <v>96/05/15</v>
      </c>
      <c r="AE369" s="1" t="str">
        <f>"اختتام"</f>
        <v>اختتام</v>
      </c>
      <c r="AF369" s="1" t="str">
        <f>""</f>
        <v/>
      </c>
      <c r="AG369" s="1" t="str">
        <f>""</f>
        <v/>
      </c>
      <c r="AH369" s="1" t="str">
        <f>""</f>
        <v/>
      </c>
      <c r="AI369" s="1" t="str">
        <f>""</f>
        <v/>
      </c>
      <c r="AJ369" s="1" t="str">
        <f>""</f>
        <v/>
      </c>
      <c r="AK369" s="1" t="str">
        <f>""</f>
        <v/>
      </c>
    </row>
    <row r="370" spans="1:37">
      <c r="A370" s="1">
        <v>210000</v>
      </c>
      <c r="B370" s="1">
        <v>966200414</v>
      </c>
      <c r="C370" s="1" t="str">
        <f>"تخليه - اصفهان-سميرم-حنا-کيلومتر 5 جاده پادنا-کارخانه آسفالت شهرداري حنا"</f>
        <v>تخليه - اصفهان-سميرم-حنا-کيلومتر 5 جاده پادنا-کارخانه آسفالت شهرداري حنا</v>
      </c>
      <c r="D370" s="1">
        <v>12820</v>
      </c>
      <c r="E370" s="1">
        <v>203160</v>
      </c>
      <c r="F370" s="1">
        <v>96</v>
      </c>
      <c r="G370" s="1">
        <v>6840</v>
      </c>
      <c r="H370" s="1" t="str">
        <f>"96/09/12"</f>
        <v>96/09/12</v>
      </c>
      <c r="I370" s="1" t="str">
        <f>"كيلوگرم"</f>
        <v>كيلوگرم</v>
      </c>
      <c r="J370" s="1" t="str">
        <f>"0000000076"</f>
        <v>0000000076</v>
      </c>
      <c r="K370" s="1" t="str">
        <f>"قير 60/70 - فله"</f>
        <v>قير 60/70 - فله</v>
      </c>
      <c r="L370" s="1">
        <v>100</v>
      </c>
      <c r="M370" s="1" t="str">
        <f>"مخازن قير اصفهان"</f>
        <v>مخازن قير اصفهان</v>
      </c>
      <c r="N370" s="1">
        <v>11231</v>
      </c>
      <c r="O370" s="1">
        <v>50037425</v>
      </c>
      <c r="P370" s="1" t="str">
        <f>"  محبت گستر اسپادانا"</f>
        <v xml:space="preserve">  محبت گستر اسپادانا</v>
      </c>
      <c r="Q370" s="1">
        <v>62</v>
      </c>
      <c r="R370" s="1" t="str">
        <f>"فروش داخلي - سازمان بنيادمسكن انقلاب اسلامي"</f>
        <v>فروش داخلي - سازمان بنيادمسكن انقلاب اسلامي</v>
      </c>
      <c r="S370" s="1" t="str">
        <f>"قرارداد فروش"</f>
        <v>قرارداد فروش</v>
      </c>
      <c r="T370" s="1" t="str">
        <f>"ندارد"</f>
        <v>ندارد</v>
      </c>
      <c r="U370" s="1" t="str">
        <f>"ريسماني حسن(1007ج89)"</f>
        <v>ريسماني حسن(1007ج89)</v>
      </c>
      <c r="V370" s="1">
        <v>966200414</v>
      </c>
      <c r="W370" s="1">
        <v>966200414</v>
      </c>
      <c r="X370" s="1" t="str">
        <f>"1396529573"</f>
        <v>1396529573</v>
      </c>
      <c r="Y370" s="1" t="str">
        <f>"96/09/12"</f>
        <v>96/09/12</v>
      </c>
      <c r="Z370" s="1" t="str">
        <f>"40056/د"</f>
        <v>40056/د</v>
      </c>
      <c r="AA370" s="1" t="str">
        <f>"بنيادمسكن انقلاب اسلامي"</f>
        <v>بنيادمسكن انقلاب اسلامي</v>
      </c>
      <c r="AB370" s="1" t="str">
        <f>"96/09/11"</f>
        <v>96/09/11</v>
      </c>
      <c r="AC370" s="1" t="str">
        <f>"استان اصفهان"</f>
        <v>استان اصفهان</v>
      </c>
      <c r="AD370" s="1" t="str">
        <f>"96/09/12"</f>
        <v>96/09/12</v>
      </c>
      <c r="AE370" s="1" t="str">
        <f>"اختتام"</f>
        <v>اختتام</v>
      </c>
      <c r="AF370" s="1" t="str">
        <f>""</f>
        <v/>
      </c>
      <c r="AG370" s="1" t="str">
        <f>""</f>
        <v/>
      </c>
      <c r="AH370" s="1" t="str">
        <f>""</f>
        <v/>
      </c>
      <c r="AI370" s="1" t="str">
        <f>""</f>
        <v/>
      </c>
      <c r="AJ370" s="1" t="str">
        <f>""</f>
        <v/>
      </c>
      <c r="AK370" s="1" t="str">
        <f>""</f>
        <v/>
      </c>
    </row>
    <row r="371" spans="1:37">
      <c r="A371" s="1">
        <v>175000</v>
      </c>
      <c r="B371" s="1">
        <v>966200025</v>
      </c>
      <c r="C371" s="1" t="str">
        <f>"تخليه - اصفهان-6/5 کيلومتري جنوب جاده اصفهان نايين-امتداد جاده به سمت کشتارگاه روستاي فساران"</f>
        <v>تخليه - اصفهان-6/5 کيلومتري جنوب جاده اصفهان نايين-امتداد جاده به سمت کشتارگاه روستاي فساران</v>
      </c>
      <c r="D371" s="1">
        <v>8198</v>
      </c>
      <c r="E371" s="1">
        <v>175000</v>
      </c>
      <c r="F371" s="1">
        <v>96</v>
      </c>
      <c r="G371" s="1">
        <v>0</v>
      </c>
      <c r="H371" s="1" t="str">
        <f>"96/01/23"</f>
        <v>96/01/23</v>
      </c>
      <c r="I371" s="1" t="str">
        <f>"كيلوگرم"</f>
        <v>كيلوگرم</v>
      </c>
      <c r="J371" s="1" t="str">
        <f>"0000000076"</f>
        <v>0000000076</v>
      </c>
      <c r="K371" s="1" t="str">
        <f>"قير 60/70 - فله"</f>
        <v>قير 60/70 - فله</v>
      </c>
      <c r="L371" s="1">
        <v>100</v>
      </c>
      <c r="M371" s="1" t="str">
        <f>"مخازن قير اصفهان"</f>
        <v>مخازن قير اصفهان</v>
      </c>
      <c r="N371" s="1">
        <v>11236</v>
      </c>
      <c r="O371" s="1">
        <v>50034536</v>
      </c>
      <c r="P371" s="1" t="str">
        <f>"  ستايش گستر زنده رود"</f>
        <v xml:space="preserve">  ستايش گستر زنده رود</v>
      </c>
      <c r="Q371" s="1">
        <v>62</v>
      </c>
      <c r="R371" s="1" t="str">
        <f>"فروش داخلي - سازمان بنيادمسكن انقلاب اسلامي"</f>
        <v>فروش داخلي - سازمان بنيادمسكن انقلاب اسلامي</v>
      </c>
      <c r="S371" s="1" t="str">
        <f>"قرارداد فروش"</f>
        <v>قرارداد فروش</v>
      </c>
      <c r="T371" s="1" t="str">
        <f>"ندارد"</f>
        <v>ندارد</v>
      </c>
      <c r="U371" s="1" t="str">
        <f>"قره باغي مجيد(1871065)"</f>
        <v>قره باغي مجيد(1871065)</v>
      </c>
      <c r="V371" s="1">
        <v>966200025</v>
      </c>
      <c r="W371" s="1">
        <v>966200025</v>
      </c>
      <c r="X371" s="1" t="str">
        <f>"1396474034"</f>
        <v>1396474034</v>
      </c>
      <c r="Y371" s="1" t="str">
        <f>"96/01/23"</f>
        <v>96/01/23</v>
      </c>
      <c r="Z371" s="1" t="str">
        <f>"1447/د"</f>
        <v>1447/د</v>
      </c>
      <c r="AA371" s="1" t="str">
        <f>"بنيادمسكن انقلاب اسلامي"</f>
        <v>بنيادمسكن انقلاب اسلامي</v>
      </c>
      <c r="AB371" s="1" t="str">
        <f>"96/01/21"</f>
        <v>96/01/21</v>
      </c>
      <c r="AC371" s="1" t="str">
        <f>"استان اصفهان"</f>
        <v>استان اصفهان</v>
      </c>
      <c r="AD371" s="1" t="str">
        <f>"96/01/23"</f>
        <v>96/01/23</v>
      </c>
      <c r="AE371" s="1" t="str">
        <f>"اختتام"</f>
        <v>اختتام</v>
      </c>
      <c r="AF371" s="1" t="str">
        <f>""</f>
        <v/>
      </c>
      <c r="AG371" s="1" t="str">
        <f>""</f>
        <v/>
      </c>
      <c r="AH371" s="1" t="str">
        <f>""</f>
        <v/>
      </c>
      <c r="AI371" s="1" t="str">
        <f>""</f>
        <v/>
      </c>
      <c r="AJ371" s="1" t="str">
        <f>""</f>
        <v/>
      </c>
      <c r="AK371" s="1" t="str">
        <f>""</f>
        <v/>
      </c>
    </row>
    <row r="372" spans="1:37">
      <c r="A372" s="1">
        <v>90000</v>
      </c>
      <c r="B372" s="1">
        <v>966200681</v>
      </c>
      <c r="C372" s="1" t="str">
        <f>"تخليه - اصفهان-6/5 کيلومتري جنوب جاده اصفهان نايين-امتداد جاده به سمت کشتارگاه روستاي فساران"</f>
        <v>تخليه - اصفهان-6/5 کيلومتري جنوب جاده اصفهان نايين-امتداد جاده به سمت کشتارگاه روستاي فساران</v>
      </c>
      <c r="D372" s="1">
        <v>13350</v>
      </c>
      <c r="E372" s="1">
        <v>89520</v>
      </c>
      <c r="F372" s="1">
        <v>96</v>
      </c>
      <c r="G372" s="1">
        <v>480</v>
      </c>
      <c r="H372" s="1" t="str">
        <f>"96/12/20"</f>
        <v>96/12/20</v>
      </c>
      <c r="I372" s="1" t="str">
        <f>"كيلوگرم"</f>
        <v>كيلوگرم</v>
      </c>
      <c r="J372" s="1" t="str">
        <f>"0000000076"</f>
        <v>0000000076</v>
      </c>
      <c r="K372" s="1" t="str">
        <f>"قير 60/70 - فله"</f>
        <v>قير 60/70 - فله</v>
      </c>
      <c r="L372" s="1">
        <v>100</v>
      </c>
      <c r="M372" s="1" t="str">
        <f>"مخازن قير اصفهان"</f>
        <v>مخازن قير اصفهان</v>
      </c>
      <c r="N372" s="1">
        <v>11236</v>
      </c>
      <c r="O372" s="1">
        <v>50038867</v>
      </c>
      <c r="P372" s="1" t="str">
        <f>"  ستايش گستر زنده رود"</f>
        <v xml:space="preserve">  ستايش گستر زنده رود</v>
      </c>
      <c r="Q372" s="1">
        <v>62</v>
      </c>
      <c r="R372" s="1" t="str">
        <f>"فروش داخلي - سازمان بنيادمسكن انقلاب اسلامي"</f>
        <v>فروش داخلي - سازمان بنيادمسكن انقلاب اسلامي</v>
      </c>
      <c r="S372" s="1" t="str">
        <f>"قرارداد فروش"</f>
        <v>قرارداد فروش</v>
      </c>
      <c r="T372" s="1" t="str">
        <f>"ندارد"</f>
        <v>ندارد</v>
      </c>
      <c r="U372" s="1" t="str">
        <f>"قره باغي مجيد(1871065)"</f>
        <v>قره باغي مجيد(1871065)</v>
      </c>
      <c r="V372" s="1">
        <v>966200681</v>
      </c>
      <c r="W372" s="1">
        <v>966200681</v>
      </c>
      <c r="X372" s="1" t="str">
        <f>"1396553921"</f>
        <v>1396553921</v>
      </c>
      <c r="Y372" s="1" t="str">
        <f>"96/12/20"</f>
        <v>96/12/20</v>
      </c>
      <c r="Z372" s="1" t="str">
        <f>"58144/د"</f>
        <v>58144/د</v>
      </c>
      <c r="AA372" s="1" t="str">
        <f>"بنيادمسكن انقلاب اسلامي"</f>
        <v>بنيادمسكن انقلاب اسلامي</v>
      </c>
      <c r="AB372" s="1" t="str">
        <f>"96/12/19"</f>
        <v>96/12/19</v>
      </c>
      <c r="AC372" s="1" t="str">
        <f>"استان اصفهان"</f>
        <v>استان اصفهان</v>
      </c>
      <c r="AD372" s="1" t="str">
        <f>"96/12/20"</f>
        <v>96/12/20</v>
      </c>
      <c r="AE372" s="1" t="str">
        <f>"اختتام"</f>
        <v>اختتام</v>
      </c>
      <c r="AF372" s="1" t="str">
        <f>""</f>
        <v/>
      </c>
      <c r="AG372" s="1" t="str">
        <f>""</f>
        <v/>
      </c>
      <c r="AH372" s="1" t="str">
        <f>""</f>
        <v/>
      </c>
      <c r="AI372" s="1" t="str">
        <f>""</f>
        <v/>
      </c>
      <c r="AJ372" s="1" t="str">
        <f>""</f>
        <v/>
      </c>
      <c r="AK372" s="1" t="str">
        <f>""</f>
        <v/>
      </c>
    </row>
    <row r="373" spans="1:37">
      <c r="A373" s="1">
        <v>37230</v>
      </c>
      <c r="B373" s="1">
        <v>962000431</v>
      </c>
      <c r="C373" s="1" t="str">
        <f>"تخليه -اصفهان -شهرستان خوروبيابانك -کارخانه آسفالت رحيمي"</f>
        <v>تخليه -اصفهان -شهرستان خوروبيابانك -کارخانه آسفالت رحيمي</v>
      </c>
      <c r="D373" s="1">
        <v>12820</v>
      </c>
      <c r="E373" s="1">
        <v>37230</v>
      </c>
      <c r="F373" s="1">
        <v>96</v>
      </c>
      <c r="G373" s="1">
        <v>0</v>
      </c>
      <c r="H373" s="1" t="str">
        <f>"96/09/20"</f>
        <v>96/09/20</v>
      </c>
      <c r="I373" s="1" t="str">
        <f>"كيلوگرم"</f>
        <v>كيلوگرم</v>
      </c>
      <c r="J373" s="1" t="str">
        <f>"0000000076"</f>
        <v>0000000076</v>
      </c>
      <c r="K373" s="1" t="str">
        <f>"قير 60/70 - فله"</f>
        <v>قير 60/70 - فله</v>
      </c>
      <c r="L373" s="1">
        <v>100</v>
      </c>
      <c r="M373" s="1" t="str">
        <f>"مخازن قير اصفهان"</f>
        <v>مخازن قير اصفهان</v>
      </c>
      <c r="N373" s="1">
        <v>10122</v>
      </c>
      <c r="O373" s="1">
        <v>50037753</v>
      </c>
      <c r="P373" s="1" t="str">
        <f>"  شهرداري فرخي"</f>
        <v xml:space="preserve">  شهرداري فرخي</v>
      </c>
      <c r="Q373" s="1">
        <v>20</v>
      </c>
      <c r="R373" s="1" t="str">
        <f>"فروش داخلي - سازمان شهرداري ها و دهياري هاي كشور"</f>
        <v>فروش داخلي - سازمان شهرداري ها و دهياري هاي كشور</v>
      </c>
      <c r="S373" s="1" t="str">
        <f>"قرارداد فروش"</f>
        <v>قرارداد فروش</v>
      </c>
      <c r="T373" s="1" t="str">
        <f>"ندارد"</f>
        <v>ندارد</v>
      </c>
      <c r="U373" s="1" t="str">
        <f>"تعاوني جم گستر (1001 ج 89)"</f>
        <v>تعاوني جم گستر (1001 ج 89)</v>
      </c>
      <c r="V373" s="1">
        <v>962000431</v>
      </c>
      <c r="W373" s="1">
        <v>962000431</v>
      </c>
      <c r="X373" s="1" t="str">
        <f>"1396529711"</f>
        <v>1396529711</v>
      </c>
      <c r="Y373" s="1" t="str">
        <f>"96/09/20"</f>
        <v>96/09/20</v>
      </c>
      <c r="Z373" s="1" t="str">
        <f>"37187مرحله دوم"</f>
        <v>37187مرحله دوم</v>
      </c>
      <c r="AA373" s="1" t="str">
        <f>"شهرداريها"</f>
        <v>شهرداريها</v>
      </c>
      <c r="AB373" s="1" t="str">
        <f>"96/09/05"</f>
        <v>96/09/05</v>
      </c>
      <c r="AC373" s="1" t="str">
        <f>"استان اصفهان"</f>
        <v>استان اصفهان</v>
      </c>
      <c r="AD373" s="1" t="str">
        <f>"96/09/13"</f>
        <v>96/09/13</v>
      </c>
      <c r="AE373" s="1" t="str">
        <f>"تاييدشده"</f>
        <v>تاييدشده</v>
      </c>
      <c r="AF373" s="1" t="str">
        <f>""</f>
        <v/>
      </c>
      <c r="AG373" s="1" t="str">
        <f>""</f>
        <v/>
      </c>
      <c r="AH373" s="1" t="str">
        <f>""</f>
        <v/>
      </c>
      <c r="AI373" s="1" t="str">
        <f>""</f>
        <v/>
      </c>
      <c r="AJ373" s="1" t="str">
        <f>""</f>
        <v/>
      </c>
      <c r="AK373" s="1" t="str">
        <f>""</f>
        <v/>
      </c>
    </row>
    <row r="374" spans="1:37">
      <c r="A374" s="1">
        <v>191000</v>
      </c>
      <c r="B374" s="1">
        <v>966200763</v>
      </c>
      <c r="C374" s="1" t="str">
        <f>"تخليه-کيلومتر 18 جاده يزد-بافق"</f>
        <v>تخليه-کيلومتر 18 جاده يزد-بافق</v>
      </c>
      <c r="D374" s="1">
        <v>13350</v>
      </c>
      <c r="E374" s="1">
        <v>191000</v>
      </c>
      <c r="F374" s="1">
        <v>96</v>
      </c>
      <c r="G374" s="1">
        <v>0</v>
      </c>
      <c r="H374" s="1" t="str">
        <f>"96/12/27"</f>
        <v>96/12/27</v>
      </c>
      <c r="I374" s="1" t="str">
        <f>"كيلوگرم"</f>
        <v>كيلوگرم</v>
      </c>
      <c r="J374" s="1" t="str">
        <f>"0000000076"</f>
        <v>0000000076</v>
      </c>
      <c r="K374" s="1" t="str">
        <f>"قير 60/70 - فله"</f>
        <v>قير 60/70 - فله</v>
      </c>
      <c r="L374" s="1">
        <v>100</v>
      </c>
      <c r="M374" s="1" t="str">
        <f>"مخازن قير اصفهان"</f>
        <v>مخازن قير اصفهان</v>
      </c>
      <c r="N374" s="1">
        <v>10148</v>
      </c>
      <c r="O374" s="1">
        <v>50039133</v>
      </c>
      <c r="P374" s="1" t="str">
        <f>"  مشکين راه يزد"</f>
        <v xml:space="preserve">  مشکين راه يزد</v>
      </c>
      <c r="Q374" s="1">
        <v>62</v>
      </c>
      <c r="R374" s="1" t="str">
        <f>"فروش داخلي - سازمان بنيادمسكن انقلاب اسلامي"</f>
        <v>فروش داخلي - سازمان بنيادمسكن انقلاب اسلامي</v>
      </c>
      <c r="S374" s="1" t="str">
        <f>"قرارداد فروش"</f>
        <v>قرارداد فروش</v>
      </c>
      <c r="T374" s="1" t="str">
        <f>"ندارد"</f>
        <v>ندارد</v>
      </c>
      <c r="U374" s="1" t="str">
        <f>"عزيزي صفر(1006ج 89)"</f>
        <v>عزيزي صفر(1006ج 89)</v>
      </c>
      <c r="V374" s="1">
        <v>966200763</v>
      </c>
      <c r="W374" s="1">
        <v>966200763</v>
      </c>
      <c r="X374" s="1" t="str">
        <f>"1396555465"</f>
        <v>1396555465</v>
      </c>
      <c r="Y374" s="1" t="str">
        <f>"96/12/27"</f>
        <v>96/12/27</v>
      </c>
      <c r="Z374" s="1" t="str">
        <f>"60176/د"</f>
        <v>60176/د</v>
      </c>
      <c r="AA374" s="1" t="str">
        <f>"بنيادمسكن انقلاب اسلامي"</f>
        <v>بنيادمسكن انقلاب اسلامي</v>
      </c>
      <c r="AB374" s="1" t="str">
        <f>"96/12/27"</f>
        <v>96/12/27</v>
      </c>
      <c r="AC374" s="1" t="str">
        <f>"استان يزد"</f>
        <v>استان يزد</v>
      </c>
      <c r="AD374" s="1" t="str">
        <f>"96/12/27"</f>
        <v>96/12/27</v>
      </c>
      <c r="AE374" s="1" t="str">
        <f>"اختتام"</f>
        <v>اختتام</v>
      </c>
      <c r="AF374" s="1" t="str">
        <f>""</f>
        <v/>
      </c>
      <c r="AG374" s="1" t="str">
        <f>""</f>
        <v/>
      </c>
      <c r="AH374" s="1" t="str">
        <f>""</f>
        <v/>
      </c>
      <c r="AI374" s="1" t="str">
        <f>""</f>
        <v/>
      </c>
      <c r="AJ374" s="1" t="str">
        <f>""</f>
        <v/>
      </c>
      <c r="AK374" s="1" t="str">
        <f>""</f>
        <v/>
      </c>
    </row>
    <row r="375" spans="1:37">
      <c r="A375" s="1">
        <v>71205</v>
      </c>
      <c r="B375" s="1">
        <v>962000253</v>
      </c>
      <c r="C375" s="1" t="str">
        <f>"تخليه خراسان جنوبي شهرستان درميان 5كيلومتري اسديه به سمت طبس مسيناكارخانه آسفالت شهرداري اسديه"</f>
        <v>تخليه خراسان جنوبي شهرستان درميان 5كيلومتري اسديه به سمت طبس مسيناكارخانه آسفالت شهرداري اسديه</v>
      </c>
      <c r="D375" s="1">
        <v>9113</v>
      </c>
      <c r="E375" s="1">
        <v>71205</v>
      </c>
      <c r="F375" s="1">
        <v>96</v>
      </c>
      <c r="G375" s="1">
        <v>0</v>
      </c>
      <c r="H375" s="1" t="str">
        <f>"96/09/08"</f>
        <v>96/09/08</v>
      </c>
      <c r="I375" s="1" t="str">
        <f>"كيلوگرم"</f>
        <v>كيلوگرم</v>
      </c>
      <c r="J375" s="1" t="str">
        <f>"0000000076"</f>
        <v>0000000076</v>
      </c>
      <c r="K375" s="1" t="str">
        <f>"قير 60/70 - فله"</f>
        <v>قير 60/70 - فله</v>
      </c>
      <c r="L375" s="1">
        <v>100</v>
      </c>
      <c r="M375" s="1" t="str">
        <f>"مخازن قير اصفهان"</f>
        <v>مخازن قير اصفهان</v>
      </c>
      <c r="N375" s="1">
        <v>10555</v>
      </c>
      <c r="O375" s="1">
        <v>50037382</v>
      </c>
      <c r="P375" s="1" t="str">
        <f>"  شهرداري طبس مسينا"</f>
        <v xml:space="preserve">  شهرداري طبس مسينا</v>
      </c>
      <c r="Q375" s="1">
        <v>20</v>
      </c>
      <c r="R375" s="1" t="str">
        <f>"فروش داخلي - سازمان شهرداري ها و دهياري هاي كشور"</f>
        <v>فروش داخلي - سازمان شهرداري ها و دهياري هاي كشور</v>
      </c>
      <c r="S375" s="1" t="str">
        <f>"قرارداد فروش"</f>
        <v>قرارداد فروش</v>
      </c>
      <c r="T375" s="1" t="str">
        <f>"ندارد"</f>
        <v>ندارد</v>
      </c>
      <c r="U375" s="1" t="str">
        <f>"تعاوني جم گستر (1001 ج 89)"</f>
        <v>تعاوني جم گستر (1001 ج 89)</v>
      </c>
      <c r="V375" s="1">
        <v>962000253</v>
      </c>
      <c r="W375" s="1">
        <v>962000253</v>
      </c>
      <c r="X375" s="1" t="str">
        <f>"1396514467"</f>
        <v>1396514467</v>
      </c>
      <c r="Y375" s="1" t="str">
        <f>"96/09/08"</f>
        <v>96/09/08</v>
      </c>
      <c r="Z375" s="1" t="str">
        <f>"37440مرحله دوم"</f>
        <v>37440مرحله دوم</v>
      </c>
      <c r="AA375" s="1" t="str">
        <f>"شهرداريها"</f>
        <v>شهرداريها</v>
      </c>
      <c r="AB375" s="1" t="str">
        <f>"96/09/05"</f>
        <v>96/09/05</v>
      </c>
      <c r="AC375" s="1" t="str">
        <f>"خراسان جنوبي"</f>
        <v>خراسان جنوبي</v>
      </c>
      <c r="AD375" s="1" t="str">
        <f>"96/07/03"</f>
        <v>96/07/03</v>
      </c>
      <c r="AE375" s="1" t="str">
        <f>"اختتام"</f>
        <v>اختتام</v>
      </c>
      <c r="AF375" s="1" t="str">
        <f>""</f>
        <v/>
      </c>
      <c r="AG375" s="1" t="str">
        <f>""</f>
        <v/>
      </c>
      <c r="AH375" s="1" t="str">
        <f>""</f>
        <v/>
      </c>
      <c r="AI375" s="1" t="str">
        <f>""</f>
        <v/>
      </c>
      <c r="AJ375" s="1" t="str">
        <f>""</f>
        <v/>
      </c>
      <c r="AK375" s="1" t="str">
        <f>""</f>
        <v/>
      </c>
    </row>
    <row r="376" spans="1:37">
      <c r="A376" s="1">
        <v>36552</v>
      </c>
      <c r="B376" s="1">
        <v>962000457</v>
      </c>
      <c r="C376" s="1" t="str">
        <f>"تخليه -كاشان كيلومتر17جاده قمصر-شركت بتن آسفالت مهر"</f>
        <v>تخليه -كاشان كيلومتر17جاده قمصر-شركت بتن آسفالت مهر</v>
      </c>
      <c r="D376" s="1">
        <v>12820</v>
      </c>
      <c r="E376" s="1">
        <v>36552</v>
      </c>
      <c r="F376" s="1">
        <v>96</v>
      </c>
      <c r="G376" s="1">
        <v>0</v>
      </c>
      <c r="H376" s="1" t="str">
        <f>"96/09/20"</f>
        <v>96/09/20</v>
      </c>
      <c r="I376" s="1" t="str">
        <f>"كيلوگرم"</f>
        <v>كيلوگرم</v>
      </c>
      <c r="J376" s="1" t="str">
        <f>"0000000076"</f>
        <v>0000000076</v>
      </c>
      <c r="K376" s="1" t="str">
        <f>"قير 60/70 - فله"</f>
        <v>قير 60/70 - فله</v>
      </c>
      <c r="L376" s="1">
        <v>100</v>
      </c>
      <c r="M376" s="1" t="str">
        <f>"مخازن قير اصفهان"</f>
        <v>مخازن قير اصفهان</v>
      </c>
      <c r="N376" s="1">
        <v>10656</v>
      </c>
      <c r="O376" s="1">
        <v>50037779</v>
      </c>
      <c r="P376" s="1" t="str">
        <f>"  شهرداري برزك"</f>
        <v xml:space="preserve">  شهرداري برزك</v>
      </c>
      <c r="Q376" s="1">
        <v>20</v>
      </c>
      <c r="R376" s="1" t="str">
        <f>"فروش داخلي - سازمان شهرداري ها و دهياري هاي كشور"</f>
        <v>فروش داخلي - سازمان شهرداري ها و دهياري هاي كشور</v>
      </c>
      <c r="S376" s="1" t="str">
        <f>"قرارداد فروش"</f>
        <v>قرارداد فروش</v>
      </c>
      <c r="T376" s="1" t="str">
        <f>"ندارد"</f>
        <v>ندارد</v>
      </c>
      <c r="U376" s="1" t="str">
        <f>"تعاوني جم گستر (1001 ج 89)"</f>
        <v>تعاوني جم گستر (1001 ج 89)</v>
      </c>
      <c r="V376" s="1">
        <v>962000457</v>
      </c>
      <c r="W376" s="1">
        <v>962000457</v>
      </c>
      <c r="X376" s="1" t="str">
        <f>"1396529711"</f>
        <v>1396529711</v>
      </c>
      <c r="Y376" s="1" t="str">
        <f>"96/09/20"</f>
        <v>96/09/20</v>
      </c>
      <c r="Z376" s="1" t="str">
        <f>"37113مرحله دوم"</f>
        <v>37113مرحله دوم</v>
      </c>
      <c r="AA376" s="1" t="str">
        <f>"شهرداريها"</f>
        <v>شهرداريها</v>
      </c>
      <c r="AB376" s="1" t="str">
        <f>"96/09/04"</f>
        <v>96/09/04</v>
      </c>
      <c r="AC376" s="1" t="str">
        <f>"استان اصفهان"</f>
        <v>استان اصفهان</v>
      </c>
      <c r="AD376" s="1" t="str">
        <f>"96/09/13"</f>
        <v>96/09/13</v>
      </c>
      <c r="AE376" s="1" t="str">
        <f>"اختتام"</f>
        <v>اختتام</v>
      </c>
      <c r="AF376" s="1" t="str">
        <f>""</f>
        <v/>
      </c>
      <c r="AG376" s="1" t="str">
        <f>""</f>
        <v/>
      </c>
      <c r="AH376" s="1" t="str">
        <f>""</f>
        <v/>
      </c>
      <c r="AI376" s="1" t="str">
        <f>""</f>
        <v/>
      </c>
      <c r="AJ376" s="1" t="str">
        <f>""</f>
        <v/>
      </c>
      <c r="AK376" s="1" t="str">
        <f>""</f>
        <v/>
      </c>
    </row>
    <row r="377" spans="1:37">
      <c r="A377" s="1">
        <v>146730</v>
      </c>
      <c r="B377" s="1">
        <v>962000117</v>
      </c>
      <c r="C377" s="1" t="str">
        <f>"تخليه بوشهرخورموج كارخانه آسفالت جلالي"</f>
        <v>تخليه بوشهرخورموج كارخانه آسفالت جلالي</v>
      </c>
      <c r="D377" s="1">
        <v>9113</v>
      </c>
      <c r="E377" s="1">
        <v>146730</v>
      </c>
      <c r="F377" s="1">
        <v>96</v>
      </c>
      <c r="G377" s="1">
        <v>0</v>
      </c>
      <c r="H377" s="1" t="str">
        <f>"96/07/03"</f>
        <v>96/07/03</v>
      </c>
      <c r="I377" s="1" t="str">
        <f>"كيلوگرم"</f>
        <v>كيلوگرم</v>
      </c>
      <c r="J377" s="1" t="str">
        <f>"0000000076"</f>
        <v>0000000076</v>
      </c>
      <c r="K377" s="1" t="str">
        <f>"قير 60/70 - فله"</f>
        <v>قير 60/70 - فله</v>
      </c>
      <c r="L377" s="1">
        <v>100</v>
      </c>
      <c r="M377" s="1" t="str">
        <f>"مخازن قير اصفهان"</f>
        <v>مخازن قير اصفهان</v>
      </c>
      <c r="N377" s="1">
        <v>10910</v>
      </c>
      <c r="O377" s="1">
        <v>50036284</v>
      </c>
      <c r="P377" s="1" t="str">
        <f>"  شهرداري عاليشهر"</f>
        <v xml:space="preserve">  شهرداري عاليشهر</v>
      </c>
      <c r="Q377" s="1">
        <v>20</v>
      </c>
      <c r="R377" s="1" t="str">
        <f>"فروش داخلي - سازمان شهرداري ها و دهياري هاي كشور"</f>
        <v>فروش داخلي - سازمان شهرداري ها و دهياري هاي كشور</v>
      </c>
      <c r="S377" s="1" t="str">
        <f>"قرارداد فروش"</f>
        <v>قرارداد فروش</v>
      </c>
      <c r="T377" s="1" t="str">
        <f>"ندارد"</f>
        <v>ندارد</v>
      </c>
      <c r="U377" s="1" t="str">
        <f>"تعاوني جم گستر (1001 ج 89)"</f>
        <v>تعاوني جم گستر (1001 ج 89)</v>
      </c>
      <c r="V377" s="1">
        <v>962000117</v>
      </c>
      <c r="W377" s="1">
        <v>962000117</v>
      </c>
      <c r="X377" s="1" t="str">
        <f>"1396514467"</f>
        <v>1396514467</v>
      </c>
      <c r="Y377" s="1" t="str">
        <f>"96/07/03"</f>
        <v>96/07/03</v>
      </c>
      <c r="Z377" s="1" t="str">
        <f>"26759مرحله اول"</f>
        <v>26759مرحله اول</v>
      </c>
      <c r="AA377" s="1" t="str">
        <f>"شهرداريها"</f>
        <v>شهرداريها</v>
      </c>
      <c r="AB377" s="1" t="str">
        <f>"96/06/29"</f>
        <v>96/06/29</v>
      </c>
      <c r="AC377" s="1" t="str">
        <f>"بوشهر"</f>
        <v>بوشهر</v>
      </c>
      <c r="AD377" s="1" t="str">
        <f>"96/07/03"</f>
        <v>96/07/03</v>
      </c>
      <c r="AE377" s="1" t="str">
        <f>"تاييدشده"</f>
        <v>تاييدشده</v>
      </c>
      <c r="AF377" s="1" t="str">
        <f>""</f>
        <v/>
      </c>
      <c r="AG377" s="1" t="str">
        <f>""</f>
        <v/>
      </c>
      <c r="AH377" s="1" t="str">
        <f>""</f>
        <v/>
      </c>
      <c r="AI377" s="1" t="str">
        <f>""</f>
        <v/>
      </c>
      <c r="AJ377" s="1" t="str">
        <f>""</f>
        <v/>
      </c>
      <c r="AK377" s="1" t="str">
        <f>""</f>
        <v/>
      </c>
    </row>
    <row r="378" spans="1:37">
      <c r="A378" s="1">
        <v>102640</v>
      </c>
      <c r="B378" s="1">
        <v>962000110</v>
      </c>
      <c r="C378" s="1" t="str">
        <f>"تخليه -بوشهر-جزيره خارك كارخانه آسفالت شهرداري"</f>
        <v>تخليه -بوشهر-جزيره خارك كارخانه آسفالت شهرداري</v>
      </c>
      <c r="D378" s="1">
        <v>9113</v>
      </c>
      <c r="E378" s="1">
        <v>102640</v>
      </c>
      <c r="F378" s="1">
        <v>96</v>
      </c>
      <c r="G378" s="1">
        <v>0</v>
      </c>
      <c r="H378" s="1" t="str">
        <f>"96/07/03"</f>
        <v>96/07/03</v>
      </c>
      <c r="I378" s="1" t="str">
        <f>"كيلوگرم"</f>
        <v>كيلوگرم</v>
      </c>
      <c r="J378" s="1" t="str">
        <f>"0000000076"</f>
        <v>0000000076</v>
      </c>
      <c r="K378" s="1" t="str">
        <f>"قير 60/70 - فله"</f>
        <v>قير 60/70 - فله</v>
      </c>
      <c r="L378" s="1">
        <v>100</v>
      </c>
      <c r="M378" s="1" t="str">
        <f>"مخازن قير اصفهان"</f>
        <v>مخازن قير اصفهان</v>
      </c>
      <c r="N378" s="1">
        <v>10923</v>
      </c>
      <c r="O378" s="1">
        <v>50036270</v>
      </c>
      <c r="P378" s="1" t="str">
        <f>"  شهرداري خارگ"</f>
        <v xml:space="preserve">  شهرداري خارگ</v>
      </c>
      <c r="Q378" s="1">
        <v>20</v>
      </c>
      <c r="R378" s="1" t="str">
        <f>"فروش داخلي - سازمان شهرداري ها و دهياري هاي كشور"</f>
        <v>فروش داخلي - سازمان شهرداري ها و دهياري هاي كشور</v>
      </c>
      <c r="S378" s="1" t="str">
        <f>"قرارداد فروش"</f>
        <v>قرارداد فروش</v>
      </c>
      <c r="T378" s="1" t="str">
        <f>"ندارد"</f>
        <v>ندارد</v>
      </c>
      <c r="U378" s="1" t="str">
        <f>"تعاوني جم گستر (1001 ج 89)"</f>
        <v>تعاوني جم گستر (1001 ج 89)</v>
      </c>
      <c r="V378" s="1">
        <v>962000110</v>
      </c>
      <c r="W378" s="1">
        <v>962000110</v>
      </c>
      <c r="X378" s="1" t="str">
        <f>"1396514467"</f>
        <v>1396514467</v>
      </c>
      <c r="Y378" s="1" t="str">
        <f>"96/07/03"</f>
        <v>96/07/03</v>
      </c>
      <c r="Z378" s="1" t="str">
        <f>"26837مرحله اول"</f>
        <v>26837مرحله اول</v>
      </c>
      <c r="AA378" s="1" t="str">
        <f>"شهرداريها"</f>
        <v>شهرداريها</v>
      </c>
      <c r="AB378" s="1" t="str">
        <f>"96/06/29"</f>
        <v>96/06/29</v>
      </c>
      <c r="AC378" s="1" t="str">
        <f>"بوشهر"</f>
        <v>بوشهر</v>
      </c>
      <c r="AD378" s="1" t="str">
        <f>"96/07/03"</f>
        <v>96/07/03</v>
      </c>
      <c r="AE378" s="1" t="str">
        <f>"تاييدشده"</f>
        <v>تاييدشده</v>
      </c>
      <c r="AF378" s="1" t="str">
        <f>""</f>
        <v/>
      </c>
      <c r="AG378" s="1" t="str">
        <f>""</f>
        <v/>
      </c>
      <c r="AH378" s="1" t="str">
        <f>""</f>
        <v/>
      </c>
      <c r="AI378" s="1" t="str">
        <f>""</f>
        <v/>
      </c>
      <c r="AJ378" s="1" t="str">
        <f>""</f>
        <v/>
      </c>
      <c r="AK378" s="1" t="str">
        <f>""</f>
        <v/>
      </c>
    </row>
    <row r="379" spans="1:37">
      <c r="A379" s="1">
        <v>42000</v>
      </c>
      <c r="B379" s="1">
        <v>966200473</v>
      </c>
      <c r="C379" s="1" t="str">
        <f>"تخليه -كهگيلويه وبويراحمد-ياسوج جاده اصفهان كارخانه آسفالت جوكار"</f>
        <v>تخليه -كهگيلويه وبويراحمد-ياسوج جاده اصفهان كارخانه آسفالت جوكار</v>
      </c>
      <c r="D379" s="1">
        <v>12820</v>
      </c>
      <c r="E379" s="1">
        <v>42000</v>
      </c>
      <c r="F379" s="1">
        <v>96</v>
      </c>
      <c r="G379" s="1">
        <v>0</v>
      </c>
      <c r="H379" s="1" t="str">
        <f>"96/09/27"</f>
        <v>96/09/27</v>
      </c>
      <c r="I379" s="1" t="str">
        <f>"كيلوگرم"</f>
        <v>كيلوگرم</v>
      </c>
      <c r="J379" s="1" t="str">
        <f>"0000000076"</f>
        <v>0000000076</v>
      </c>
      <c r="K379" s="1" t="str">
        <f>"قير 60/70 - فله"</f>
        <v>قير 60/70 - فله</v>
      </c>
      <c r="L379" s="1">
        <v>100</v>
      </c>
      <c r="M379" s="1" t="str">
        <f>"مخازن قير اصفهان"</f>
        <v>مخازن قير اصفهان</v>
      </c>
      <c r="N379" s="1">
        <v>10938</v>
      </c>
      <c r="O379" s="1">
        <v>50037918</v>
      </c>
      <c r="P379" s="1" t="str">
        <f>"  عمران صنعت چناران"</f>
        <v xml:space="preserve">  عمران صنعت چناران</v>
      </c>
      <c r="Q379" s="1">
        <v>62</v>
      </c>
      <c r="R379" s="1" t="str">
        <f>"فروش داخلي - سازمان بنيادمسكن انقلاب اسلامي"</f>
        <v>فروش داخلي - سازمان بنيادمسكن انقلاب اسلامي</v>
      </c>
      <c r="S379" s="1" t="str">
        <f>"قرارداد فروش"</f>
        <v>قرارداد فروش</v>
      </c>
      <c r="T379" s="1" t="str">
        <f>"ندارد"</f>
        <v>ندارد</v>
      </c>
      <c r="U379" s="1" t="str">
        <f>"غلام نجفي سيامك‌‌‌‌‌‌(1881082)"</f>
        <v>غلام نجفي سيامك‌‌‌‌‌‌(1881082)</v>
      </c>
      <c r="V379" s="1">
        <v>966200473</v>
      </c>
      <c r="W379" s="1">
        <v>966200473</v>
      </c>
      <c r="X379" s="1" t="str">
        <f>"1396533043"</f>
        <v>1396533043</v>
      </c>
      <c r="Y379" s="1" t="str">
        <f>"96/09/27"</f>
        <v>96/09/27</v>
      </c>
      <c r="Z379" s="1" t="str">
        <f>"42438/د"</f>
        <v>42438/د</v>
      </c>
      <c r="AA379" s="1" t="str">
        <f>"بنيادمسكن انقلاب اسلامي"</f>
        <v>بنيادمسكن انقلاب اسلامي</v>
      </c>
      <c r="AB379" s="1" t="str">
        <f>"96/09/26"</f>
        <v>96/09/26</v>
      </c>
      <c r="AC379" s="1" t="str">
        <f>"كهكيلويه و بوير احمد"</f>
        <v>كهكيلويه و بوير احمد</v>
      </c>
      <c r="AD379" s="1" t="str">
        <f>"96/09/27"</f>
        <v>96/09/27</v>
      </c>
      <c r="AE379" s="1" t="str">
        <f>"اختتام"</f>
        <v>اختتام</v>
      </c>
      <c r="AF379" s="1" t="str">
        <f>""</f>
        <v/>
      </c>
      <c r="AG379" s="1" t="str">
        <f>""</f>
        <v/>
      </c>
      <c r="AH379" s="1" t="str">
        <f>""</f>
        <v/>
      </c>
      <c r="AI379" s="1" t="str">
        <f>""</f>
        <v/>
      </c>
      <c r="AJ379" s="1" t="str">
        <f>""</f>
        <v/>
      </c>
      <c r="AK379" s="1" t="str">
        <f>""</f>
        <v/>
      </c>
    </row>
    <row r="380" spans="1:37">
      <c r="A380" s="1">
        <v>106000</v>
      </c>
      <c r="B380" s="1">
        <v>966200474</v>
      </c>
      <c r="C380" s="1" t="str">
        <f>"تخليه كهگيلويه ياسوج پليس راه ياسوج اصفهان كارخانه آسفالت زارع"</f>
        <v>تخليه كهگيلويه ياسوج پليس راه ياسوج اصفهان كارخانه آسفالت زارع</v>
      </c>
      <c r="D380" s="1">
        <v>12820</v>
      </c>
      <c r="E380" s="1">
        <v>105220</v>
      </c>
      <c r="F380" s="1">
        <v>96</v>
      </c>
      <c r="G380" s="1">
        <v>780</v>
      </c>
      <c r="H380" s="1" t="str">
        <f>"96/09/27"</f>
        <v>96/09/27</v>
      </c>
      <c r="I380" s="1" t="str">
        <f>"كيلوگرم"</f>
        <v>كيلوگرم</v>
      </c>
      <c r="J380" s="1" t="str">
        <f>"0000000076"</f>
        <v>0000000076</v>
      </c>
      <c r="K380" s="1" t="str">
        <f>"قير 60/70 - فله"</f>
        <v>قير 60/70 - فله</v>
      </c>
      <c r="L380" s="1">
        <v>100</v>
      </c>
      <c r="M380" s="1" t="str">
        <f>"مخازن قير اصفهان"</f>
        <v>مخازن قير اصفهان</v>
      </c>
      <c r="N380" s="1">
        <v>10938</v>
      </c>
      <c r="O380" s="1">
        <v>50037919</v>
      </c>
      <c r="P380" s="1" t="str">
        <f>"  عمران صنعت چناران"</f>
        <v xml:space="preserve">  عمران صنعت چناران</v>
      </c>
      <c r="Q380" s="1">
        <v>62</v>
      </c>
      <c r="R380" s="1" t="str">
        <f>"فروش داخلي - سازمان بنيادمسكن انقلاب اسلامي"</f>
        <v>فروش داخلي - سازمان بنيادمسكن انقلاب اسلامي</v>
      </c>
      <c r="S380" s="1" t="str">
        <f>"قرارداد فروش"</f>
        <v>قرارداد فروش</v>
      </c>
      <c r="T380" s="1" t="str">
        <f>"ندارد"</f>
        <v>ندارد</v>
      </c>
      <c r="U380" s="1" t="str">
        <f>"غلام نجفي سيامك‌‌‌‌‌‌(1881082)"</f>
        <v>غلام نجفي سيامك‌‌‌‌‌‌(1881082)</v>
      </c>
      <c r="V380" s="1">
        <v>966200474</v>
      </c>
      <c r="W380" s="1">
        <v>966200474</v>
      </c>
      <c r="X380" s="1" t="str">
        <f>"1396533043"</f>
        <v>1396533043</v>
      </c>
      <c r="Y380" s="1" t="str">
        <f>"96/09/27"</f>
        <v>96/09/27</v>
      </c>
      <c r="Z380" s="1" t="str">
        <f>"42447/د"</f>
        <v>42447/د</v>
      </c>
      <c r="AA380" s="1" t="str">
        <f>"بنيادمسكن انقلاب اسلامي"</f>
        <v>بنيادمسكن انقلاب اسلامي</v>
      </c>
      <c r="AB380" s="1" t="str">
        <f>"96/09/26"</f>
        <v>96/09/26</v>
      </c>
      <c r="AC380" s="1" t="str">
        <f>"كهكيلويه و بوير احمد"</f>
        <v>كهكيلويه و بوير احمد</v>
      </c>
      <c r="AD380" s="1" t="str">
        <f>"96/09/27"</f>
        <v>96/09/27</v>
      </c>
      <c r="AE380" s="1" t="str">
        <f>"اختتام"</f>
        <v>اختتام</v>
      </c>
      <c r="AF380" s="1" t="str">
        <f>""</f>
        <v/>
      </c>
      <c r="AG380" s="1" t="str">
        <f>""</f>
        <v/>
      </c>
      <c r="AH380" s="1" t="str">
        <f>""</f>
        <v/>
      </c>
      <c r="AI380" s="1" t="str">
        <f>""</f>
        <v/>
      </c>
      <c r="AJ380" s="1" t="str">
        <f>""</f>
        <v/>
      </c>
      <c r="AK380" s="1" t="str">
        <f>""</f>
        <v/>
      </c>
    </row>
    <row r="381" spans="1:37">
      <c r="A381" s="1">
        <v>138545</v>
      </c>
      <c r="B381" s="1">
        <v>962000207</v>
      </c>
      <c r="C381" s="1" t="str">
        <f>"تخليه كهگيلويه وبويراحمدشهرپاتاوه كارخانه آسفالت آرامش دارشاهي"</f>
        <v>تخليه كهگيلويه وبويراحمدشهرپاتاوه كارخانه آسفالت آرامش دارشاهي</v>
      </c>
      <c r="D381" s="1">
        <v>9113</v>
      </c>
      <c r="E381" s="1">
        <v>138545</v>
      </c>
      <c r="F381" s="1">
        <v>96</v>
      </c>
      <c r="G381" s="1">
        <v>0</v>
      </c>
      <c r="H381" s="1" t="str">
        <f>"96/07/03"</f>
        <v>96/07/03</v>
      </c>
      <c r="I381" s="1" t="str">
        <f>"كيلوگرم"</f>
        <v>كيلوگرم</v>
      </c>
      <c r="J381" s="1" t="str">
        <f>"0000000076"</f>
        <v>0000000076</v>
      </c>
      <c r="K381" s="1" t="str">
        <f>"قير 60/70 - فله"</f>
        <v>قير 60/70 - فله</v>
      </c>
      <c r="L381" s="1">
        <v>100</v>
      </c>
      <c r="M381" s="1" t="str">
        <f>"مخازن قير اصفهان"</f>
        <v>مخازن قير اصفهان</v>
      </c>
      <c r="N381" s="1">
        <v>10779</v>
      </c>
      <c r="O381" s="1">
        <v>50036440</v>
      </c>
      <c r="P381" s="1" t="str">
        <f>"  شهرداري پاتاوه"</f>
        <v xml:space="preserve">  شهرداري پاتاوه</v>
      </c>
      <c r="Q381" s="1">
        <v>20</v>
      </c>
      <c r="R381" s="1" t="str">
        <f>"فروش داخلي - سازمان شهرداري ها و دهياري هاي كشور"</f>
        <v>فروش داخلي - سازمان شهرداري ها و دهياري هاي كشور</v>
      </c>
      <c r="S381" s="1" t="str">
        <f>"قرارداد فروش"</f>
        <v>قرارداد فروش</v>
      </c>
      <c r="T381" s="1" t="str">
        <f>"ندارد"</f>
        <v>ندارد</v>
      </c>
      <c r="U381" s="1" t="str">
        <f>"تعاوني جم گستر (1001 ج 89)"</f>
        <v>تعاوني جم گستر (1001 ج 89)</v>
      </c>
      <c r="V381" s="1">
        <v>962000207</v>
      </c>
      <c r="W381" s="1">
        <v>962000207</v>
      </c>
      <c r="X381" s="1" t="str">
        <f>"1396514467"</f>
        <v>1396514467</v>
      </c>
      <c r="Y381" s="1" t="str">
        <f>"96/07/03"</f>
        <v>96/07/03</v>
      </c>
      <c r="Z381" s="1" t="str">
        <f>"26746مرحله اول"</f>
        <v>26746مرحله اول</v>
      </c>
      <c r="AA381" s="1" t="str">
        <f>"شهرداريها"</f>
        <v>شهرداريها</v>
      </c>
      <c r="AB381" s="1" t="str">
        <f>"96/06/29"</f>
        <v>96/06/29</v>
      </c>
      <c r="AC381" s="1" t="str">
        <f>"كهكيلويه و بوير احمد"</f>
        <v>كهكيلويه و بوير احمد</v>
      </c>
      <c r="AD381" s="1" t="str">
        <f>"96/07/03"</f>
        <v>96/07/03</v>
      </c>
      <c r="AE381" s="1" t="str">
        <f>"تاييدشده"</f>
        <v>تاييدشده</v>
      </c>
      <c r="AF381" s="1" t="str">
        <f>""</f>
        <v/>
      </c>
      <c r="AG381" s="1" t="str">
        <f>""</f>
        <v/>
      </c>
      <c r="AH381" s="1" t="str">
        <f>""</f>
        <v/>
      </c>
      <c r="AI381" s="1" t="str">
        <f>""</f>
        <v/>
      </c>
      <c r="AJ381" s="1" t="str">
        <f>""</f>
        <v/>
      </c>
      <c r="AK381" s="1" t="str">
        <f>""</f>
        <v/>
      </c>
    </row>
    <row r="382" spans="1:37">
      <c r="A382" s="1">
        <v>458000</v>
      </c>
      <c r="B382" s="1">
        <v>966200501</v>
      </c>
      <c r="C382" s="1" t="str">
        <f>"تخليه - کرمانشاه-نرسيده به دوراهي نهاوند-کارخانه فراگير ملي مهرالوند هگمتانه"</f>
        <v>تخليه - کرمانشاه-نرسيده به دوراهي نهاوند-کارخانه فراگير ملي مهرالوند هگمتانه</v>
      </c>
      <c r="D382" s="1">
        <v>12850</v>
      </c>
      <c r="E382" s="1">
        <v>458000</v>
      </c>
      <c r="F382" s="1">
        <v>96</v>
      </c>
      <c r="G382" s="1">
        <v>0</v>
      </c>
      <c r="H382" s="1" t="str">
        <f>"96/10/12"</f>
        <v>96/10/12</v>
      </c>
      <c r="I382" s="1" t="str">
        <f>"كيلوگرم"</f>
        <v>كيلوگرم</v>
      </c>
      <c r="J382" s="1" t="str">
        <f>"0000000076"</f>
        <v>0000000076</v>
      </c>
      <c r="K382" s="1" t="str">
        <f>"قير 60/70 - فله"</f>
        <v>قير 60/70 - فله</v>
      </c>
      <c r="L382" s="1">
        <v>100</v>
      </c>
      <c r="M382" s="1" t="str">
        <f>"مخازن قير اصفهان"</f>
        <v>مخازن قير اصفهان</v>
      </c>
      <c r="N382" s="1">
        <v>11303</v>
      </c>
      <c r="O382" s="1">
        <v>50038034</v>
      </c>
      <c r="P382" s="1" t="str">
        <f>"  برج و پل کيميا"</f>
        <v xml:space="preserve">  برج و پل کيميا</v>
      </c>
      <c r="Q382" s="1">
        <v>62</v>
      </c>
      <c r="R382" s="1" t="str">
        <f>"فروش داخلي - سازمان بنيادمسكن انقلاب اسلامي"</f>
        <v>فروش داخلي - سازمان بنيادمسكن انقلاب اسلامي</v>
      </c>
      <c r="S382" s="1" t="str">
        <f>"قرارداد فروش"</f>
        <v>قرارداد فروش</v>
      </c>
      <c r="T382" s="1" t="str">
        <f>"ندارد"</f>
        <v>ندارد</v>
      </c>
      <c r="U382" s="1" t="str">
        <f>"پيرالي مجيد(1045ج 94)"</f>
        <v>پيرالي مجيد(1045ج 94)</v>
      </c>
      <c r="V382" s="1">
        <v>966200501</v>
      </c>
      <c r="W382" s="1">
        <v>966200501</v>
      </c>
      <c r="X382" s="1" t="str">
        <f>"1396536916"</f>
        <v>1396536916</v>
      </c>
      <c r="Y382" s="1" t="str">
        <f>"96/10/12"</f>
        <v>96/10/12</v>
      </c>
      <c r="Z382" s="1" t="str">
        <f>"45267/د"</f>
        <v>45267/د</v>
      </c>
      <c r="AA382" s="1" t="str">
        <f>"بنيادمسكن انقلاب اسلامي"</f>
        <v>بنيادمسكن انقلاب اسلامي</v>
      </c>
      <c r="AB382" s="1" t="str">
        <f>"96/10/12"</f>
        <v>96/10/12</v>
      </c>
      <c r="AC382" s="1" t="str">
        <f>"استان كرمانشاه"</f>
        <v>استان كرمانشاه</v>
      </c>
      <c r="AD382" s="1" t="str">
        <f>"96/10/12"</f>
        <v>96/10/12</v>
      </c>
      <c r="AE382" s="1" t="str">
        <f>"اختتام"</f>
        <v>اختتام</v>
      </c>
      <c r="AF382" s="1" t="str">
        <f>""</f>
        <v/>
      </c>
      <c r="AG382" s="1" t="str">
        <f>""</f>
        <v/>
      </c>
      <c r="AH382" s="1" t="str">
        <f>""</f>
        <v/>
      </c>
      <c r="AI382" s="1" t="str">
        <f>""</f>
        <v/>
      </c>
      <c r="AJ382" s="1" t="str">
        <f>""</f>
        <v/>
      </c>
      <c r="AK382" s="1" t="str">
        <f>""</f>
        <v/>
      </c>
    </row>
    <row r="383" spans="1:37">
      <c r="A383" s="1">
        <v>35534</v>
      </c>
      <c r="B383" s="1">
        <v>962000416</v>
      </c>
      <c r="C383" s="1" t="str">
        <f>"تخليه اصفهان روبروي پليس راه اصفهان تهران جاده علويجه كيلومتر12كارهانه آسفالت افق راه ماندگار"</f>
        <v>تخليه اصفهان روبروي پليس راه اصفهان تهران جاده علويجه كيلومتر12كارهانه آسفالت افق راه ماندگار</v>
      </c>
      <c r="D383" s="1">
        <v>12820</v>
      </c>
      <c r="E383" s="1">
        <v>34321</v>
      </c>
      <c r="F383" s="1">
        <v>96</v>
      </c>
      <c r="G383" s="1">
        <v>1213</v>
      </c>
      <c r="H383" s="1" t="str">
        <f>"96/09/20"</f>
        <v>96/09/20</v>
      </c>
      <c r="I383" s="1" t="str">
        <f>"كيلوگرم"</f>
        <v>كيلوگرم</v>
      </c>
      <c r="J383" s="1" t="str">
        <f>"0000000076"</f>
        <v>0000000076</v>
      </c>
      <c r="K383" s="1" t="str">
        <f>"قير 60/70 - فله"</f>
        <v>قير 60/70 - فله</v>
      </c>
      <c r="L383" s="1">
        <v>100</v>
      </c>
      <c r="M383" s="1" t="str">
        <f>"مخازن قير اصفهان"</f>
        <v>مخازن قير اصفهان</v>
      </c>
      <c r="N383" s="1">
        <v>10660</v>
      </c>
      <c r="O383" s="1">
        <v>50037729</v>
      </c>
      <c r="P383" s="1" t="str">
        <f>"  شهرداري سين"</f>
        <v xml:space="preserve">  شهرداري سين</v>
      </c>
      <c r="Q383" s="1">
        <v>20</v>
      </c>
      <c r="R383" s="1" t="str">
        <f>"فروش داخلي - سازمان شهرداري ها و دهياري هاي كشور"</f>
        <v>فروش داخلي - سازمان شهرداري ها و دهياري هاي كشور</v>
      </c>
      <c r="S383" s="1" t="str">
        <f>"قرارداد فروش"</f>
        <v>قرارداد فروش</v>
      </c>
      <c r="T383" s="1" t="str">
        <f>"ندارد"</f>
        <v>ندارد</v>
      </c>
      <c r="U383" s="1" t="str">
        <f>"تعاوني جم گستر (1001 ج 89)"</f>
        <v>تعاوني جم گستر (1001 ج 89)</v>
      </c>
      <c r="V383" s="1">
        <v>962000416</v>
      </c>
      <c r="W383" s="1">
        <v>962000416</v>
      </c>
      <c r="X383" s="1" t="str">
        <f>"1396529711"</f>
        <v>1396529711</v>
      </c>
      <c r="Y383" s="1" t="str">
        <f>"96/09/20"</f>
        <v>96/09/20</v>
      </c>
      <c r="Z383" s="1" t="str">
        <f>"37177مرحله دوم"</f>
        <v>37177مرحله دوم</v>
      </c>
      <c r="AA383" s="1" t="str">
        <f>"شهرداريها"</f>
        <v>شهرداريها</v>
      </c>
      <c r="AB383" s="1" t="str">
        <f>"96/09/05"</f>
        <v>96/09/05</v>
      </c>
      <c r="AC383" s="1" t="str">
        <f>"استان اصفهان"</f>
        <v>استان اصفهان</v>
      </c>
      <c r="AD383" s="1" t="str">
        <f>"96/09/13"</f>
        <v>96/09/13</v>
      </c>
      <c r="AE383" s="1" t="str">
        <f>"تاييدشده"</f>
        <v>تاييدشده</v>
      </c>
      <c r="AF383" s="1" t="str">
        <f>""</f>
        <v/>
      </c>
      <c r="AG383" s="1" t="str">
        <f>""</f>
        <v/>
      </c>
      <c r="AH383" s="1" t="str">
        <f>""</f>
        <v/>
      </c>
      <c r="AI383" s="1" t="str">
        <f>""</f>
        <v/>
      </c>
      <c r="AJ383" s="1" t="str">
        <f>""</f>
        <v/>
      </c>
      <c r="AK383" s="1" t="str">
        <f>""</f>
        <v/>
      </c>
    </row>
    <row r="384" spans="1:37">
      <c r="A384" s="1">
        <v>114341</v>
      </c>
      <c r="B384" s="1">
        <v>962000074</v>
      </c>
      <c r="C384" s="1" t="str">
        <f>"تخليه اصفهان جاده سيمان سپاهان شهرك صنعتي اشترجان انتهاي خيابان يازدهم شركت راه آژند"</f>
        <v>تخليه اصفهان جاده سيمان سپاهان شهرك صنعتي اشترجان انتهاي خيابان يازدهم شركت راه آژند</v>
      </c>
      <c r="D384" s="1">
        <v>9113</v>
      </c>
      <c r="E384" s="1">
        <v>114341</v>
      </c>
      <c r="F384" s="1">
        <v>96</v>
      </c>
      <c r="G384" s="1">
        <v>0</v>
      </c>
      <c r="H384" s="1" t="str">
        <f>"96/07/03"</f>
        <v>96/07/03</v>
      </c>
      <c r="I384" s="1" t="str">
        <f>"كيلوگرم"</f>
        <v>كيلوگرم</v>
      </c>
      <c r="J384" s="1" t="str">
        <f>"0000000076"</f>
        <v>0000000076</v>
      </c>
      <c r="K384" s="1" t="str">
        <f>"قير 60/70 - فله"</f>
        <v>قير 60/70 - فله</v>
      </c>
      <c r="L384" s="1">
        <v>100</v>
      </c>
      <c r="M384" s="1" t="str">
        <f>"مخازن قير اصفهان"</f>
        <v>مخازن قير اصفهان</v>
      </c>
      <c r="N384" s="1">
        <v>10666</v>
      </c>
      <c r="O384" s="1">
        <v>50036226</v>
      </c>
      <c r="P384" s="1" t="str">
        <f>"  شهرداري کهريز سنگ"</f>
        <v xml:space="preserve">  شهرداري کهريز سنگ</v>
      </c>
      <c r="Q384" s="1">
        <v>20</v>
      </c>
      <c r="R384" s="1" t="str">
        <f>"فروش داخلي - سازمان شهرداري ها و دهياري هاي كشور"</f>
        <v>فروش داخلي - سازمان شهرداري ها و دهياري هاي كشور</v>
      </c>
      <c r="S384" s="1" t="str">
        <f>"قرارداد فروش"</f>
        <v>قرارداد فروش</v>
      </c>
      <c r="T384" s="1" t="str">
        <f>"ندارد"</f>
        <v>ندارد</v>
      </c>
      <c r="U384" s="1" t="str">
        <f>"تعاوني جم گستر (1001 ج 89)"</f>
        <v>تعاوني جم گستر (1001 ج 89)</v>
      </c>
      <c r="V384" s="1">
        <v>962000074</v>
      </c>
      <c r="W384" s="1">
        <v>962000074</v>
      </c>
      <c r="X384" s="1" t="str">
        <f>"1396514467"</f>
        <v>1396514467</v>
      </c>
      <c r="Y384" s="1" t="str">
        <f>"96/07/03"</f>
        <v>96/07/03</v>
      </c>
      <c r="Z384" s="1" t="str">
        <f>"26698مرحله اول"</f>
        <v>26698مرحله اول</v>
      </c>
      <c r="AA384" s="1" t="str">
        <f>"شهرداريها"</f>
        <v>شهرداريها</v>
      </c>
      <c r="AB384" s="1" t="str">
        <f>"96/06/29"</f>
        <v>96/06/29</v>
      </c>
      <c r="AC384" s="1" t="str">
        <f>"استان اصفهان"</f>
        <v>استان اصفهان</v>
      </c>
      <c r="AD384" s="1" t="str">
        <f>"96/07/03"</f>
        <v>96/07/03</v>
      </c>
      <c r="AE384" s="1" t="str">
        <f>"اختتام"</f>
        <v>اختتام</v>
      </c>
      <c r="AF384" s="1" t="str">
        <f>""</f>
        <v/>
      </c>
      <c r="AG384" s="1" t="str">
        <f>""</f>
        <v/>
      </c>
      <c r="AH384" s="1" t="str">
        <f>""</f>
        <v/>
      </c>
      <c r="AI384" s="1" t="str">
        <f>""</f>
        <v/>
      </c>
      <c r="AJ384" s="1" t="str">
        <f>""</f>
        <v/>
      </c>
      <c r="AK384" s="1" t="str">
        <f>""</f>
        <v/>
      </c>
    </row>
    <row r="385" spans="1:37">
      <c r="A385" s="1">
        <v>102339</v>
      </c>
      <c r="B385" s="1">
        <v>962000015</v>
      </c>
      <c r="C385" s="1" t="str">
        <f>"تخليه اصفهان كيلومتر125محوراصفهان نائين شهرك آسفالت نوژان خشت"</f>
        <v>تخليه اصفهان كيلومتر125محوراصفهان نائين شهرك آسفالت نوژان خشت</v>
      </c>
      <c r="D385" s="1">
        <v>9113</v>
      </c>
      <c r="E385" s="1">
        <v>102339</v>
      </c>
      <c r="F385" s="1">
        <v>96</v>
      </c>
      <c r="G385" s="1">
        <v>0</v>
      </c>
      <c r="H385" s="1" t="str">
        <f>"96/07/03"</f>
        <v>96/07/03</v>
      </c>
      <c r="I385" s="1" t="str">
        <f>"كيلوگرم"</f>
        <v>كيلوگرم</v>
      </c>
      <c r="J385" s="1" t="str">
        <f>"0000000076"</f>
        <v>0000000076</v>
      </c>
      <c r="K385" s="1" t="str">
        <f>"قير 60/70 - فله"</f>
        <v>قير 60/70 - فله</v>
      </c>
      <c r="L385" s="1">
        <v>100</v>
      </c>
      <c r="M385" s="1" t="str">
        <f>"مخازن قير اصفهان"</f>
        <v>مخازن قير اصفهان</v>
      </c>
      <c r="N385" s="1">
        <v>10670</v>
      </c>
      <c r="O385" s="1">
        <v>50036156</v>
      </c>
      <c r="P385" s="1" t="str">
        <f>"  شهرداري بافران"</f>
        <v xml:space="preserve">  شهرداري بافران</v>
      </c>
      <c r="Q385" s="1">
        <v>20</v>
      </c>
      <c r="R385" s="1" t="str">
        <f>"فروش داخلي - سازمان شهرداري ها و دهياري هاي كشور"</f>
        <v>فروش داخلي - سازمان شهرداري ها و دهياري هاي كشور</v>
      </c>
      <c r="S385" s="1" t="str">
        <f>"قرارداد فروش"</f>
        <v>قرارداد فروش</v>
      </c>
      <c r="T385" s="1" t="str">
        <f>"ندارد"</f>
        <v>ندارد</v>
      </c>
      <c r="U385" s="1" t="str">
        <f>"تعاوني جم گستر (1001 ج 89)"</f>
        <v>تعاوني جم گستر (1001 ج 89)</v>
      </c>
      <c r="V385" s="1">
        <v>962000015</v>
      </c>
      <c r="W385" s="1">
        <v>962000015</v>
      </c>
      <c r="X385" s="1" t="str">
        <f>"1396514467"</f>
        <v>1396514467</v>
      </c>
      <c r="Y385" s="1" t="str">
        <f>"96/07/03"</f>
        <v>96/07/03</v>
      </c>
      <c r="Z385" s="1" t="str">
        <f>"26890مرحله اول"</f>
        <v>26890مرحله اول</v>
      </c>
      <c r="AA385" s="1" t="str">
        <f>"شهرداريها"</f>
        <v>شهرداريها</v>
      </c>
      <c r="AB385" s="1" t="str">
        <f>"96/06/29"</f>
        <v>96/06/29</v>
      </c>
      <c r="AC385" s="1" t="str">
        <f>"استان اصفهان"</f>
        <v>استان اصفهان</v>
      </c>
      <c r="AD385" s="1" t="str">
        <f>"96/07/03"</f>
        <v>96/07/03</v>
      </c>
      <c r="AE385" s="1" t="str">
        <f>"اختتام"</f>
        <v>اختتام</v>
      </c>
      <c r="AF385" s="1" t="str">
        <f>""</f>
        <v/>
      </c>
      <c r="AG385" s="1" t="str">
        <f>""</f>
        <v/>
      </c>
      <c r="AH385" s="1" t="str">
        <f>""</f>
        <v/>
      </c>
      <c r="AI385" s="1" t="str">
        <f>""</f>
        <v/>
      </c>
      <c r="AJ385" s="1" t="str">
        <f>""</f>
        <v/>
      </c>
      <c r="AK385" s="1" t="str">
        <f>""</f>
        <v/>
      </c>
    </row>
    <row r="386" spans="1:37">
      <c r="A386" s="1">
        <v>15000</v>
      </c>
      <c r="B386" s="1">
        <v>966300066</v>
      </c>
      <c r="C386" s="1" t="str">
        <f>"تخليه آباده شيرازسورمق روبروي كارخانه سيمان شركت توليدي عايق هاي رطوبتي شرق دنيا"</f>
        <v>تخليه آباده شيرازسورمق روبروي كارخانه سيمان شركت توليدي عايق هاي رطوبتي شرق دنيا</v>
      </c>
      <c r="D386" s="1">
        <v>13350</v>
      </c>
      <c r="E386" s="1">
        <v>15000</v>
      </c>
      <c r="F386" s="1">
        <v>96</v>
      </c>
      <c r="G386" s="1">
        <v>0</v>
      </c>
      <c r="H386" s="1" t="str">
        <f>"96/12/06"</f>
        <v>96/12/06</v>
      </c>
      <c r="I386" s="1" t="str">
        <f>"كيلوگرم"</f>
        <v>كيلوگرم</v>
      </c>
      <c r="J386" s="1" t="str">
        <f>"0000000076"</f>
        <v>0000000076</v>
      </c>
      <c r="K386" s="1" t="str">
        <f>"قير 60/70 - فله"</f>
        <v>قير 60/70 - فله</v>
      </c>
      <c r="L386" s="1">
        <v>100</v>
      </c>
      <c r="M386" s="1" t="str">
        <f>"مخازن قير اصفهان"</f>
        <v>مخازن قير اصفهان</v>
      </c>
      <c r="N386" s="1">
        <v>10210</v>
      </c>
      <c r="O386" s="1">
        <v>50038620</v>
      </c>
      <c r="P386" s="1" t="str">
        <f>"  عايق هاي رطوبتي شرق دنيا"</f>
        <v xml:space="preserve">  عايق هاي رطوبتي شرق دنيا</v>
      </c>
      <c r="Q386" s="1">
        <v>63</v>
      </c>
      <c r="R386" s="1" t="str">
        <f>"سازمان نوسازي،توسعه و تجهيز مدارس كشور"</f>
        <v>سازمان نوسازي،توسعه و تجهيز مدارس كشور</v>
      </c>
      <c r="S386" s="1" t="str">
        <f>"قرارداد فروش"</f>
        <v>قرارداد فروش</v>
      </c>
      <c r="T386" s="1" t="str">
        <f>"ندارد"</f>
        <v>ندارد</v>
      </c>
      <c r="U386" s="1" t="str">
        <f>"بابامحمدي عنايت اله(4844000)"</f>
        <v>بابامحمدي عنايت اله(4844000)</v>
      </c>
      <c r="V386" s="1">
        <v>966300066</v>
      </c>
      <c r="W386" s="1">
        <v>966300066</v>
      </c>
      <c r="X386" s="1" t="str">
        <f>"1396550458"</f>
        <v>1396550458</v>
      </c>
      <c r="Y386" s="1" t="str">
        <f>"96/12/06"</f>
        <v>96/12/06</v>
      </c>
      <c r="Z386" s="1" t="str">
        <f>"10601/1"</f>
        <v>10601/1</v>
      </c>
      <c r="AA386" s="1" t="str">
        <f>"سازمان نوسازي توسعه وتجهيزمدارس كشور"</f>
        <v>سازمان نوسازي توسعه وتجهيزمدارس كشور</v>
      </c>
      <c r="AB386" s="1" t="str">
        <f>"96/11/28"</f>
        <v>96/11/28</v>
      </c>
      <c r="AC386" s="1" t="str">
        <f>"استان يزد"</f>
        <v>استان يزد</v>
      </c>
      <c r="AD386" s="1" t="str">
        <f>"96/12/06"</f>
        <v>96/12/06</v>
      </c>
      <c r="AE386" s="1" t="str">
        <f>"اختتام"</f>
        <v>اختتام</v>
      </c>
      <c r="AF386" s="1" t="str">
        <f>""</f>
        <v/>
      </c>
      <c r="AG386" s="1" t="str">
        <f>""</f>
        <v/>
      </c>
      <c r="AH386" s="1" t="str">
        <f>""</f>
        <v/>
      </c>
      <c r="AI386" s="1" t="str">
        <f>""</f>
        <v/>
      </c>
      <c r="AJ386" s="1" t="str">
        <f>""</f>
        <v/>
      </c>
      <c r="AK386" s="1" t="str">
        <f>""</f>
        <v/>
      </c>
    </row>
    <row r="387" spans="1:37">
      <c r="A387" s="1">
        <v>79000</v>
      </c>
      <c r="B387" s="1">
        <v>966200002</v>
      </c>
      <c r="C387" s="1" t="str">
        <f>"تخليه - کرمانشاه - سرپل ذهاب - دشت ذهاب - روستاي گرده نو-کارخانه آسفالت قدس"</f>
        <v>تخليه - کرمانشاه - سرپل ذهاب - دشت ذهاب - روستاي گرده نو-کارخانه آسفالت قدس</v>
      </c>
      <c r="D387" s="1">
        <v>8198</v>
      </c>
      <c r="E387" s="1">
        <v>79000</v>
      </c>
      <c r="F387" s="1">
        <v>96</v>
      </c>
      <c r="G387" s="1">
        <v>0</v>
      </c>
      <c r="H387" s="1" t="str">
        <f>"96/01/19"</f>
        <v>96/01/19</v>
      </c>
      <c r="I387" s="1" t="str">
        <f>"كيلوگرم"</f>
        <v>كيلوگرم</v>
      </c>
      <c r="J387" s="1" t="str">
        <f>"0000000076"</f>
        <v>0000000076</v>
      </c>
      <c r="K387" s="1" t="str">
        <f>"قير 60/70 - فله"</f>
        <v>قير 60/70 - فله</v>
      </c>
      <c r="L387" s="1">
        <v>100</v>
      </c>
      <c r="M387" s="1" t="str">
        <f>"مخازن قير اصفهان"</f>
        <v>مخازن قير اصفهان</v>
      </c>
      <c r="N387" s="1">
        <v>10976</v>
      </c>
      <c r="O387" s="1">
        <v>50034427</v>
      </c>
      <c r="P387" s="1" t="str">
        <f>"  پي سازان كلهرزاگرس"</f>
        <v xml:space="preserve">  پي سازان كلهرزاگرس</v>
      </c>
      <c r="Q387" s="1">
        <v>62</v>
      </c>
      <c r="R387" s="1" t="str">
        <f>"فروش داخلي - سازمان بنيادمسكن انقلاب اسلامي"</f>
        <v>فروش داخلي - سازمان بنيادمسكن انقلاب اسلامي</v>
      </c>
      <c r="S387" s="1" t="str">
        <f>"قرارداد فروش"</f>
        <v>قرارداد فروش</v>
      </c>
      <c r="T387" s="1" t="str">
        <f>"ندارد"</f>
        <v>ندارد</v>
      </c>
      <c r="U387" s="1" t="str">
        <f>"حاجيلوئي علي اصغر(2842019)"</f>
        <v>حاجيلوئي علي اصغر(2842019)</v>
      </c>
      <c r="V387" s="1">
        <v>966200002</v>
      </c>
      <c r="W387" s="1">
        <v>966200002</v>
      </c>
      <c r="X387" s="1" t="str">
        <f>"1396472562"</f>
        <v>1396472562</v>
      </c>
      <c r="Y387" s="1" t="str">
        <f>"96/01/19"</f>
        <v>96/01/19</v>
      </c>
      <c r="Z387" s="1" t="str">
        <f>"922/د"</f>
        <v>922/د</v>
      </c>
      <c r="AA387" s="1" t="str">
        <f>"بنيادمسكن انقلاب اسلامي"</f>
        <v>بنيادمسكن انقلاب اسلامي</v>
      </c>
      <c r="AB387" s="1" t="str">
        <f>"96/01/19"</f>
        <v>96/01/19</v>
      </c>
      <c r="AC387" s="1" t="str">
        <f>"استان كرمانشاه"</f>
        <v>استان كرمانشاه</v>
      </c>
      <c r="AD387" s="1" t="str">
        <f>"96/01/19"</f>
        <v>96/01/19</v>
      </c>
      <c r="AE387" s="1" t="str">
        <f>"اختتام"</f>
        <v>اختتام</v>
      </c>
      <c r="AF387" s="1" t="str">
        <f>""</f>
        <v/>
      </c>
      <c r="AG387" s="1" t="str">
        <f>""</f>
        <v/>
      </c>
      <c r="AH387" s="1" t="str">
        <f>""</f>
        <v/>
      </c>
      <c r="AI387" s="1" t="str">
        <f>""</f>
        <v/>
      </c>
      <c r="AJ387" s="1" t="str">
        <f>""</f>
        <v/>
      </c>
      <c r="AK387" s="1" t="str">
        <f>""</f>
        <v/>
      </c>
    </row>
    <row r="388" spans="1:37">
      <c r="A388" s="1">
        <v>50000</v>
      </c>
      <c r="B388" s="1">
        <v>966200742</v>
      </c>
      <c r="C388" s="1" t="str">
        <f>"تخليه - کهگيلويه و بويراحمد-ياسوج-سپيدار-شهرک صنعتي دلي بجک-کارخانه آسفالت نجفي"</f>
        <v>تخليه - کهگيلويه و بويراحمد-ياسوج-سپيدار-شهرک صنعتي دلي بجک-کارخانه آسفالت نجفي</v>
      </c>
      <c r="D388" s="1">
        <v>13350</v>
      </c>
      <c r="E388" s="1">
        <v>49080</v>
      </c>
      <c r="F388" s="1">
        <v>96</v>
      </c>
      <c r="G388" s="1">
        <v>920</v>
      </c>
      <c r="H388" s="1" t="str">
        <f>"96/12/26"</f>
        <v>96/12/26</v>
      </c>
      <c r="I388" s="1" t="str">
        <f>"كيلوگرم"</f>
        <v>كيلوگرم</v>
      </c>
      <c r="J388" s="1" t="str">
        <f>"0000000076"</f>
        <v>0000000076</v>
      </c>
      <c r="K388" s="1" t="str">
        <f>"قير 60/70 - فله"</f>
        <v>قير 60/70 - فله</v>
      </c>
      <c r="L388" s="1">
        <v>100</v>
      </c>
      <c r="M388" s="1" t="str">
        <f>"مخازن قير اصفهان"</f>
        <v>مخازن قير اصفهان</v>
      </c>
      <c r="N388" s="1">
        <v>11039</v>
      </c>
      <c r="O388" s="1">
        <v>50039103</v>
      </c>
      <c r="P388" s="1" t="str">
        <f>"  سقاوه گسترسازه"</f>
        <v xml:space="preserve">  سقاوه گسترسازه</v>
      </c>
      <c r="Q388" s="1">
        <v>62</v>
      </c>
      <c r="R388" s="1" t="str">
        <f>"فروش داخلي - سازمان بنيادمسكن انقلاب اسلامي"</f>
        <v>فروش داخلي - سازمان بنيادمسكن انقلاب اسلامي</v>
      </c>
      <c r="S388" s="1" t="str">
        <f>"قرارداد فروش"</f>
        <v>قرارداد فروش</v>
      </c>
      <c r="T388" s="1" t="str">
        <f>"ندارد"</f>
        <v>ندارد</v>
      </c>
      <c r="U388" s="1" t="str">
        <f>"غلام نجفي سيامك‌‌‌‌‌‌(1881082)"</f>
        <v>غلام نجفي سيامك‌‌‌‌‌‌(1881082)</v>
      </c>
      <c r="V388" s="1">
        <v>966200742</v>
      </c>
      <c r="W388" s="1">
        <v>966200742</v>
      </c>
      <c r="X388" s="1" t="str">
        <f>"1396555422"</f>
        <v>1396555422</v>
      </c>
      <c r="Y388" s="1" t="str">
        <f>"96/12/26"</f>
        <v>96/12/26</v>
      </c>
      <c r="Z388" s="1" t="str">
        <f>"59459/د"</f>
        <v>59459/د</v>
      </c>
      <c r="AA388" s="1" t="str">
        <f>"بنيادمسكن انقلاب اسلامي"</f>
        <v>بنيادمسكن انقلاب اسلامي</v>
      </c>
      <c r="AB388" s="1" t="str">
        <f>"96/12/23"</f>
        <v>96/12/23</v>
      </c>
      <c r="AC388" s="1" t="str">
        <f>"كهكيلويه و بوير احمد"</f>
        <v>كهكيلويه و بوير احمد</v>
      </c>
      <c r="AD388" s="1" t="str">
        <f>"96/12/26"</f>
        <v>96/12/26</v>
      </c>
      <c r="AE388" s="1" t="str">
        <f>"اختتام"</f>
        <v>اختتام</v>
      </c>
      <c r="AF388" s="1" t="str">
        <f>""</f>
        <v/>
      </c>
      <c r="AG388" s="1" t="str">
        <f>""</f>
        <v/>
      </c>
      <c r="AH388" s="1" t="str">
        <f>""</f>
        <v/>
      </c>
      <c r="AI388" s="1" t="str">
        <f>""</f>
        <v/>
      </c>
      <c r="AJ388" s="1" t="str">
        <f>""</f>
        <v/>
      </c>
      <c r="AK388" s="1" t="str">
        <f>""</f>
        <v/>
      </c>
    </row>
    <row r="389" spans="1:37">
      <c r="A389" s="1">
        <v>170000</v>
      </c>
      <c r="B389" s="1">
        <v>966200108</v>
      </c>
      <c r="C389" s="1" t="str">
        <f>"تخليه - مازندران-کمربندي نکا- روستاي چاله پل-کارخانه آسفالت سليم بهرامي"</f>
        <v>تخليه - مازندران-کمربندي نکا- روستاي چاله پل-کارخانه آسفالت سليم بهرامي</v>
      </c>
      <c r="D389" s="1">
        <v>9204</v>
      </c>
      <c r="E389" s="1">
        <v>169620</v>
      </c>
      <c r="F389" s="1">
        <v>96</v>
      </c>
      <c r="G389" s="1">
        <v>380</v>
      </c>
      <c r="H389" s="1" t="str">
        <f>"96/03/09"</f>
        <v>96/03/09</v>
      </c>
      <c r="I389" s="1" t="str">
        <f>"كيلوگرم"</f>
        <v>كيلوگرم</v>
      </c>
      <c r="J389" s="1" t="str">
        <f>"0000000076"</f>
        <v>0000000076</v>
      </c>
      <c r="K389" s="1" t="str">
        <f>"قير 60/70 - فله"</f>
        <v>قير 60/70 - فله</v>
      </c>
      <c r="L389" s="1">
        <v>100</v>
      </c>
      <c r="M389" s="1" t="str">
        <f>"مخازن قير اصفهان"</f>
        <v>مخازن قير اصفهان</v>
      </c>
      <c r="N389" s="1">
        <v>8903</v>
      </c>
      <c r="O389" s="1">
        <v>50034920</v>
      </c>
      <c r="P389" s="1" t="str">
        <f>"  بنيادمسكن انقلاب اسلامي مازندران"</f>
        <v xml:space="preserve">  بنيادمسكن انقلاب اسلامي مازندران</v>
      </c>
      <c r="Q389" s="1">
        <v>62</v>
      </c>
      <c r="R389" s="1" t="str">
        <f>"فروش داخلي - سازمان بنيادمسكن انقلاب اسلامي"</f>
        <v>فروش داخلي - سازمان بنيادمسكن انقلاب اسلامي</v>
      </c>
      <c r="S389" s="1" t="str">
        <f>"قرارداد فروش"</f>
        <v>قرارداد فروش</v>
      </c>
      <c r="T389" s="1" t="str">
        <f>"ندارد"</f>
        <v>ندارد</v>
      </c>
      <c r="U389" s="1" t="str">
        <f>"شيشه بر كريم(1841016)"</f>
        <v>شيشه بر كريم(1841016)</v>
      </c>
      <c r="V389" s="1">
        <v>966200108</v>
      </c>
      <c r="W389" s="1">
        <v>966200108</v>
      </c>
      <c r="X389" s="1" t="str">
        <f>"1396484354"</f>
        <v>1396484354</v>
      </c>
      <c r="Y389" s="1" t="str">
        <f>"96/03/09"</f>
        <v>96/03/09</v>
      </c>
      <c r="Z389" s="1" t="str">
        <f>"8951/د"</f>
        <v>8951/د</v>
      </c>
      <c r="AA389" s="1" t="str">
        <f>"بنيادمسكن انقلاب اسلامي"</f>
        <v>بنيادمسكن انقلاب اسلامي</v>
      </c>
      <c r="AB389" s="1" t="str">
        <f>"96/03/08"</f>
        <v>96/03/08</v>
      </c>
      <c r="AC389" s="1" t="str">
        <f>"استان مازندران"</f>
        <v>استان مازندران</v>
      </c>
      <c r="AD389" s="1" t="str">
        <f>"96/03/09"</f>
        <v>96/03/09</v>
      </c>
      <c r="AE389" s="1" t="str">
        <f>"اختتام"</f>
        <v>اختتام</v>
      </c>
      <c r="AF389" s="1" t="str">
        <f>""</f>
        <v/>
      </c>
      <c r="AG389" s="1" t="str">
        <f>""</f>
        <v/>
      </c>
      <c r="AH389" s="1" t="str">
        <f>""</f>
        <v/>
      </c>
      <c r="AI389" s="1" t="str">
        <f>""</f>
        <v/>
      </c>
      <c r="AJ389" s="1" t="str">
        <f>""</f>
        <v/>
      </c>
      <c r="AK389" s="1" t="str">
        <f>""</f>
        <v/>
      </c>
    </row>
    <row r="390" spans="1:37">
      <c r="A390" s="1">
        <v>100000</v>
      </c>
      <c r="B390" s="1">
        <v>966200154</v>
      </c>
      <c r="C390" s="1" t="str">
        <f>"تخليه-مازندران-کيلومتر 10 جاده آمل محمود آباد-پشت شهرک صنعتي تشبندان-کارخانه آسفالت ارجمنديان"</f>
        <v>تخليه-مازندران-کيلومتر 10 جاده آمل محمود آباد-پشت شهرک صنعتي تشبندان-کارخانه آسفالت ارجمنديان</v>
      </c>
      <c r="D390" s="1">
        <v>8704</v>
      </c>
      <c r="E390" s="1">
        <v>100000</v>
      </c>
      <c r="F390" s="1">
        <v>96</v>
      </c>
      <c r="G390" s="1">
        <v>0</v>
      </c>
      <c r="H390" s="1" t="str">
        <f>"96/05/08"</f>
        <v>96/05/08</v>
      </c>
      <c r="I390" s="1" t="str">
        <f>"كيلوگرم"</f>
        <v>كيلوگرم</v>
      </c>
      <c r="J390" s="1" t="str">
        <f>"0000000076"</f>
        <v>0000000076</v>
      </c>
      <c r="K390" s="1" t="str">
        <f>"قير 60/70 - فله"</f>
        <v>قير 60/70 - فله</v>
      </c>
      <c r="L390" s="1">
        <v>100</v>
      </c>
      <c r="M390" s="1" t="str">
        <f>"مخازن قير اصفهان"</f>
        <v>مخازن قير اصفهان</v>
      </c>
      <c r="N390" s="1">
        <v>8903</v>
      </c>
      <c r="O390" s="1">
        <v>50035391</v>
      </c>
      <c r="P390" s="1" t="str">
        <f>"  بنيادمسكن انقلاب اسلامي مازندران"</f>
        <v xml:space="preserve">  بنيادمسكن انقلاب اسلامي مازندران</v>
      </c>
      <c r="Q390" s="1">
        <v>62</v>
      </c>
      <c r="R390" s="1" t="str">
        <f>"فروش داخلي - سازمان بنيادمسكن انقلاب اسلامي"</f>
        <v>فروش داخلي - سازمان بنيادمسكن انقلاب اسلامي</v>
      </c>
      <c r="S390" s="1" t="str">
        <f>"قرارداد فروش"</f>
        <v>قرارداد فروش</v>
      </c>
      <c r="T390" s="1" t="str">
        <f>"ندارد"</f>
        <v>ندارد</v>
      </c>
      <c r="U390" s="1" t="str">
        <f>"شيشه بر كريم(1841016)"</f>
        <v>شيشه بر كريم(1841016)</v>
      </c>
      <c r="V390" s="1">
        <v>966200154</v>
      </c>
      <c r="W390" s="1">
        <v>966200154</v>
      </c>
      <c r="X390" s="1" t="str">
        <f>"1396500984"</f>
        <v>1396500984</v>
      </c>
      <c r="Y390" s="1" t="str">
        <f>"96/05/08"</f>
        <v>96/05/08</v>
      </c>
      <c r="Z390" s="1" t="str">
        <f>"18659/د"</f>
        <v>18659/د</v>
      </c>
      <c r="AA390" s="1" t="str">
        <f>"بنيادمسكن انقلاب اسلامي"</f>
        <v>بنيادمسكن انقلاب اسلامي</v>
      </c>
      <c r="AB390" s="1" t="str">
        <f>"96/05/07"</f>
        <v>96/05/07</v>
      </c>
      <c r="AC390" s="1" t="str">
        <f>"استان مازندران"</f>
        <v>استان مازندران</v>
      </c>
      <c r="AD390" s="1" t="str">
        <f>"96/05/08"</f>
        <v>96/05/08</v>
      </c>
      <c r="AE390" s="1" t="str">
        <f>"اختتام"</f>
        <v>اختتام</v>
      </c>
      <c r="AF390" s="1" t="str">
        <f>""</f>
        <v/>
      </c>
      <c r="AG390" s="1" t="str">
        <f>""</f>
        <v/>
      </c>
      <c r="AH390" s="1" t="str">
        <f>""</f>
        <v/>
      </c>
      <c r="AI390" s="1" t="str">
        <f>""</f>
        <v/>
      </c>
      <c r="AJ390" s="1" t="str">
        <f>""</f>
        <v/>
      </c>
      <c r="AK390" s="1" t="str">
        <f>""</f>
        <v/>
      </c>
    </row>
    <row r="391" spans="1:37">
      <c r="A391" s="1">
        <v>112000</v>
      </c>
      <c r="B391" s="1">
        <v>966200157</v>
      </c>
      <c r="C391" s="1" t="str">
        <f>"تخليه-مازندران-کيلومتر 10 جاده آمل محمود آباد-پشت شهرک صنعتي تشبندان-کارخانه آسفالت ارجمنديان"</f>
        <v>تخليه-مازندران-کيلومتر 10 جاده آمل محمود آباد-پشت شهرک صنعتي تشبندان-کارخانه آسفالت ارجمنديان</v>
      </c>
      <c r="D391" s="1">
        <v>8704</v>
      </c>
      <c r="E391" s="1">
        <v>112000</v>
      </c>
      <c r="F391" s="1">
        <v>96</v>
      </c>
      <c r="G391" s="1">
        <v>0</v>
      </c>
      <c r="H391" s="1" t="str">
        <f>"96/05/08"</f>
        <v>96/05/08</v>
      </c>
      <c r="I391" s="1" t="str">
        <f>"كيلوگرم"</f>
        <v>كيلوگرم</v>
      </c>
      <c r="J391" s="1" t="str">
        <f>"0000000076"</f>
        <v>0000000076</v>
      </c>
      <c r="K391" s="1" t="str">
        <f>"قير 60/70 - فله"</f>
        <v>قير 60/70 - فله</v>
      </c>
      <c r="L391" s="1">
        <v>100</v>
      </c>
      <c r="M391" s="1" t="str">
        <f>"مخازن قير اصفهان"</f>
        <v>مخازن قير اصفهان</v>
      </c>
      <c r="N391" s="1">
        <v>8903</v>
      </c>
      <c r="O391" s="1">
        <v>50035394</v>
      </c>
      <c r="P391" s="1" t="str">
        <f>"  بنيادمسكن انقلاب اسلامي مازندران"</f>
        <v xml:space="preserve">  بنيادمسكن انقلاب اسلامي مازندران</v>
      </c>
      <c r="Q391" s="1">
        <v>62</v>
      </c>
      <c r="R391" s="1" t="str">
        <f>"فروش داخلي - سازمان بنيادمسكن انقلاب اسلامي"</f>
        <v>فروش داخلي - سازمان بنيادمسكن انقلاب اسلامي</v>
      </c>
      <c r="S391" s="1" t="str">
        <f>"قرارداد فروش"</f>
        <v>قرارداد فروش</v>
      </c>
      <c r="T391" s="1" t="str">
        <f>"ندارد"</f>
        <v>ندارد</v>
      </c>
      <c r="U391" s="1" t="str">
        <f>"شيشه بر كريم(1841016)"</f>
        <v>شيشه بر كريم(1841016)</v>
      </c>
      <c r="V391" s="1">
        <v>966200157</v>
      </c>
      <c r="W391" s="1">
        <v>966200157</v>
      </c>
      <c r="X391" s="1" t="str">
        <f>"1396500984"</f>
        <v>1396500984</v>
      </c>
      <c r="Y391" s="1" t="str">
        <f>"96/05/08"</f>
        <v>96/05/08</v>
      </c>
      <c r="Z391" s="1" t="str">
        <f>"18664/د"</f>
        <v>18664/د</v>
      </c>
      <c r="AA391" s="1" t="str">
        <f>"بنيادمسكن انقلاب اسلامي"</f>
        <v>بنيادمسكن انقلاب اسلامي</v>
      </c>
      <c r="AB391" s="1" t="str">
        <f>"96/05/07"</f>
        <v>96/05/07</v>
      </c>
      <c r="AC391" s="1" t="str">
        <f>"استان مازندران"</f>
        <v>استان مازندران</v>
      </c>
      <c r="AD391" s="1" t="str">
        <f>"96/05/08"</f>
        <v>96/05/08</v>
      </c>
      <c r="AE391" s="1" t="str">
        <f>"اختتام"</f>
        <v>اختتام</v>
      </c>
      <c r="AF391" s="1" t="str">
        <f>""</f>
        <v/>
      </c>
      <c r="AG391" s="1" t="str">
        <f>""</f>
        <v/>
      </c>
      <c r="AH391" s="1" t="str">
        <f>""</f>
        <v/>
      </c>
      <c r="AI391" s="1" t="str">
        <f>""</f>
        <v/>
      </c>
      <c r="AJ391" s="1" t="str">
        <f>""</f>
        <v/>
      </c>
      <c r="AK391" s="1" t="str">
        <f>""</f>
        <v/>
      </c>
    </row>
    <row r="392" spans="1:37">
      <c r="A392" s="1">
        <v>142000</v>
      </c>
      <c r="B392" s="1">
        <v>966200159</v>
      </c>
      <c r="C392" s="1" t="str">
        <f>"تخليه-مازندران-کيلومتر 10 جاده آمل محمود آباد-پشت شهرک صنعتي تشبندان-کارخانه آسفالت ارجمنديان"</f>
        <v>تخليه-مازندران-کيلومتر 10 جاده آمل محمود آباد-پشت شهرک صنعتي تشبندان-کارخانه آسفالت ارجمنديان</v>
      </c>
      <c r="D392" s="1">
        <v>8704</v>
      </c>
      <c r="E392" s="1">
        <v>142000</v>
      </c>
      <c r="F392" s="1">
        <v>96</v>
      </c>
      <c r="G392" s="1">
        <v>0</v>
      </c>
      <c r="H392" s="1" t="str">
        <f>"96/05/08"</f>
        <v>96/05/08</v>
      </c>
      <c r="I392" s="1" t="str">
        <f>"كيلوگرم"</f>
        <v>كيلوگرم</v>
      </c>
      <c r="J392" s="1" t="str">
        <f>"0000000076"</f>
        <v>0000000076</v>
      </c>
      <c r="K392" s="1" t="str">
        <f>"قير 60/70 - فله"</f>
        <v>قير 60/70 - فله</v>
      </c>
      <c r="L392" s="1">
        <v>100</v>
      </c>
      <c r="M392" s="1" t="str">
        <f>"مخازن قير اصفهان"</f>
        <v>مخازن قير اصفهان</v>
      </c>
      <c r="N392" s="1">
        <v>8903</v>
      </c>
      <c r="O392" s="1">
        <v>50035398</v>
      </c>
      <c r="P392" s="1" t="str">
        <f>"  بنيادمسكن انقلاب اسلامي مازندران"</f>
        <v xml:space="preserve">  بنيادمسكن انقلاب اسلامي مازندران</v>
      </c>
      <c r="Q392" s="1">
        <v>62</v>
      </c>
      <c r="R392" s="1" t="str">
        <f>"فروش داخلي - سازمان بنيادمسكن انقلاب اسلامي"</f>
        <v>فروش داخلي - سازمان بنيادمسكن انقلاب اسلامي</v>
      </c>
      <c r="S392" s="1" t="str">
        <f>"قرارداد فروش"</f>
        <v>قرارداد فروش</v>
      </c>
      <c r="T392" s="1" t="str">
        <f>"ندارد"</f>
        <v>ندارد</v>
      </c>
      <c r="U392" s="1" t="str">
        <f>"شيشه بر كريم(1841016)"</f>
        <v>شيشه بر كريم(1841016)</v>
      </c>
      <c r="V392" s="1">
        <v>966200159</v>
      </c>
      <c r="W392" s="1">
        <v>966200159</v>
      </c>
      <c r="X392" s="1" t="str">
        <f>"1396500984"</f>
        <v>1396500984</v>
      </c>
      <c r="Y392" s="1" t="str">
        <f>"96/05/08"</f>
        <v>96/05/08</v>
      </c>
      <c r="Z392" s="1" t="str">
        <f>"18668/د"</f>
        <v>18668/د</v>
      </c>
      <c r="AA392" s="1" t="str">
        <f>"بنيادمسكن انقلاب اسلامي"</f>
        <v>بنيادمسكن انقلاب اسلامي</v>
      </c>
      <c r="AB392" s="1" t="str">
        <f>"96/05/07"</f>
        <v>96/05/07</v>
      </c>
      <c r="AC392" s="1" t="str">
        <f>"استان مازندران"</f>
        <v>استان مازندران</v>
      </c>
      <c r="AD392" s="1" t="str">
        <f>"96/05/08"</f>
        <v>96/05/08</v>
      </c>
      <c r="AE392" s="1" t="str">
        <f>"اختتام"</f>
        <v>اختتام</v>
      </c>
      <c r="AF392" s="1" t="str">
        <f>""</f>
        <v/>
      </c>
      <c r="AG392" s="1" t="str">
        <f>""</f>
        <v/>
      </c>
      <c r="AH392" s="1" t="str">
        <f>""</f>
        <v/>
      </c>
      <c r="AI392" s="1" t="str">
        <f>""</f>
        <v/>
      </c>
      <c r="AJ392" s="1" t="str">
        <f>""</f>
        <v/>
      </c>
      <c r="AK392" s="1" t="str">
        <f>""</f>
        <v/>
      </c>
    </row>
    <row r="393" spans="1:37">
      <c r="A393" s="1">
        <v>82000</v>
      </c>
      <c r="B393" s="1">
        <v>966200161</v>
      </c>
      <c r="C393" s="1" t="str">
        <f>"تخليه - مازندران-کمربندي نکا- روستاي چاله پل-کارخانه آسفالت سليم بهرامي"</f>
        <v>تخليه - مازندران-کمربندي نکا- روستاي چاله پل-کارخانه آسفالت سليم بهرامي</v>
      </c>
      <c r="D393" s="1">
        <v>8704</v>
      </c>
      <c r="E393" s="1">
        <v>81800</v>
      </c>
      <c r="F393" s="1">
        <v>96</v>
      </c>
      <c r="G393" s="1">
        <v>200</v>
      </c>
      <c r="H393" s="1" t="str">
        <f>"96/05/08"</f>
        <v>96/05/08</v>
      </c>
      <c r="I393" s="1" t="str">
        <f>"كيلوگرم"</f>
        <v>كيلوگرم</v>
      </c>
      <c r="J393" s="1" t="str">
        <f>"0000000076"</f>
        <v>0000000076</v>
      </c>
      <c r="K393" s="1" t="str">
        <f>"قير 60/70 - فله"</f>
        <v>قير 60/70 - فله</v>
      </c>
      <c r="L393" s="1">
        <v>100</v>
      </c>
      <c r="M393" s="1" t="str">
        <f>"مخازن قير اصفهان"</f>
        <v>مخازن قير اصفهان</v>
      </c>
      <c r="N393" s="1">
        <v>8903</v>
      </c>
      <c r="O393" s="1">
        <v>50035400</v>
      </c>
      <c r="P393" s="1" t="str">
        <f>"  بنيادمسكن انقلاب اسلامي مازندران"</f>
        <v xml:space="preserve">  بنيادمسكن انقلاب اسلامي مازندران</v>
      </c>
      <c r="Q393" s="1">
        <v>62</v>
      </c>
      <c r="R393" s="1" t="str">
        <f>"فروش داخلي - سازمان بنيادمسكن انقلاب اسلامي"</f>
        <v>فروش داخلي - سازمان بنيادمسكن انقلاب اسلامي</v>
      </c>
      <c r="S393" s="1" t="str">
        <f>"قرارداد فروش"</f>
        <v>قرارداد فروش</v>
      </c>
      <c r="T393" s="1" t="str">
        <f>"ندارد"</f>
        <v>ندارد</v>
      </c>
      <c r="U393" s="1" t="str">
        <f>"شيشه بر كريم(1841016)"</f>
        <v>شيشه بر كريم(1841016)</v>
      </c>
      <c r="V393" s="1">
        <v>966200161</v>
      </c>
      <c r="W393" s="1">
        <v>966200161</v>
      </c>
      <c r="X393" s="1" t="str">
        <f>"1396500984"</f>
        <v>1396500984</v>
      </c>
      <c r="Y393" s="1" t="str">
        <f>"96/05/08"</f>
        <v>96/05/08</v>
      </c>
      <c r="Z393" s="1" t="str">
        <f>"18665/د"</f>
        <v>18665/د</v>
      </c>
      <c r="AA393" s="1" t="str">
        <f>"بنيادمسكن انقلاب اسلامي"</f>
        <v>بنيادمسكن انقلاب اسلامي</v>
      </c>
      <c r="AB393" s="1" t="str">
        <f>"96/05/07"</f>
        <v>96/05/07</v>
      </c>
      <c r="AC393" s="1" t="str">
        <f>"استان مازندران"</f>
        <v>استان مازندران</v>
      </c>
      <c r="AD393" s="1" t="str">
        <f>"96/05/08"</f>
        <v>96/05/08</v>
      </c>
      <c r="AE393" s="1" t="str">
        <f>"اختتام"</f>
        <v>اختتام</v>
      </c>
      <c r="AF393" s="1" t="str">
        <f>""</f>
        <v/>
      </c>
      <c r="AG393" s="1" t="str">
        <f>""</f>
        <v/>
      </c>
      <c r="AH393" s="1" t="str">
        <f>""</f>
        <v/>
      </c>
      <c r="AI393" s="1" t="str">
        <f>""</f>
        <v/>
      </c>
      <c r="AJ393" s="1" t="str">
        <f>""</f>
        <v/>
      </c>
      <c r="AK393" s="1" t="str">
        <f>""</f>
        <v/>
      </c>
    </row>
    <row r="394" spans="1:37">
      <c r="A394" s="1">
        <v>429000</v>
      </c>
      <c r="B394" s="1">
        <v>966200228</v>
      </c>
      <c r="C394" s="1" t="str">
        <f>"تخليه - مازندران-کمربندي نکا-کيلومتر5 جاده بهشر-شهرک صنعتي فاز2 کارخانه آسفالت رهگستر"</f>
        <v>تخليه - مازندران-کمربندي نکا-کيلومتر5 جاده بهشر-شهرک صنعتي فاز2 کارخانه آسفالت رهگستر</v>
      </c>
      <c r="D394" s="1">
        <v>8954</v>
      </c>
      <c r="E394" s="1">
        <v>427620</v>
      </c>
      <c r="F394" s="1">
        <v>96</v>
      </c>
      <c r="G394" s="1">
        <v>1380</v>
      </c>
      <c r="H394" s="1" t="str">
        <f>"96/06/21"</f>
        <v>96/06/21</v>
      </c>
      <c r="I394" s="1" t="str">
        <f>"كيلوگرم"</f>
        <v>كيلوگرم</v>
      </c>
      <c r="J394" s="1" t="str">
        <f>"0000000076"</f>
        <v>0000000076</v>
      </c>
      <c r="K394" s="1" t="str">
        <f>"قير 60/70 - فله"</f>
        <v>قير 60/70 - فله</v>
      </c>
      <c r="L394" s="1">
        <v>100</v>
      </c>
      <c r="M394" s="1" t="str">
        <f>"مخازن قير اصفهان"</f>
        <v>مخازن قير اصفهان</v>
      </c>
      <c r="N394" s="1">
        <v>8903</v>
      </c>
      <c r="O394" s="1">
        <v>50035977</v>
      </c>
      <c r="P394" s="1" t="str">
        <f>"  بنيادمسكن انقلاب اسلامي مازندران"</f>
        <v xml:space="preserve">  بنيادمسكن انقلاب اسلامي مازندران</v>
      </c>
      <c r="Q394" s="1">
        <v>62</v>
      </c>
      <c r="R394" s="1" t="str">
        <f>"فروش داخلي - سازمان بنيادمسكن انقلاب اسلامي"</f>
        <v>فروش داخلي - سازمان بنيادمسكن انقلاب اسلامي</v>
      </c>
      <c r="S394" s="1" t="str">
        <f>"قرارداد فروش"</f>
        <v>قرارداد فروش</v>
      </c>
      <c r="T394" s="1" t="str">
        <f>"ندارد"</f>
        <v>ندارد</v>
      </c>
      <c r="U394" s="1" t="str">
        <f>"شيشه بر كريم(1841016)"</f>
        <v>شيشه بر كريم(1841016)</v>
      </c>
      <c r="V394" s="1">
        <v>966200228</v>
      </c>
      <c r="W394" s="1">
        <v>966200228</v>
      </c>
      <c r="X394" s="1" t="str">
        <f>"1396511620"</f>
        <v>1396511620</v>
      </c>
      <c r="Y394" s="1" t="str">
        <f>"96/06/21"</f>
        <v>96/06/21</v>
      </c>
      <c r="Z394" s="1" t="str">
        <f>"26377/د"</f>
        <v>26377/د</v>
      </c>
      <c r="AA394" s="1" t="str">
        <f>"بنيادمسكن انقلاب اسلامي"</f>
        <v>بنيادمسكن انقلاب اسلامي</v>
      </c>
      <c r="AB394" s="1" t="str">
        <f>"96/06/15"</f>
        <v>96/06/15</v>
      </c>
      <c r="AC394" s="1" t="str">
        <f>"استان مازندران"</f>
        <v>استان مازندران</v>
      </c>
      <c r="AD394" s="1" t="str">
        <f>"96/06/21"</f>
        <v>96/06/21</v>
      </c>
      <c r="AE394" s="1" t="str">
        <f>"اختتام"</f>
        <v>اختتام</v>
      </c>
      <c r="AF394" s="1" t="str">
        <f>""</f>
        <v/>
      </c>
      <c r="AG394" s="1" t="str">
        <f>""</f>
        <v/>
      </c>
      <c r="AH394" s="1" t="str">
        <f>""</f>
        <v/>
      </c>
      <c r="AI394" s="1" t="str">
        <f>""</f>
        <v/>
      </c>
      <c r="AJ394" s="1" t="str">
        <f>""</f>
        <v/>
      </c>
      <c r="AK394" s="1" t="str">
        <f>""</f>
        <v/>
      </c>
    </row>
    <row r="395" spans="1:37">
      <c r="A395" s="1">
        <v>92000</v>
      </c>
      <c r="B395" s="1">
        <v>966200487</v>
      </c>
      <c r="C395" s="1" t="str">
        <f>"تخليه - مازندران -بابل-جاده گنج افروز-کارخانه قائم آسفالت"</f>
        <v>تخليه - مازندران -بابل-جاده گنج افروز-کارخانه قائم آسفالت</v>
      </c>
      <c r="D395" s="1">
        <v>12850</v>
      </c>
      <c r="E395" s="1">
        <v>92000</v>
      </c>
      <c r="F395" s="1">
        <v>96</v>
      </c>
      <c r="G395" s="1">
        <v>0</v>
      </c>
      <c r="H395" s="1" t="str">
        <f>"96/10/05"</f>
        <v>96/10/05</v>
      </c>
      <c r="I395" s="1" t="str">
        <f>"كيلوگرم"</f>
        <v>كيلوگرم</v>
      </c>
      <c r="J395" s="1" t="str">
        <f>"0000000076"</f>
        <v>0000000076</v>
      </c>
      <c r="K395" s="1" t="str">
        <f>"قير 60/70 - فله"</f>
        <v>قير 60/70 - فله</v>
      </c>
      <c r="L395" s="1">
        <v>100</v>
      </c>
      <c r="M395" s="1" t="str">
        <f>"مخازن قير اصفهان"</f>
        <v>مخازن قير اصفهان</v>
      </c>
      <c r="N395" s="1">
        <v>8903</v>
      </c>
      <c r="O395" s="1">
        <v>50037969</v>
      </c>
      <c r="P395" s="1" t="str">
        <f>"  بنيادمسكن انقلاب اسلامي مازندران"</f>
        <v xml:space="preserve">  بنيادمسكن انقلاب اسلامي مازندران</v>
      </c>
      <c r="Q395" s="1">
        <v>62</v>
      </c>
      <c r="R395" s="1" t="str">
        <f>"فروش داخلي - سازمان بنيادمسكن انقلاب اسلامي"</f>
        <v>فروش داخلي - سازمان بنيادمسكن انقلاب اسلامي</v>
      </c>
      <c r="S395" s="1" t="str">
        <f>"قرارداد فروش"</f>
        <v>قرارداد فروش</v>
      </c>
      <c r="T395" s="1" t="str">
        <f>"ندارد"</f>
        <v>ندارد</v>
      </c>
      <c r="U395" s="1" t="str">
        <f>"شيشه بر كريم(1841016)"</f>
        <v>شيشه بر كريم(1841016)</v>
      </c>
      <c r="V395" s="1">
        <v>966200487</v>
      </c>
      <c r="W395" s="1">
        <v>966200487</v>
      </c>
      <c r="X395" s="1" t="str">
        <f>"1396535037"</f>
        <v>1396535037</v>
      </c>
      <c r="Y395" s="1" t="str">
        <f>"96/10/05"</f>
        <v>96/10/05</v>
      </c>
      <c r="Z395" s="1" t="str">
        <f>"43941/د"</f>
        <v>43941/د</v>
      </c>
      <c r="AA395" s="1" t="str">
        <f>"بنيادمسكن انقلاب اسلامي"</f>
        <v>بنيادمسكن انقلاب اسلامي</v>
      </c>
      <c r="AB395" s="1" t="str">
        <f>"96/10/04"</f>
        <v>96/10/04</v>
      </c>
      <c r="AC395" s="1" t="str">
        <f>"استان مازندران"</f>
        <v>استان مازندران</v>
      </c>
      <c r="AD395" s="1" t="str">
        <f>"96/10/05"</f>
        <v>96/10/05</v>
      </c>
      <c r="AE395" s="1" t="str">
        <f>"اختتام"</f>
        <v>اختتام</v>
      </c>
      <c r="AF395" s="1" t="str">
        <f>""</f>
        <v/>
      </c>
      <c r="AG395" s="1" t="str">
        <f>""</f>
        <v/>
      </c>
      <c r="AH395" s="1" t="str">
        <f>""</f>
        <v/>
      </c>
      <c r="AI395" s="1" t="str">
        <f>""</f>
        <v/>
      </c>
      <c r="AJ395" s="1" t="str">
        <f>""</f>
        <v/>
      </c>
      <c r="AK395" s="1" t="str">
        <f>""</f>
        <v/>
      </c>
    </row>
    <row r="396" spans="1:37">
      <c r="A396" s="1">
        <v>53810</v>
      </c>
      <c r="B396" s="1">
        <v>962000498</v>
      </c>
      <c r="C396" s="1" t="str">
        <f>"تخليه -كهكيلويه وبويراحمد-ياسوج- دارشاهي- كيلومتر 35 جاده ياسوج به اصفهان"</f>
        <v>تخليه -كهكيلويه وبويراحمد-ياسوج- دارشاهي- كيلومتر 35 جاده ياسوج به اصفهان</v>
      </c>
      <c r="D396" s="1">
        <v>12820</v>
      </c>
      <c r="E396" s="1">
        <v>53810</v>
      </c>
      <c r="F396" s="1">
        <v>96</v>
      </c>
      <c r="G396" s="1">
        <v>0</v>
      </c>
      <c r="H396" s="1" t="str">
        <f>"96/09/20"</f>
        <v>96/09/20</v>
      </c>
      <c r="I396" s="1" t="str">
        <f>"كيلوگرم"</f>
        <v>كيلوگرم</v>
      </c>
      <c r="J396" s="1" t="str">
        <f>"0000000076"</f>
        <v>0000000076</v>
      </c>
      <c r="K396" s="1" t="str">
        <f>"قير 60/70 - فله"</f>
        <v>قير 60/70 - فله</v>
      </c>
      <c r="L396" s="1">
        <v>100</v>
      </c>
      <c r="M396" s="1" t="str">
        <f>"مخازن قير اصفهان"</f>
        <v>مخازن قير اصفهان</v>
      </c>
      <c r="N396" s="1">
        <v>10860</v>
      </c>
      <c r="O396" s="1">
        <v>50037875</v>
      </c>
      <c r="P396" s="1" t="str">
        <f>"  شهرداري سي سخت"</f>
        <v xml:space="preserve">  شهرداري سي سخت</v>
      </c>
      <c r="Q396" s="1">
        <v>20</v>
      </c>
      <c r="R396" s="1" t="str">
        <f>"فروش داخلي - سازمان شهرداري ها و دهياري هاي كشور"</f>
        <v>فروش داخلي - سازمان شهرداري ها و دهياري هاي كشور</v>
      </c>
      <c r="S396" s="1" t="str">
        <f>"قرارداد فروش"</f>
        <v>قرارداد فروش</v>
      </c>
      <c r="T396" s="1" t="str">
        <f>"ندارد"</f>
        <v>ندارد</v>
      </c>
      <c r="U396" s="1" t="str">
        <f>"تعاوني جم گستر (1001 ج 89)"</f>
        <v>تعاوني جم گستر (1001 ج 89)</v>
      </c>
      <c r="V396" s="1">
        <v>962000498</v>
      </c>
      <c r="W396" s="1">
        <v>962000498</v>
      </c>
      <c r="X396" s="1" t="str">
        <f>"1396529711"</f>
        <v>1396529711</v>
      </c>
      <c r="Y396" s="1" t="str">
        <f>"96/09/20"</f>
        <v>96/09/20</v>
      </c>
      <c r="Z396" s="1" t="str">
        <f>"38294مرحله دوم"</f>
        <v>38294مرحله دوم</v>
      </c>
      <c r="AA396" s="1" t="str">
        <f>"شهرداريها"</f>
        <v>شهرداريها</v>
      </c>
      <c r="AB396" s="1" t="str">
        <f>"96/09/11"</f>
        <v>96/09/11</v>
      </c>
      <c r="AC396" s="1" t="str">
        <f>"كهكيلويه و بوير احمد"</f>
        <v>كهكيلويه و بوير احمد</v>
      </c>
      <c r="AD396" s="1" t="str">
        <f>"96/09/13"</f>
        <v>96/09/13</v>
      </c>
      <c r="AE396" s="1" t="str">
        <f>"اختتام"</f>
        <v>اختتام</v>
      </c>
      <c r="AF396" s="1" t="str">
        <f>""</f>
        <v/>
      </c>
      <c r="AG396" s="1" t="str">
        <f>""</f>
        <v/>
      </c>
      <c r="AH396" s="1" t="str">
        <f>""</f>
        <v/>
      </c>
      <c r="AI396" s="1" t="str">
        <f>""</f>
        <v/>
      </c>
      <c r="AJ396" s="1" t="str">
        <f>""</f>
        <v/>
      </c>
      <c r="AK396" s="1" t="str">
        <f>""</f>
        <v/>
      </c>
    </row>
    <row r="397" spans="1:37">
      <c r="A397" s="1">
        <v>40835</v>
      </c>
      <c r="B397" s="1">
        <v>962000419</v>
      </c>
      <c r="C397" s="1" t="str">
        <f>"تخليه - اصفهان- فريدونشهر کارخانه آسفالت شهرداري"</f>
        <v>تخليه - اصفهان- فريدونشهر کارخانه آسفالت شهرداري</v>
      </c>
      <c r="D397" s="1">
        <v>12820</v>
      </c>
      <c r="E397" s="1">
        <v>40835</v>
      </c>
      <c r="F397" s="1">
        <v>96</v>
      </c>
      <c r="G397" s="1">
        <v>0</v>
      </c>
      <c r="H397" s="1" t="str">
        <f>"96/09/20"</f>
        <v>96/09/20</v>
      </c>
      <c r="I397" s="1" t="str">
        <f>"كيلوگرم"</f>
        <v>كيلوگرم</v>
      </c>
      <c r="J397" s="1" t="str">
        <f>"0000000076"</f>
        <v>0000000076</v>
      </c>
      <c r="K397" s="1" t="str">
        <f>"قير 60/70 - فله"</f>
        <v>قير 60/70 - فله</v>
      </c>
      <c r="L397" s="1">
        <v>100</v>
      </c>
      <c r="M397" s="1" t="str">
        <f>"مخازن قير اصفهان"</f>
        <v>مخازن قير اصفهان</v>
      </c>
      <c r="N397" s="1">
        <v>10866</v>
      </c>
      <c r="O397" s="1">
        <v>50037732</v>
      </c>
      <c r="P397" s="1" t="str">
        <f>"  شهرداري بوئين و مياندشت"</f>
        <v xml:space="preserve">  شهرداري بوئين و مياندشت</v>
      </c>
      <c r="Q397" s="1">
        <v>20</v>
      </c>
      <c r="R397" s="1" t="str">
        <f>"فروش داخلي - سازمان شهرداري ها و دهياري هاي كشور"</f>
        <v>فروش داخلي - سازمان شهرداري ها و دهياري هاي كشور</v>
      </c>
      <c r="S397" s="1" t="str">
        <f>"قرارداد فروش"</f>
        <v>قرارداد فروش</v>
      </c>
      <c r="T397" s="1" t="str">
        <f>"ندارد"</f>
        <v>ندارد</v>
      </c>
      <c r="U397" s="1" t="str">
        <f>"تعاوني جم گستر (1001 ج 89)"</f>
        <v>تعاوني جم گستر (1001 ج 89)</v>
      </c>
      <c r="V397" s="1">
        <v>962000419</v>
      </c>
      <c r="W397" s="1">
        <v>962000419</v>
      </c>
      <c r="X397" s="1" t="str">
        <f>"1396529711"</f>
        <v>1396529711</v>
      </c>
      <c r="Y397" s="1" t="str">
        <f>"96/09/20"</f>
        <v>96/09/20</v>
      </c>
      <c r="Z397" s="1" t="str">
        <f>"37115مرحله دوم"</f>
        <v>37115مرحله دوم</v>
      </c>
      <c r="AA397" s="1" t="str">
        <f>"شهرداريها"</f>
        <v>شهرداريها</v>
      </c>
      <c r="AB397" s="1" t="str">
        <f>"96/09/04"</f>
        <v>96/09/04</v>
      </c>
      <c r="AC397" s="1" t="str">
        <f>"استان اصفهان"</f>
        <v>استان اصفهان</v>
      </c>
      <c r="AD397" s="1" t="str">
        <f>"96/09/13"</f>
        <v>96/09/13</v>
      </c>
      <c r="AE397" s="1" t="str">
        <f>"تاييدشده"</f>
        <v>تاييدشده</v>
      </c>
      <c r="AF397" s="1" t="str">
        <f>""</f>
        <v/>
      </c>
      <c r="AG397" s="1" t="str">
        <f>""</f>
        <v/>
      </c>
      <c r="AH397" s="1" t="str">
        <f>""</f>
        <v/>
      </c>
      <c r="AI397" s="1" t="str">
        <f>""</f>
        <v/>
      </c>
      <c r="AJ397" s="1" t="str">
        <f>""</f>
        <v/>
      </c>
      <c r="AK397" s="1" t="str">
        <f>""</f>
        <v/>
      </c>
    </row>
    <row r="398" spans="1:37">
      <c r="A398" s="1">
        <v>50723</v>
      </c>
      <c r="B398" s="1">
        <v>962000501</v>
      </c>
      <c r="C398" s="1" t="str">
        <f>"تخليه: كهگيلويه و بويراحمد- شهرستان كهگيلويه- شهرداري قلعه رئيسي"</f>
        <v>تخليه: كهگيلويه و بويراحمد- شهرستان كهگيلويه- شهرداري قلعه رئيسي</v>
      </c>
      <c r="D398" s="1">
        <v>12820</v>
      </c>
      <c r="E398" s="1">
        <v>50723</v>
      </c>
      <c r="F398" s="1">
        <v>96</v>
      </c>
      <c r="G398" s="1">
        <v>0</v>
      </c>
      <c r="H398" s="1" t="str">
        <f>"96/09/20"</f>
        <v>96/09/20</v>
      </c>
      <c r="I398" s="1" t="str">
        <f>"كيلوگرم"</f>
        <v>كيلوگرم</v>
      </c>
      <c r="J398" s="1" t="str">
        <f>"0000000076"</f>
        <v>0000000076</v>
      </c>
      <c r="K398" s="1" t="str">
        <f>"قير 60/70 - فله"</f>
        <v>قير 60/70 - فله</v>
      </c>
      <c r="L398" s="1">
        <v>100</v>
      </c>
      <c r="M398" s="1" t="str">
        <f>"مخازن قير اصفهان"</f>
        <v>مخازن قير اصفهان</v>
      </c>
      <c r="N398" s="1">
        <v>10882</v>
      </c>
      <c r="O398" s="1">
        <v>50037878</v>
      </c>
      <c r="P398" s="1" t="str">
        <f>"  شهرداري قلعه رئيسي"</f>
        <v xml:space="preserve">  شهرداري قلعه رئيسي</v>
      </c>
      <c r="Q398" s="1">
        <v>20</v>
      </c>
      <c r="R398" s="1" t="str">
        <f>"فروش داخلي - سازمان شهرداري ها و دهياري هاي كشور"</f>
        <v>فروش داخلي - سازمان شهرداري ها و دهياري هاي كشور</v>
      </c>
      <c r="S398" s="1" t="str">
        <f>"قرارداد فروش"</f>
        <v>قرارداد فروش</v>
      </c>
      <c r="T398" s="1" t="str">
        <f>"ندارد"</f>
        <v>ندارد</v>
      </c>
      <c r="U398" s="1" t="str">
        <f>"تعاوني جم گستر (1001 ج 89)"</f>
        <v>تعاوني جم گستر (1001 ج 89)</v>
      </c>
      <c r="V398" s="1">
        <v>962000501</v>
      </c>
      <c r="W398" s="1">
        <v>962000501</v>
      </c>
      <c r="X398" s="1" t="str">
        <f>"1396529711"</f>
        <v>1396529711</v>
      </c>
      <c r="Y398" s="1" t="str">
        <f>"96/09/20"</f>
        <v>96/09/20</v>
      </c>
      <c r="Z398" s="1" t="str">
        <f>"38293مرحله دوم"</f>
        <v>38293مرحله دوم</v>
      </c>
      <c r="AA398" s="1" t="str">
        <f>"شهرداريها"</f>
        <v>شهرداريها</v>
      </c>
      <c r="AB398" s="1" t="str">
        <f>"96/09/11"</f>
        <v>96/09/11</v>
      </c>
      <c r="AC398" s="1" t="str">
        <f>"كهكيلويه و بوير احمد"</f>
        <v>كهكيلويه و بوير احمد</v>
      </c>
      <c r="AD398" s="1" t="str">
        <f>"96/09/13"</f>
        <v>96/09/13</v>
      </c>
      <c r="AE398" s="1" t="str">
        <f>"اختتام"</f>
        <v>اختتام</v>
      </c>
      <c r="AF398" s="1" t="str">
        <f>""</f>
        <v/>
      </c>
      <c r="AG398" s="1" t="str">
        <f>""</f>
        <v/>
      </c>
      <c r="AH398" s="1" t="str">
        <f>""</f>
        <v/>
      </c>
      <c r="AI398" s="1" t="str">
        <f>""</f>
        <v/>
      </c>
      <c r="AJ398" s="1" t="str">
        <f>""</f>
        <v/>
      </c>
      <c r="AK398" s="1" t="str">
        <f>""</f>
        <v/>
      </c>
    </row>
    <row r="399" spans="1:37">
      <c r="A399" s="1">
        <v>469000</v>
      </c>
      <c r="B399" s="1">
        <v>966200031</v>
      </c>
      <c r="C399" s="1" t="str">
        <f>"تخليه - خراسان شمالي - اسفراين-کارخانه آسفالت شرکت سيال باختر-کيلومتر 50 جاده بام"</f>
        <v>تخليه - خراسان شمالي - اسفراين-کارخانه آسفالت شرکت سيال باختر-کيلومتر 50 جاده بام</v>
      </c>
      <c r="D399" s="1">
        <v>8918</v>
      </c>
      <c r="E399" s="1">
        <v>468780</v>
      </c>
      <c r="F399" s="1">
        <v>96</v>
      </c>
      <c r="G399" s="1">
        <v>220</v>
      </c>
      <c r="H399" s="1" t="str">
        <f>"96/02/04"</f>
        <v>96/02/04</v>
      </c>
      <c r="I399" s="1" t="str">
        <f>"كيلوگرم"</f>
        <v>كيلوگرم</v>
      </c>
      <c r="J399" s="1" t="str">
        <f>"0000000076"</f>
        <v>0000000076</v>
      </c>
      <c r="K399" s="1" t="str">
        <f>"قير 60/70 - فله"</f>
        <v>قير 60/70 - فله</v>
      </c>
      <c r="L399" s="1">
        <v>100</v>
      </c>
      <c r="M399" s="1" t="str">
        <f>"مخازن قير اصفهان"</f>
        <v>مخازن قير اصفهان</v>
      </c>
      <c r="N399" s="1">
        <v>11338</v>
      </c>
      <c r="O399" s="1">
        <v>50034670</v>
      </c>
      <c r="P399" s="1" t="str">
        <f>"  سيال باختر طوس"</f>
        <v xml:space="preserve">  سيال باختر طوس</v>
      </c>
      <c r="Q399" s="1">
        <v>62</v>
      </c>
      <c r="R399" s="1" t="str">
        <f>"فروش داخلي - سازمان بنيادمسكن انقلاب اسلامي"</f>
        <v>فروش داخلي - سازمان بنيادمسكن انقلاب اسلامي</v>
      </c>
      <c r="S399" s="1" t="str">
        <f>"قرارداد فروش"</f>
        <v>قرارداد فروش</v>
      </c>
      <c r="T399" s="1" t="str">
        <f>"ندارد"</f>
        <v>ندارد</v>
      </c>
      <c r="U399" s="1" t="str">
        <f>"نظام دوست امين (1911102)"</f>
        <v>نظام دوست امين (1911102)</v>
      </c>
      <c r="V399" s="1">
        <v>966200031</v>
      </c>
      <c r="W399" s="1">
        <v>966200031</v>
      </c>
      <c r="X399" s="1" t="str">
        <f>"1396476390"</f>
        <v>1396476390</v>
      </c>
      <c r="Y399" s="1" t="str">
        <f>"96/02/04"</f>
        <v>96/02/04</v>
      </c>
      <c r="Z399" s="1" t="str">
        <f>"2286/د"</f>
        <v>2286/د</v>
      </c>
      <c r="AA399" s="1" t="str">
        <f>"بنيادمسكن انقلاب اسلامي"</f>
        <v>بنيادمسكن انقلاب اسلامي</v>
      </c>
      <c r="AB399" s="1" t="str">
        <f>"96/01/28"</f>
        <v>96/01/28</v>
      </c>
      <c r="AC399" s="1" t="str">
        <f>"خراسان شمالي"</f>
        <v>خراسان شمالي</v>
      </c>
      <c r="AD399" s="1" t="str">
        <f>"96/02/04"</f>
        <v>96/02/04</v>
      </c>
      <c r="AE399" s="1" t="str">
        <f>"اختتام"</f>
        <v>اختتام</v>
      </c>
      <c r="AF399" s="1" t="str">
        <f>""</f>
        <v/>
      </c>
      <c r="AG399" s="1" t="str">
        <f>""</f>
        <v/>
      </c>
      <c r="AH399" s="1" t="str">
        <f>""</f>
        <v/>
      </c>
      <c r="AI399" s="1" t="str">
        <f>""</f>
        <v/>
      </c>
      <c r="AJ399" s="1" t="str">
        <f>""</f>
        <v/>
      </c>
      <c r="AK399" s="1" t="str">
        <f>""</f>
        <v/>
      </c>
    </row>
    <row r="400" spans="1:37">
      <c r="A400" s="1">
        <v>88000</v>
      </c>
      <c r="B400" s="1">
        <v>966200587</v>
      </c>
      <c r="C400" s="1" t="str">
        <f>"تخليه - خراسان شمالي - اسفراين-کارخانه آسفالت شرکت سيال باختر-کيلومتر 50 جاده بام"</f>
        <v>تخليه - خراسان شمالي - اسفراين-کارخانه آسفالت شرکت سيال باختر-کيلومتر 50 جاده بام</v>
      </c>
      <c r="D400" s="1">
        <v>13350</v>
      </c>
      <c r="E400" s="1">
        <v>86600</v>
      </c>
      <c r="F400" s="1">
        <v>96</v>
      </c>
      <c r="G400" s="1">
        <v>1400</v>
      </c>
      <c r="H400" s="1" t="str">
        <f>"96/12/06"</f>
        <v>96/12/06</v>
      </c>
      <c r="I400" s="1" t="str">
        <f>"كيلوگرم"</f>
        <v>كيلوگرم</v>
      </c>
      <c r="J400" s="1" t="str">
        <f>"0000000076"</f>
        <v>0000000076</v>
      </c>
      <c r="K400" s="1" t="str">
        <f>"قير 60/70 - فله"</f>
        <v>قير 60/70 - فله</v>
      </c>
      <c r="L400" s="1">
        <v>100</v>
      </c>
      <c r="M400" s="1" t="str">
        <f>"مخازن قير اصفهان"</f>
        <v>مخازن قير اصفهان</v>
      </c>
      <c r="N400" s="1">
        <v>11338</v>
      </c>
      <c r="O400" s="1">
        <v>50038610</v>
      </c>
      <c r="P400" s="1" t="str">
        <f>"  سيال باختر طوس"</f>
        <v xml:space="preserve">  سيال باختر طوس</v>
      </c>
      <c r="Q400" s="1">
        <v>62</v>
      </c>
      <c r="R400" s="1" t="str">
        <f>"فروش داخلي - سازمان بنيادمسكن انقلاب اسلامي"</f>
        <v>فروش داخلي - سازمان بنيادمسكن انقلاب اسلامي</v>
      </c>
      <c r="S400" s="1" t="str">
        <f>"قرارداد فروش"</f>
        <v>قرارداد فروش</v>
      </c>
      <c r="T400" s="1" t="str">
        <f>"ندارد"</f>
        <v>ندارد</v>
      </c>
      <c r="U400" s="1" t="str">
        <f>"نظام دوست امين (1911102)"</f>
        <v>نظام دوست امين (1911102)</v>
      </c>
      <c r="V400" s="1">
        <v>966200587</v>
      </c>
      <c r="W400" s="1">
        <v>966200587</v>
      </c>
      <c r="X400" s="1" t="str">
        <f>"1396550455"</f>
        <v>1396550455</v>
      </c>
      <c r="Y400" s="1" t="str">
        <f>"96/12/06"</f>
        <v>96/12/06</v>
      </c>
      <c r="Z400" s="1" t="str">
        <f>"54449/د"</f>
        <v>54449/د</v>
      </c>
      <c r="AA400" s="1" t="str">
        <f>"بنيادمسكن انقلاب اسلامي"</f>
        <v>بنيادمسكن انقلاب اسلامي</v>
      </c>
      <c r="AB400" s="1" t="str">
        <f>"96/12/02"</f>
        <v>96/12/02</v>
      </c>
      <c r="AC400" s="1" t="str">
        <f>"خراسان شمالي"</f>
        <v>خراسان شمالي</v>
      </c>
      <c r="AD400" s="1" t="str">
        <f>"96/12/06"</f>
        <v>96/12/06</v>
      </c>
      <c r="AE400" s="1" t="str">
        <f>"اختتام"</f>
        <v>اختتام</v>
      </c>
      <c r="AF400" s="1" t="str">
        <f>""</f>
        <v/>
      </c>
      <c r="AG400" s="1" t="str">
        <f>""</f>
        <v/>
      </c>
      <c r="AH400" s="1" t="str">
        <f>""</f>
        <v/>
      </c>
      <c r="AI400" s="1" t="str">
        <f>""</f>
        <v/>
      </c>
      <c r="AJ400" s="1" t="str">
        <f>""</f>
        <v/>
      </c>
      <c r="AK400" s="1" t="str">
        <f>""</f>
        <v/>
      </c>
    </row>
    <row r="401" spans="1:37">
      <c r="A401" s="1">
        <v>149000</v>
      </c>
      <c r="B401" s="1">
        <v>966200053</v>
      </c>
      <c r="C401" s="1" t="str">
        <f>"تخليه - فارس-لارستان-منطقه صحراي باغ-عماد ده-کارخانه آسفالت سيف ا.. غلامي"</f>
        <v>تخليه - فارس-لارستان-منطقه صحراي باغ-عماد ده-کارخانه آسفالت سيف ا.. غلامي</v>
      </c>
      <c r="D401" s="1">
        <v>8918</v>
      </c>
      <c r="E401" s="1">
        <v>147100</v>
      </c>
      <c r="F401" s="1">
        <v>96</v>
      </c>
      <c r="G401" s="1">
        <v>1900</v>
      </c>
      <c r="H401" s="1" t="str">
        <f>"96/02/06"</f>
        <v>96/02/06</v>
      </c>
      <c r="I401" s="1" t="str">
        <f>"كيلوگرم"</f>
        <v>كيلوگرم</v>
      </c>
      <c r="J401" s="1" t="str">
        <f>"0000000076"</f>
        <v>0000000076</v>
      </c>
      <c r="K401" s="1" t="str">
        <f>"قير 60/70 - فله"</f>
        <v>قير 60/70 - فله</v>
      </c>
      <c r="L401" s="1">
        <v>100</v>
      </c>
      <c r="M401" s="1" t="str">
        <f>"مخازن قير اصفهان"</f>
        <v>مخازن قير اصفهان</v>
      </c>
      <c r="N401" s="1">
        <v>11345</v>
      </c>
      <c r="O401" s="1">
        <v>50034706</v>
      </c>
      <c r="P401" s="1" t="str">
        <f>"  سينا نويد گستر"</f>
        <v xml:space="preserve">  سينا نويد گستر</v>
      </c>
      <c r="Q401" s="1">
        <v>62</v>
      </c>
      <c r="R401" s="1" t="str">
        <f>"فروش داخلي - سازمان بنيادمسكن انقلاب اسلامي"</f>
        <v>فروش داخلي - سازمان بنيادمسكن انقلاب اسلامي</v>
      </c>
      <c r="S401" s="1" t="str">
        <f>"قرارداد فروش"</f>
        <v>قرارداد فروش</v>
      </c>
      <c r="T401" s="1" t="str">
        <f>"ندارد"</f>
        <v>ندارد</v>
      </c>
      <c r="U401" s="1" t="str">
        <f>"حاصليان ترابرجنوب مرتضي حاصلي (4844006)"</f>
        <v>حاصليان ترابرجنوب مرتضي حاصلي (4844006)</v>
      </c>
      <c r="V401" s="1">
        <v>966200053</v>
      </c>
      <c r="W401" s="1">
        <v>966200053</v>
      </c>
      <c r="X401" s="1" t="str">
        <f>"1396477333"</f>
        <v>1396477333</v>
      </c>
      <c r="Y401" s="1" t="str">
        <f>"96/02/06"</f>
        <v>96/02/06</v>
      </c>
      <c r="Z401" s="1" t="str">
        <f>"3762/د"</f>
        <v>3762/د</v>
      </c>
      <c r="AA401" s="1" t="str">
        <f>"بنيادمسكن انقلاب اسلامي"</f>
        <v>بنيادمسكن انقلاب اسلامي</v>
      </c>
      <c r="AB401" s="1" t="str">
        <f>"96/02/03"</f>
        <v>96/02/03</v>
      </c>
      <c r="AC401" s="1" t="str">
        <f>"استان هرمزگان"</f>
        <v>استان هرمزگان</v>
      </c>
      <c r="AD401" s="1" t="str">
        <f>"96/02/06"</f>
        <v>96/02/06</v>
      </c>
      <c r="AE401" s="1" t="str">
        <f>"اختتام"</f>
        <v>اختتام</v>
      </c>
      <c r="AF401" s="1" t="str">
        <f>""</f>
        <v/>
      </c>
      <c r="AG401" s="1" t="str">
        <f>""</f>
        <v/>
      </c>
      <c r="AH401" s="1" t="str">
        <f>""</f>
        <v/>
      </c>
      <c r="AI401" s="1" t="str">
        <f>""</f>
        <v/>
      </c>
      <c r="AJ401" s="1" t="str">
        <f>""</f>
        <v/>
      </c>
      <c r="AK401" s="1" t="str">
        <f>""</f>
        <v/>
      </c>
    </row>
    <row r="402" spans="1:37">
      <c r="A402" s="1">
        <v>3000000</v>
      </c>
      <c r="B402" s="1">
        <v>961100020</v>
      </c>
      <c r="C402" s="1" t="str">
        <f>"تخليه اصفهان خيابان ارغوانيه سه راه گردنه زينل كارخانه آسفالت سازمان عمران شهرداري اصفهان"</f>
        <v>تخليه اصفهان خيابان ارغوانيه سه راه گردنه زينل كارخانه آسفالت سازمان عمران شهرداري اصفهان</v>
      </c>
      <c r="D402" s="1">
        <v>8918</v>
      </c>
      <c r="E402" s="1">
        <v>2998360</v>
      </c>
      <c r="F402" s="1">
        <v>96</v>
      </c>
      <c r="G402" s="1">
        <v>1640</v>
      </c>
      <c r="H402" s="1" t="str">
        <f>"96/02/30"</f>
        <v>96/02/30</v>
      </c>
      <c r="I402" s="1" t="str">
        <f>"كيلوگرم"</f>
        <v>كيلوگرم</v>
      </c>
      <c r="J402" s="1" t="str">
        <f>"0000000076"</f>
        <v>0000000076</v>
      </c>
      <c r="K402" s="1" t="str">
        <f>"قير 60/70 - فله"</f>
        <v>قير 60/70 - فله</v>
      </c>
      <c r="L402" s="1">
        <v>100</v>
      </c>
      <c r="M402" s="1" t="str">
        <f>"مخازن قير اصفهان"</f>
        <v>مخازن قير اصفهان</v>
      </c>
      <c r="N402" s="1">
        <v>11346</v>
      </c>
      <c r="O402" s="1">
        <v>50034871</v>
      </c>
      <c r="P402" s="1" t="str">
        <f>"  شهرداري اصفهان(شهرداري منطقه 12)"</f>
        <v xml:space="preserve">  شهرداري اصفهان(شهرداري منطقه 12)</v>
      </c>
      <c r="Q402" s="1">
        <v>11</v>
      </c>
      <c r="R402" s="1" t="str">
        <f>"فروش داخلي تهران - بورس"</f>
        <v>فروش داخلي تهران - بورس</v>
      </c>
      <c r="S402" s="1" t="str">
        <f>"قرارداد فروش"</f>
        <v>قرارداد فروش</v>
      </c>
      <c r="T402" s="1" t="str">
        <f>"ندارد"</f>
        <v>ندارد</v>
      </c>
      <c r="U402" s="1" t="str">
        <f>"ترك شاهسوندي مهدي(1022ج89)"</f>
        <v>ترك شاهسوندي مهدي(1022ج89)</v>
      </c>
      <c r="V402" s="1">
        <v>961100020</v>
      </c>
      <c r="W402" s="1">
        <v>961100020</v>
      </c>
      <c r="X402" s="1" t="str">
        <f>"1396480804"</f>
        <v>1396480804</v>
      </c>
      <c r="Y402" s="1" t="str">
        <f>"96/02/30"</f>
        <v>96/02/30</v>
      </c>
      <c r="Z402" s="1" t="str">
        <f>"12/96/1912"</f>
        <v>12/96/1912</v>
      </c>
      <c r="AA402" s="1" t="str">
        <f>"شهرداريها"</f>
        <v>شهرداريها</v>
      </c>
      <c r="AB402" s="1" t="str">
        <f>"96/02/27"</f>
        <v>96/02/27</v>
      </c>
      <c r="AC402" s="1" t="str">
        <f>"استان اصفهان"</f>
        <v>استان اصفهان</v>
      </c>
      <c r="AD402" s="1" t="str">
        <f>"96/02/25"</f>
        <v>96/02/25</v>
      </c>
      <c r="AE402" s="1" t="str">
        <f>"اختتام"</f>
        <v>اختتام</v>
      </c>
      <c r="AF402" s="1" t="str">
        <f>""</f>
        <v/>
      </c>
      <c r="AG402" s="1" t="str">
        <f>""</f>
        <v/>
      </c>
      <c r="AH402" s="1" t="str">
        <f>""</f>
        <v/>
      </c>
      <c r="AI402" s="1" t="str">
        <f>""</f>
        <v/>
      </c>
      <c r="AJ402" s="1" t="str">
        <f>""</f>
        <v/>
      </c>
      <c r="AK402" s="1" t="str">
        <f>""</f>
        <v/>
      </c>
    </row>
    <row r="403" spans="1:37">
      <c r="A403" s="1">
        <v>84000</v>
      </c>
      <c r="B403" s="1">
        <v>966200063</v>
      </c>
      <c r="C403" s="1" t="str">
        <f>"تخليه - هرمزگان-بندرعباس-جاده ايسين-بعداز هورمودر-کارخانه آسفالت شرکت ريگ آباد ساز سيرجان"</f>
        <v>تخليه - هرمزگان-بندرعباس-جاده ايسين-بعداز هورمودر-کارخانه آسفالت شرکت ريگ آباد ساز سيرجان</v>
      </c>
      <c r="D403" s="1">
        <v>8918</v>
      </c>
      <c r="E403" s="1">
        <v>83900</v>
      </c>
      <c r="F403" s="1">
        <v>96</v>
      </c>
      <c r="G403" s="1">
        <v>100</v>
      </c>
      <c r="H403" s="1" t="str">
        <f>"96/02/13"</f>
        <v>96/02/13</v>
      </c>
      <c r="I403" s="1" t="str">
        <f>"كيلوگرم"</f>
        <v>كيلوگرم</v>
      </c>
      <c r="J403" s="1" t="str">
        <f>"0000000076"</f>
        <v>0000000076</v>
      </c>
      <c r="K403" s="1" t="str">
        <f>"قير 60/70 - فله"</f>
        <v>قير 60/70 - فله</v>
      </c>
      <c r="L403" s="1">
        <v>100</v>
      </c>
      <c r="M403" s="1" t="str">
        <f>"مخازن قير اصفهان"</f>
        <v>مخازن قير اصفهان</v>
      </c>
      <c r="N403" s="1">
        <v>11347</v>
      </c>
      <c r="O403" s="1">
        <v>50034760</v>
      </c>
      <c r="P403" s="1" t="str">
        <f>"  سحرراه سراب"</f>
        <v xml:space="preserve">  سحرراه سراب</v>
      </c>
      <c r="Q403" s="1">
        <v>62</v>
      </c>
      <c r="R403" s="1" t="str">
        <f>"فروش داخلي - سازمان بنيادمسكن انقلاب اسلامي"</f>
        <v>فروش داخلي - سازمان بنيادمسكن انقلاب اسلامي</v>
      </c>
      <c r="S403" s="1" t="str">
        <f>"قرارداد فروش"</f>
        <v>قرارداد فروش</v>
      </c>
      <c r="T403" s="1" t="str">
        <f>"ندارد"</f>
        <v>ندارد</v>
      </c>
      <c r="U403" s="1" t="str">
        <f>"حاصليان ترابرجنوب مرتضي حاصلي (4844006)"</f>
        <v>حاصليان ترابرجنوب مرتضي حاصلي (4844006)</v>
      </c>
      <c r="V403" s="1">
        <v>966200063</v>
      </c>
      <c r="W403" s="1">
        <v>966200063</v>
      </c>
      <c r="X403" s="1" t="str">
        <f>"1396477992"</f>
        <v>1396477992</v>
      </c>
      <c r="Y403" s="1" t="str">
        <f>"96/02/13"</f>
        <v>96/02/13</v>
      </c>
      <c r="Z403" s="1" t="str">
        <f>"4557/د"</f>
        <v>4557/د</v>
      </c>
      <c r="AA403" s="1" t="str">
        <f>"بنيادمسكن انقلاب اسلامي"</f>
        <v>بنيادمسكن انقلاب اسلامي</v>
      </c>
      <c r="AB403" s="1" t="str">
        <f>"96/02/11"</f>
        <v>96/02/11</v>
      </c>
      <c r="AC403" s="1" t="str">
        <f>"استان هرمزگان"</f>
        <v>استان هرمزگان</v>
      </c>
      <c r="AD403" s="1" t="str">
        <f>"96/02/12"</f>
        <v>96/02/12</v>
      </c>
      <c r="AE403" s="1" t="str">
        <f>"اختتام"</f>
        <v>اختتام</v>
      </c>
      <c r="AF403" s="1" t="str">
        <f>""</f>
        <v/>
      </c>
      <c r="AG403" s="1" t="str">
        <f>""</f>
        <v/>
      </c>
      <c r="AH403" s="1" t="str">
        <f>""</f>
        <v/>
      </c>
      <c r="AI403" s="1" t="str">
        <f>""</f>
        <v/>
      </c>
      <c r="AJ403" s="1" t="str">
        <f>""</f>
        <v/>
      </c>
      <c r="AK403" s="1" t="str">
        <f>""</f>
        <v/>
      </c>
    </row>
    <row r="404" spans="1:37">
      <c r="A404" s="1">
        <v>757000</v>
      </c>
      <c r="B404" s="1">
        <v>966200067</v>
      </c>
      <c r="C404" s="1" t="str">
        <f>"تخليه - قزوين-ابتداي جاده تاکستان - روستاي خيرآباد-امورماشين آلات بنياد مسکن استان قزوين"</f>
        <v>تخليه - قزوين-ابتداي جاده تاکستان - روستاي خيرآباد-امورماشين آلات بنياد مسکن استان قزوين</v>
      </c>
      <c r="D404" s="1">
        <v>8918</v>
      </c>
      <c r="E404" s="1">
        <v>754460</v>
      </c>
      <c r="F404" s="1">
        <v>96</v>
      </c>
      <c r="G404" s="1">
        <v>2540</v>
      </c>
      <c r="H404" s="1" t="str">
        <f>"96/02/14"</f>
        <v>96/02/14</v>
      </c>
      <c r="I404" s="1" t="str">
        <f>"كيلوگرم"</f>
        <v>كيلوگرم</v>
      </c>
      <c r="J404" s="1" t="str">
        <f>"0000000076"</f>
        <v>0000000076</v>
      </c>
      <c r="K404" s="1" t="str">
        <f>"قير 60/70 - فله"</f>
        <v>قير 60/70 - فله</v>
      </c>
      <c r="L404" s="1">
        <v>100</v>
      </c>
      <c r="M404" s="1" t="str">
        <f>"مخازن قير اصفهان"</f>
        <v>مخازن قير اصفهان</v>
      </c>
      <c r="N404" s="1">
        <v>11349</v>
      </c>
      <c r="O404" s="1">
        <v>50034765</v>
      </c>
      <c r="P404" s="1" t="str">
        <f>"  بنيادمسکن استان قزوين"</f>
        <v xml:space="preserve">  بنيادمسکن استان قزوين</v>
      </c>
      <c r="Q404" s="1">
        <v>62</v>
      </c>
      <c r="R404" s="1" t="str">
        <f>"فروش داخلي - سازمان بنيادمسكن انقلاب اسلامي"</f>
        <v>فروش داخلي - سازمان بنيادمسكن انقلاب اسلامي</v>
      </c>
      <c r="S404" s="1" t="str">
        <f>"قرارداد فروش"</f>
        <v>قرارداد فروش</v>
      </c>
      <c r="T404" s="1" t="str">
        <f>"ندارد"</f>
        <v>ندارد</v>
      </c>
      <c r="U404" s="1" t="str">
        <f>"قراباغي علي اشرف(1901091)"</f>
        <v>قراباغي علي اشرف(1901091)</v>
      </c>
      <c r="V404" s="1">
        <v>966200067</v>
      </c>
      <c r="W404" s="1">
        <v>966200067</v>
      </c>
      <c r="X404" s="1" t="str">
        <f>"1396478789"</f>
        <v>1396478789</v>
      </c>
      <c r="Y404" s="1" t="str">
        <f>"96/02/14"</f>
        <v>96/02/14</v>
      </c>
      <c r="Z404" s="1" t="str">
        <f>"4517/د"</f>
        <v>4517/د</v>
      </c>
      <c r="AA404" s="1" t="str">
        <f>"بنيادمسكن انقلاب اسلامي"</f>
        <v>بنيادمسكن انقلاب اسلامي</v>
      </c>
      <c r="AB404" s="1" t="str">
        <f>"96/02/11"</f>
        <v>96/02/11</v>
      </c>
      <c r="AC404" s="1" t="str">
        <f>"قزوين"</f>
        <v>قزوين</v>
      </c>
      <c r="AD404" s="1" t="str">
        <f>"96/02/13"</f>
        <v>96/02/13</v>
      </c>
      <c r="AE404" s="1" t="str">
        <f>"اختتام"</f>
        <v>اختتام</v>
      </c>
      <c r="AF404" s="1" t="str">
        <f>""</f>
        <v/>
      </c>
      <c r="AG404" s="1" t="str">
        <f>""</f>
        <v/>
      </c>
      <c r="AH404" s="1" t="str">
        <f>""</f>
        <v/>
      </c>
      <c r="AI404" s="1" t="str">
        <f>""</f>
        <v/>
      </c>
      <c r="AJ404" s="1" t="str">
        <f>""</f>
        <v/>
      </c>
      <c r="AK404" s="1" t="str">
        <f>""</f>
        <v/>
      </c>
    </row>
    <row r="405" spans="1:37">
      <c r="A405" s="1">
        <v>122000</v>
      </c>
      <c r="B405" s="1">
        <v>966200203</v>
      </c>
      <c r="C405" s="1" t="str">
        <f>"تخليه - سيستان و بلوچستان-هامون-شهرمحمدآباد -کارخانه آسفالت برادران طباطبايي"</f>
        <v>تخليه - سيستان و بلوچستان-هامون-شهرمحمدآباد -کارخانه آسفالت برادران طباطبايي</v>
      </c>
      <c r="D405" s="1">
        <v>8704</v>
      </c>
      <c r="E405" s="1">
        <v>121560</v>
      </c>
      <c r="F405" s="1">
        <v>96</v>
      </c>
      <c r="G405" s="1">
        <v>440</v>
      </c>
      <c r="H405" s="1" t="str">
        <f>"96/05/31"</f>
        <v>96/05/31</v>
      </c>
      <c r="I405" s="1" t="str">
        <f>"كيلوگرم"</f>
        <v>كيلوگرم</v>
      </c>
      <c r="J405" s="1" t="str">
        <f>"0000000076"</f>
        <v>0000000076</v>
      </c>
      <c r="K405" s="1" t="str">
        <f>"قير 60/70 - فله"</f>
        <v>قير 60/70 - فله</v>
      </c>
      <c r="L405" s="1">
        <v>100</v>
      </c>
      <c r="M405" s="1" t="str">
        <f>"مخازن قير اصفهان"</f>
        <v>مخازن قير اصفهان</v>
      </c>
      <c r="N405" s="1">
        <v>11360</v>
      </c>
      <c r="O405" s="1">
        <v>50035769</v>
      </c>
      <c r="P405" s="1" t="str">
        <f>"  پارت سازان هامون"</f>
        <v xml:space="preserve">  پارت سازان هامون</v>
      </c>
      <c r="Q405" s="1">
        <v>62</v>
      </c>
      <c r="R405" s="1" t="str">
        <f>"فروش داخلي - سازمان بنيادمسكن انقلاب اسلامي"</f>
        <v>فروش داخلي - سازمان بنيادمسكن انقلاب اسلامي</v>
      </c>
      <c r="S405" s="1" t="str">
        <f>"قرارداد فروش"</f>
        <v>قرارداد فروش</v>
      </c>
      <c r="T405" s="1" t="str">
        <f>"ندارد"</f>
        <v>ندارد</v>
      </c>
      <c r="U405" s="1" t="str">
        <f>"قانعي محمدرضا(1011ج89)"</f>
        <v>قانعي محمدرضا(1011ج89)</v>
      </c>
      <c r="V405" s="1">
        <v>966200203</v>
      </c>
      <c r="W405" s="1">
        <v>966200203</v>
      </c>
      <c r="X405" s="1" t="str">
        <f>"1396507045"</f>
        <v>1396507045</v>
      </c>
      <c r="Y405" s="1" t="str">
        <f>"96/05/31"</f>
        <v>96/05/31</v>
      </c>
      <c r="Z405" s="1" t="str">
        <f>"23008/د"</f>
        <v>23008/د</v>
      </c>
      <c r="AA405" s="1" t="str">
        <f>"بنيادمسكن انقلاب اسلامي"</f>
        <v>بنيادمسكن انقلاب اسلامي</v>
      </c>
      <c r="AB405" s="1" t="str">
        <f>"96/05/29"</f>
        <v>96/05/29</v>
      </c>
      <c r="AC405" s="1" t="str">
        <f>"استان سيستان بلوچستان"</f>
        <v>استان سيستان بلوچستان</v>
      </c>
      <c r="AD405" s="1" t="str">
        <f>"96/05/31"</f>
        <v>96/05/31</v>
      </c>
      <c r="AE405" s="1" t="str">
        <f>"اختتام"</f>
        <v>اختتام</v>
      </c>
      <c r="AF405" s="1" t="str">
        <f>""</f>
        <v/>
      </c>
      <c r="AG405" s="1" t="str">
        <f>""</f>
        <v/>
      </c>
      <c r="AH405" s="1" t="str">
        <f>""</f>
        <v/>
      </c>
      <c r="AI405" s="1" t="str">
        <f>""</f>
        <v/>
      </c>
      <c r="AJ405" s="1" t="str">
        <f>""</f>
        <v/>
      </c>
      <c r="AK405" s="1" t="str">
        <f>""</f>
        <v/>
      </c>
    </row>
    <row r="406" spans="1:37">
      <c r="A406" s="1">
        <v>135000</v>
      </c>
      <c r="B406" s="1">
        <v>966200092</v>
      </c>
      <c r="C406" s="1" t="str">
        <f>"تخليه - سيستان و بلوچستان -سيب و سوران-روستاي ناصرآباد"</f>
        <v>تخليه - سيستان و بلوچستان -سيب و سوران-روستاي ناصرآباد</v>
      </c>
      <c r="D406" s="1">
        <v>8918</v>
      </c>
      <c r="E406" s="1">
        <v>133060</v>
      </c>
      <c r="F406" s="1">
        <v>96</v>
      </c>
      <c r="G406" s="1">
        <v>1940</v>
      </c>
      <c r="H406" s="1" t="str">
        <f>"96/02/27"</f>
        <v>96/02/27</v>
      </c>
      <c r="I406" s="1" t="str">
        <f>"كيلوگرم"</f>
        <v>كيلوگرم</v>
      </c>
      <c r="J406" s="1" t="str">
        <f>"0000000076"</f>
        <v>0000000076</v>
      </c>
      <c r="K406" s="1" t="str">
        <f>"قير 60/70 - فله"</f>
        <v>قير 60/70 - فله</v>
      </c>
      <c r="L406" s="1">
        <v>100</v>
      </c>
      <c r="M406" s="1" t="str">
        <f>"مخازن قير اصفهان"</f>
        <v>مخازن قير اصفهان</v>
      </c>
      <c r="N406" s="1">
        <v>11361</v>
      </c>
      <c r="O406" s="1">
        <v>50034862</v>
      </c>
      <c r="P406" s="1" t="str">
        <f>"  سانلي سازه جنوب"</f>
        <v xml:space="preserve">  سانلي سازه جنوب</v>
      </c>
      <c r="Q406" s="1">
        <v>62</v>
      </c>
      <c r="R406" s="1" t="str">
        <f>"فروش داخلي - سازمان بنيادمسكن انقلاب اسلامي"</f>
        <v>فروش داخلي - سازمان بنيادمسكن انقلاب اسلامي</v>
      </c>
      <c r="S406" s="1" t="str">
        <f>"قرارداد فروش"</f>
        <v>قرارداد فروش</v>
      </c>
      <c r="T406" s="1" t="str">
        <f>"ندارد"</f>
        <v>ندارد</v>
      </c>
      <c r="U406" s="1" t="str">
        <f>"پورباقري ترابر (4914036)"</f>
        <v>پورباقري ترابر (4914036)</v>
      </c>
      <c r="V406" s="1">
        <v>966200092</v>
      </c>
      <c r="W406" s="1">
        <v>966200092</v>
      </c>
      <c r="X406" s="1" t="str">
        <f>"1396481875"</f>
        <v>1396481875</v>
      </c>
      <c r="Y406" s="1" t="str">
        <f>"96/02/27"</f>
        <v>96/02/27</v>
      </c>
      <c r="Z406" s="1" t="str">
        <f>"6831/د"</f>
        <v>6831/د</v>
      </c>
      <c r="AA406" s="1" t="str">
        <f>"بنيادمسكن انقلاب اسلامي"</f>
        <v>بنيادمسكن انقلاب اسلامي</v>
      </c>
      <c r="AB406" s="1" t="str">
        <f>"96/02/25"</f>
        <v>96/02/25</v>
      </c>
      <c r="AC406" s="1" t="str">
        <f>"استان سيستان بلوچستان"</f>
        <v>استان سيستان بلوچستان</v>
      </c>
      <c r="AD406" s="1" t="str">
        <f>"96/02/27"</f>
        <v>96/02/27</v>
      </c>
      <c r="AE406" s="1" t="str">
        <f>"اختتام"</f>
        <v>اختتام</v>
      </c>
      <c r="AF406" s="1" t="str">
        <f>""</f>
        <v/>
      </c>
      <c r="AG406" s="1" t="str">
        <f>""</f>
        <v/>
      </c>
      <c r="AH406" s="1" t="str">
        <f>""</f>
        <v/>
      </c>
      <c r="AI406" s="1" t="str">
        <f>""</f>
        <v/>
      </c>
      <c r="AJ406" s="1" t="str">
        <f>""</f>
        <v/>
      </c>
      <c r="AK406" s="1" t="str">
        <f>""</f>
        <v/>
      </c>
    </row>
    <row r="407" spans="1:37">
      <c r="A407" s="1">
        <v>256000</v>
      </c>
      <c r="B407" s="1">
        <v>966200396</v>
      </c>
      <c r="C407" s="1" t="str">
        <f>"تخليه - لرستان -اليگودرز-شهرک صنعتي"</f>
        <v>تخليه - لرستان -اليگودرز-شهرک صنعتي</v>
      </c>
      <c r="D407" s="1">
        <v>12820</v>
      </c>
      <c r="E407" s="1">
        <v>255200</v>
      </c>
      <c r="F407" s="1">
        <v>96</v>
      </c>
      <c r="G407" s="1">
        <v>800</v>
      </c>
      <c r="H407" s="1" t="str">
        <f>"96/09/08"</f>
        <v>96/09/08</v>
      </c>
      <c r="I407" s="1" t="str">
        <f>"كيلوگرم"</f>
        <v>كيلوگرم</v>
      </c>
      <c r="J407" s="1" t="str">
        <f>"0000000076"</f>
        <v>0000000076</v>
      </c>
      <c r="K407" s="1" t="str">
        <f>"قير 60/70 - فله"</f>
        <v>قير 60/70 - فله</v>
      </c>
      <c r="L407" s="1">
        <v>100</v>
      </c>
      <c r="M407" s="1" t="str">
        <f>"مخازن قير اصفهان"</f>
        <v>مخازن قير اصفهان</v>
      </c>
      <c r="N407" s="1">
        <v>11363</v>
      </c>
      <c r="O407" s="1">
        <v>50037357</v>
      </c>
      <c r="P407" s="1" t="str">
        <f>"  شاهين راه غرب"</f>
        <v xml:space="preserve">  شاهين راه غرب</v>
      </c>
      <c r="Q407" s="1">
        <v>62</v>
      </c>
      <c r="R407" s="1" t="str">
        <f>"فروش داخلي - سازمان بنيادمسكن انقلاب اسلامي"</f>
        <v>فروش داخلي - سازمان بنيادمسكن انقلاب اسلامي</v>
      </c>
      <c r="S407" s="1" t="str">
        <f>"قرارداد فروش"</f>
        <v>قرارداد فروش</v>
      </c>
      <c r="T407" s="1" t="str">
        <f>"ندارد"</f>
        <v>ندارد</v>
      </c>
      <c r="U407" s="1" t="str">
        <f>"عظيمي محمد(2842015)"</f>
        <v>عظيمي محمد(2842015)</v>
      </c>
      <c r="V407" s="1">
        <v>966200396</v>
      </c>
      <c r="W407" s="1">
        <v>966200396</v>
      </c>
      <c r="X407" s="1" t="str">
        <f>"1396529172"</f>
        <v>1396529172</v>
      </c>
      <c r="Y407" s="1" t="str">
        <f>"96/09/08"</f>
        <v>96/09/08</v>
      </c>
      <c r="Z407" s="1" t="str">
        <f>"37709/د"</f>
        <v>37709/د</v>
      </c>
      <c r="AA407" s="1" t="str">
        <f>"بنيادمسكن انقلاب اسلامي"</f>
        <v>بنيادمسكن انقلاب اسلامي</v>
      </c>
      <c r="AB407" s="1" t="str">
        <f>"96/08/22"</f>
        <v>96/08/22</v>
      </c>
      <c r="AC407" s="1" t="str">
        <f>"لرستان"</f>
        <v>لرستان</v>
      </c>
      <c r="AD407" s="1" t="str">
        <f>"96/09/08"</f>
        <v>96/09/08</v>
      </c>
      <c r="AE407" s="1" t="str">
        <f>"اختتام"</f>
        <v>اختتام</v>
      </c>
      <c r="AF407" s="1" t="str">
        <f>""</f>
        <v/>
      </c>
      <c r="AG407" s="1" t="str">
        <f>""</f>
        <v/>
      </c>
      <c r="AH407" s="1" t="str">
        <f>""</f>
        <v/>
      </c>
      <c r="AI407" s="1" t="str">
        <f>""</f>
        <v/>
      </c>
      <c r="AJ407" s="1" t="str">
        <f>""</f>
        <v/>
      </c>
      <c r="AK407" s="1" t="str">
        <f>""</f>
        <v/>
      </c>
    </row>
    <row r="408" spans="1:37">
      <c r="A408" s="1">
        <v>303000</v>
      </c>
      <c r="B408" s="1">
        <v>966200097</v>
      </c>
      <c r="C408" s="1" t="str">
        <f>"تخليه - کرمان-کيلومتر 20جاده رفسنجان-تهران کارخانه آسفالت شرکت تعاوني دهياري هاي رفسنجان"</f>
        <v>تخليه - کرمان-کيلومتر 20جاده رفسنجان-تهران کارخانه آسفالت شرکت تعاوني دهياري هاي رفسنجان</v>
      </c>
      <c r="D408" s="1">
        <v>8918</v>
      </c>
      <c r="E408" s="1">
        <v>300120</v>
      </c>
      <c r="F408" s="1">
        <v>96</v>
      </c>
      <c r="G408" s="1">
        <v>2880</v>
      </c>
      <c r="H408" s="1" t="str">
        <f>"96/02/28"</f>
        <v>96/02/28</v>
      </c>
      <c r="I408" s="1" t="str">
        <f>"كيلوگرم"</f>
        <v>كيلوگرم</v>
      </c>
      <c r="J408" s="1" t="str">
        <f>"0000000076"</f>
        <v>0000000076</v>
      </c>
      <c r="K408" s="1" t="str">
        <f>"قير 60/70 - فله"</f>
        <v>قير 60/70 - فله</v>
      </c>
      <c r="L408" s="1">
        <v>100</v>
      </c>
      <c r="M408" s="1" t="str">
        <f>"مخازن قير اصفهان"</f>
        <v>مخازن قير اصفهان</v>
      </c>
      <c r="N408" s="1">
        <v>11365</v>
      </c>
      <c r="O408" s="1">
        <v>50034868</v>
      </c>
      <c r="P408" s="1" t="str">
        <f>"  تعاوني دهياريهاي شهرستان رفسنجان"</f>
        <v xml:space="preserve">  تعاوني دهياريهاي شهرستان رفسنجان</v>
      </c>
      <c r="Q408" s="1">
        <v>62</v>
      </c>
      <c r="R408" s="1" t="str">
        <f>"فروش داخلي - سازمان بنيادمسكن انقلاب اسلامي"</f>
        <v>فروش داخلي - سازمان بنيادمسكن انقلاب اسلامي</v>
      </c>
      <c r="S408" s="1" t="str">
        <f>"قرارداد فروش"</f>
        <v>قرارداد فروش</v>
      </c>
      <c r="T408" s="1" t="str">
        <f>"ندارد"</f>
        <v>ندارد</v>
      </c>
      <c r="U408" s="1" t="str">
        <f>"پير احمدي محمد جعفر(4844021)"</f>
        <v>پير احمدي محمد جعفر(4844021)</v>
      </c>
      <c r="V408" s="1">
        <v>966200097</v>
      </c>
      <c r="W408" s="1">
        <v>966200097</v>
      </c>
      <c r="X408" s="1" t="str">
        <f>"1396481875"</f>
        <v>1396481875</v>
      </c>
      <c r="Y408" s="1" t="str">
        <f>"96/02/28"</f>
        <v>96/02/28</v>
      </c>
      <c r="Z408" s="1" t="str">
        <f>"6823/د"</f>
        <v>6823/د</v>
      </c>
      <c r="AA408" s="1" t="str">
        <f>"بنيادمسكن انقلاب اسلامي"</f>
        <v>بنيادمسكن انقلاب اسلامي</v>
      </c>
      <c r="AB408" s="1" t="str">
        <f>"96/02/25"</f>
        <v>96/02/25</v>
      </c>
      <c r="AC408" s="1" t="str">
        <f>"استان كرمان"</f>
        <v>استان كرمان</v>
      </c>
      <c r="AD408" s="1" t="str">
        <f>"96/02/27"</f>
        <v>96/02/27</v>
      </c>
      <c r="AE408" s="1" t="str">
        <f>"اختتام"</f>
        <v>اختتام</v>
      </c>
      <c r="AF408" s="1" t="str">
        <f>""</f>
        <v/>
      </c>
      <c r="AG408" s="1" t="str">
        <f>""</f>
        <v/>
      </c>
      <c r="AH408" s="1" t="str">
        <f>""</f>
        <v/>
      </c>
      <c r="AI408" s="1" t="str">
        <f>""</f>
        <v/>
      </c>
      <c r="AJ408" s="1" t="str">
        <f>""</f>
        <v/>
      </c>
      <c r="AK408" s="1" t="str">
        <f>""</f>
        <v/>
      </c>
    </row>
    <row r="409" spans="1:37">
      <c r="A409" s="1">
        <v>20000</v>
      </c>
      <c r="B409" s="1">
        <v>966200614</v>
      </c>
      <c r="C409" s="1" t="str">
        <f>"تخليه-ياسوج جنب پليس راه ياسوج-اصفهان کارخانه داريوش جوکار"</f>
        <v>تخليه-ياسوج جنب پليس راه ياسوج-اصفهان کارخانه داريوش جوکار</v>
      </c>
      <c r="D409" s="1">
        <v>13350</v>
      </c>
      <c r="E409" s="1">
        <v>18640</v>
      </c>
      <c r="F409" s="1">
        <v>96</v>
      </c>
      <c r="G409" s="1">
        <v>1360</v>
      </c>
      <c r="H409" s="1" t="str">
        <f>"96/12/09"</f>
        <v>96/12/09</v>
      </c>
      <c r="I409" s="1" t="str">
        <f>"كيلوگرم"</f>
        <v>كيلوگرم</v>
      </c>
      <c r="J409" s="1" t="str">
        <f>"0000000076"</f>
        <v>0000000076</v>
      </c>
      <c r="K409" s="1" t="str">
        <f>"قير 60/70 - فله"</f>
        <v>قير 60/70 - فله</v>
      </c>
      <c r="L409" s="1">
        <v>100</v>
      </c>
      <c r="M409" s="1" t="str">
        <f>"مخازن قير اصفهان"</f>
        <v>مخازن قير اصفهان</v>
      </c>
      <c r="N409" s="1">
        <v>11040</v>
      </c>
      <c r="O409" s="1">
        <v>50038673</v>
      </c>
      <c r="P409" s="1" t="str">
        <f>"  ويلاسازان برادران برازش"</f>
        <v xml:space="preserve">  ويلاسازان برادران برازش</v>
      </c>
      <c r="Q409" s="1">
        <v>62</v>
      </c>
      <c r="R409" s="1" t="str">
        <f>"فروش داخلي - سازمان بنيادمسكن انقلاب اسلامي"</f>
        <v>فروش داخلي - سازمان بنيادمسكن انقلاب اسلامي</v>
      </c>
      <c r="S409" s="1" t="str">
        <f>"قرارداد فروش"</f>
        <v>قرارداد فروش</v>
      </c>
      <c r="T409" s="1" t="str">
        <f>"ندارد"</f>
        <v>ندارد</v>
      </c>
      <c r="U409" s="1" t="str">
        <f>"غلام نجفي سيامك‌‌‌‌‌‌(1881082)"</f>
        <v>غلام نجفي سيامك‌‌‌‌‌‌(1881082)</v>
      </c>
      <c r="V409" s="1">
        <v>966200614</v>
      </c>
      <c r="W409" s="1">
        <v>966200614</v>
      </c>
      <c r="X409" s="1" t="str">
        <f>"1396551611"</f>
        <v>1396551611</v>
      </c>
      <c r="Y409" s="1" t="str">
        <f>"96/12/09"</f>
        <v>96/12/09</v>
      </c>
      <c r="Z409" s="1" t="str">
        <f>"55765/د"</f>
        <v>55765/د</v>
      </c>
      <c r="AA409" s="1" t="str">
        <f>"بنيادمسكن انقلاب اسلامي"</f>
        <v>بنيادمسكن انقلاب اسلامي</v>
      </c>
      <c r="AB409" s="1" t="str">
        <f>"96/12/08"</f>
        <v>96/12/08</v>
      </c>
      <c r="AC409" s="1" t="str">
        <f>"كهكيلويه و بوير احمد"</f>
        <v>كهكيلويه و بوير احمد</v>
      </c>
      <c r="AD409" s="1" t="str">
        <f>"96/12/09"</f>
        <v>96/12/09</v>
      </c>
      <c r="AE409" s="1" t="str">
        <f>"اختتام"</f>
        <v>اختتام</v>
      </c>
      <c r="AF409" s="1" t="str">
        <f>""</f>
        <v/>
      </c>
      <c r="AG409" s="1" t="str">
        <f>""</f>
        <v/>
      </c>
      <c r="AH409" s="1" t="str">
        <f>""</f>
        <v/>
      </c>
      <c r="AI409" s="1" t="str">
        <f>""</f>
        <v/>
      </c>
      <c r="AJ409" s="1" t="str">
        <f>""</f>
        <v/>
      </c>
      <c r="AK409" s="1" t="str">
        <f>""</f>
        <v/>
      </c>
    </row>
    <row r="410" spans="1:37">
      <c r="A410" s="1">
        <v>130000</v>
      </c>
      <c r="B410" s="1">
        <v>966200738</v>
      </c>
      <c r="C410" s="1" t="str">
        <f>"تخليه- شهر لنده کارخانه-روستاي ايدنک-کارخانه آسفالت شهرداري"</f>
        <v>تخليه- شهر لنده کارخانه-روستاي ايدنک-کارخانه آسفالت شهرداري</v>
      </c>
      <c r="D410" s="1">
        <v>13350</v>
      </c>
      <c r="E410" s="1">
        <v>129500</v>
      </c>
      <c r="F410" s="1">
        <v>96</v>
      </c>
      <c r="G410" s="1">
        <v>500</v>
      </c>
      <c r="H410" s="1" t="str">
        <f>"96/12/26"</f>
        <v>96/12/26</v>
      </c>
      <c r="I410" s="1" t="str">
        <f>"كيلوگرم"</f>
        <v>كيلوگرم</v>
      </c>
      <c r="J410" s="1" t="str">
        <f>"0000000076"</f>
        <v>0000000076</v>
      </c>
      <c r="K410" s="1" t="str">
        <f>"قير 60/70 - فله"</f>
        <v>قير 60/70 - فله</v>
      </c>
      <c r="L410" s="1">
        <v>100</v>
      </c>
      <c r="M410" s="1" t="str">
        <f>"مخازن قير اصفهان"</f>
        <v>مخازن قير اصفهان</v>
      </c>
      <c r="N410" s="1">
        <v>11041</v>
      </c>
      <c r="O410" s="1">
        <v>50039099</v>
      </c>
      <c r="P410" s="1" t="str">
        <f>"  تنگ شير سازه"</f>
        <v xml:space="preserve">  تنگ شير سازه</v>
      </c>
      <c r="Q410" s="1">
        <v>62</v>
      </c>
      <c r="R410" s="1" t="str">
        <f>"فروش داخلي - سازمان بنيادمسكن انقلاب اسلامي"</f>
        <v>فروش داخلي - سازمان بنيادمسكن انقلاب اسلامي</v>
      </c>
      <c r="S410" s="1" t="str">
        <f>"قرارداد فروش"</f>
        <v>قرارداد فروش</v>
      </c>
      <c r="T410" s="1" t="str">
        <f>"ندارد"</f>
        <v>ندارد</v>
      </c>
      <c r="U410" s="1" t="str">
        <f>"غلام نجفي سيامك‌‌‌‌‌‌(1881082)"</f>
        <v>غلام نجفي سيامك‌‌‌‌‌‌(1881082)</v>
      </c>
      <c r="V410" s="1">
        <v>966200738</v>
      </c>
      <c r="W410" s="1">
        <v>966200738</v>
      </c>
      <c r="X410" s="1" t="str">
        <f>"1396555422"</f>
        <v>1396555422</v>
      </c>
      <c r="Y410" s="1" t="str">
        <f>"96/12/26"</f>
        <v>96/12/26</v>
      </c>
      <c r="Z410" s="1" t="str">
        <f>"59453/د"</f>
        <v>59453/د</v>
      </c>
      <c r="AA410" s="1" t="str">
        <f>"بنيادمسكن انقلاب اسلامي"</f>
        <v>بنيادمسكن انقلاب اسلامي</v>
      </c>
      <c r="AB410" s="1" t="str">
        <f>"96/12/23"</f>
        <v>96/12/23</v>
      </c>
      <c r="AC410" s="1" t="str">
        <f>"كهكيلويه و بوير احمد"</f>
        <v>كهكيلويه و بوير احمد</v>
      </c>
      <c r="AD410" s="1" t="str">
        <f>"96/12/26"</f>
        <v>96/12/26</v>
      </c>
      <c r="AE410" s="1" t="str">
        <f>"اختتام"</f>
        <v>اختتام</v>
      </c>
      <c r="AF410" s="1" t="str">
        <f>""</f>
        <v/>
      </c>
      <c r="AG410" s="1" t="str">
        <f>""</f>
        <v/>
      </c>
      <c r="AH410" s="1" t="str">
        <f>""</f>
        <v/>
      </c>
      <c r="AI410" s="1" t="str">
        <f>""</f>
        <v/>
      </c>
      <c r="AJ410" s="1" t="str">
        <f>""</f>
        <v/>
      </c>
      <c r="AK410" s="1" t="str">
        <f>""</f>
        <v/>
      </c>
    </row>
    <row r="411" spans="1:37">
      <c r="A411" s="1">
        <v>24000</v>
      </c>
      <c r="B411" s="1">
        <v>966200462</v>
      </c>
      <c r="C411" s="1" t="str">
        <f>"تخليه - کهگيلويه و بويراحمد-ياسوج-کمربندي ياسوج کارخانه آسفالت زارع"</f>
        <v>تخليه - کهگيلويه و بويراحمد-ياسوج-کمربندي ياسوج کارخانه آسفالت زارع</v>
      </c>
      <c r="D411" s="1">
        <v>12820</v>
      </c>
      <c r="E411" s="1">
        <v>23140</v>
      </c>
      <c r="F411" s="1">
        <v>96</v>
      </c>
      <c r="G411" s="1">
        <v>860</v>
      </c>
      <c r="H411" s="1" t="str">
        <f>"96/09/27"</f>
        <v>96/09/27</v>
      </c>
      <c r="I411" s="1" t="str">
        <f>"كيلوگرم"</f>
        <v>كيلوگرم</v>
      </c>
      <c r="J411" s="1" t="str">
        <f>"0000000076"</f>
        <v>0000000076</v>
      </c>
      <c r="K411" s="1" t="str">
        <f>"قير 60/70 - فله"</f>
        <v>قير 60/70 - فله</v>
      </c>
      <c r="L411" s="1">
        <v>100</v>
      </c>
      <c r="M411" s="1" t="str">
        <f>"مخازن قير اصفهان"</f>
        <v>مخازن قير اصفهان</v>
      </c>
      <c r="N411" s="1">
        <v>11043</v>
      </c>
      <c r="O411" s="1">
        <v>50037902</v>
      </c>
      <c r="P411" s="1" t="str">
        <f>"  كاوه كاركوهستان"</f>
        <v xml:space="preserve">  كاوه كاركوهستان</v>
      </c>
      <c r="Q411" s="1">
        <v>62</v>
      </c>
      <c r="R411" s="1" t="str">
        <f>"فروش داخلي - سازمان بنيادمسكن انقلاب اسلامي"</f>
        <v>فروش داخلي - سازمان بنيادمسكن انقلاب اسلامي</v>
      </c>
      <c r="S411" s="1" t="str">
        <f>"قرارداد فروش"</f>
        <v>قرارداد فروش</v>
      </c>
      <c r="T411" s="1" t="str">
        <f>"ندارد"</f>
        <v>ندارد</v>
      </c>
      <c r="U411" s="1" t="str">
        <f>"غلام نجفي سيامك‌‌‌‌‌‌(1881082)"</f>
        <v>غلام نجفي سيامك‌‌‌‌‌‌(1881082)</v>
      </c>
      <c r="V411" s="1">
        <v>966200462</v>
      </c>
      <c r="W411" s="1">
        <v>966200462</v>
      </c>
      <c r="X411" s="1" t="str">
        <f>"1396533043"</f>
        <v>1396533043</v>
      </c>
      <c r="Y411" s="1" t="str">
        <f>"96/09/27"</f>
        <v>96/09/27</v>
      </c>
      <c r="Z411" s="1" t="str">
        <f>"42427/د"</f>
        <v>42427/د</v>
      </c>
      <c r="AA411" s="1" t="str">
        <f>"بنيادمسكن انقلاب اسلامي"</f>
        <v>بنيادمسكن انقلاب اسلامي</v>
      </c>
      <c r="AB411" s="1" t="str">
        <f>"96/09/26"</f>
        <v>96/09/26</v>
      </c>
      <c r="AC411" s="1" t="str">
        <f>"كهكيلويه و بوير احمد"</f>
        <v>كهكيلويه و بوير احمد</v>
      </c>
      <c r="AD411" s="1" t="str">
        <f>"96/09/27"</f>
        <v>96/09/27</v>
      </c>
      <c r="AE411" s="1" t="str">
        <f>"اختتام"</f>
        <v>اختتام</v>
      </c>
      <c r="AF411" s="1" t="str">
        <f>""</f>
        <v/>
      </c>
      <c r="AG411" s="1" t="str">
        <f>""</f>
        <v/>
      </c>
      <c r="AH411" s="1" t="str">
        <f>""</f>
        <v/>
      </c>
      <c r="AI411" s="1" t="str">
        <f>""</f>
        <v/>
      </c>
      <c r="AJ411" s="1" t="str">
        <f>""</f>
        <v/>
      </c>
      <c r="AK411" s="1" t="str">
        <f>""</f>
        <v/>
      </c>
    </row>
    <row r="412" spans="1:37">
      <c r="A412" s="1">
        <v>15000</v>
      </c>
      <c r="B412" s="1">
        <v>966200615</v>
      </c>
      <c r="C412" s="1" t="str">
        <f>"تخليه-ياسوج- پليس راه ياسوج اصفهان-کارخانه آسفالت زارع"</f>
        <v>تخليه-ياسوج- پليس راه ياسوج اصفهان-کارخانه آسفالت زارع</v>
      </c>
      <c r="D412" s="1">
        <v>13350</v>
      </c>
      <c r="E412" s="1">
        <v>14460</v>
      </c>
      <c r="F412" s="1">
        <v>96</v>
      </c>
      <c r="G412" s="1">
        <v>540</v>
      </c>
      <c r="H412" s="1" t="str">
        <f>"96/12/09"</f>
        <v>96/12/09</v>
      </c>
      <c r="I412" s="1" t="str">
        <f>"كيلوگرم"</f>
        <v>كيلوگرم</v>
      </c>
      <c r="J412" s="1" t="str">
        <f>"0000000076"</f>
        <v>0000000076</v>
      </c>
      <c r="K412" s="1" t="str">
        <f>"قير 60/70 - فله"</f>
        <v>قير 60/70 - فله</v>
      </c>
      <c r="L412" s="1">
        <v>100</v>
      </c>
      <c r="M412" s="1" t="str">
        <f>"مخازن قير اصفهان"</f>
        <v>مخازن قير اصفهان</v>
      </c>
      <c r="N412" s="1">
        <v>11045</v>
      </c>
      <c r="O412" s="1">
        <v>50038674</v>
      </c>
      <c r="P412" s="1" t="str">
        <f>"  شاه کوه مارگون"</f>
        <v xml:space="preserve">  شاه کوه مارگون</v>
      </c>
      <c r="Q412" s="1">
        <v>62</v>
      </c>
      <c r="R412" s="1" t="str">
        <f>"فروش داخلي - سازمان بنيادمسكن انقلاب اسلامي"</f>
        <v>فروش داخلي - سازمان بنيادمسكن انقلاب اسلامي</v>
      </c>
      <c r="S412" s="1" t="str">
        <f>"قرارداد فروش"</f>
        <v>قرارداد فروش</v>
      </c>
      <c r="T412" s="1" t="str">
        <f>"ندارد"</f>
        <v>ندارد</v>
      </c>
      <c r="U412" s="1" t="str">
        <f>"غلام نجفي سيامك‌‌‌‌‌‌(1881082)"</f>
        <v>غلام نجفي سيامك‌‌‌‌‌‌(1881082)</v>
      </c>
      <c r="V412" s="1">
        <v>966200615</v>
      </c>
      <c r="W412" s="1">
        <v>966200615</v>
      </c>
      <c r="X412" s="1" t="str">
        <f>"1396551611"</f>
        <v>1396551611</v>
      </c>
      <c r="Y412" s="1" t="str">
        <f>"96/12/09"</f>
        <v>96/12/09</v>
      </c>
      <c r="Z412" s="1" t="str">
        <f>"55769/د"</f>
        <v>55769/د</v>
      </c>
      <c r="AA412" s="1" t="str">
        <f>"بنيادمسكن انقلاب اسلامي"</f>
        <v>بنيادمسكن انقلاب اسلامي</v>
      </c>
      <c r="AB412" s="1" t="str">
        <f>"96/12/08"</f>
        <v>96/12/08</v>
      </c>
      <c r="AC412" s="1" t="str">
        <f>"كهكيلويه و بوير احمد"</f>
        <v>كهكيلويه و بوير احمد</v>
      </c>
      <c r="AD412" s="1" t="str">
        <f>"96/12/09"</f>
        <v>96/12/09</v>
      </c>
      <c r="AE412" s="1" t="str">
        <f>"اختتام"</f>
        <v>اختتام</v>
      </c>
      <c r="AF412" s="1" t="str">
        <f>""</f>
        <v/>
      </c>
      <c r="AG412" s="1" t="str">
        <f>""</f>
        <v/>
      </c>
      <c r="AH412" s="1" t="str">
        <f>""</f>
        <v/>
      </c>
      <c r="AI412" s="1" t="str">
        <f>""</f>
        <v/>
      </c>
      <c r="AJ412" s="1" t="str">
        <f>""</f>
        <v/>
      </c>
      <c r="AK412" s="1" t="str">
        <f>""</f>
        <v/>
      </c>
    </row>
    <row r="413" spans="1:37">
      <c r="A413" s="1">
        <v>15000</v>
      </c>
      <c r="B413" s="1">
        <v>966200607</v>
      </c>
      <c r="C413" s="1" t="str">
        <f>"تخليه - کهگيلويه و بويراحمد-ياسوج-پليس راه ياسوج اصفهان -کارخانه آسفالت داريوش جوکار"</f>
        <v>تخليه - کهگيلويه و بويراحمد-ياسوج-پليس راه ياسوج اصفهان -کارخانه آسفالت داريوش جوکار</v>
      </c>
      <c r="D413" s="1">
        <v>13350</v>
      </c>
      <c r="E413" s="1">
        <v>14520</v>
      </c>
      <c r="F413" s="1">
        <v>96</v>
      </c>
      <c r="G413" s="1">
        <v>480</v>
      </c>
      <c r="H413" s="1" t="str">
        <f>"96/12/09"</f>
        <v>96/12/09</v>
      </c>
      <c r="I413" s="1" t="str">
        <f>"كيلوگرم"</f>
        <v>كيلوگرم</v>
      </c>
      <c r="J413" s="1" t="str">
        <f>"0000000076"</f>
        <v>0000000076</v>
      </c>
      <c r="K413" s="1" t="str">
        <f>"قير 60/70 - فله"</f>
        <v>قير 60/70 - فله</v>
      </c>
      <c r="L413" s="1">
        <v>100</v>
      </c>
      <c r="M413" s="1" t="str">
        <f>"مخازن قير اصفهان"</f>
        <v>مخازن قير اصفهان</v>
      </c>
      <c r="N413" s="1">
        <v>11046</v>
      </c>
      <c r="O413" s="1">
        <v>50038666</v>
      </c>
      <c r="P413" s="1" t="str">
        <f>"  آذين بام مشايخ"</f>
        <v xml:space="preserve">  آذين بام مشايخ</v>
      </c>
      <c r="Q413" s="1">
        <v>62</v>
      </c>
      <c r="R413" s="1" t="str">
        <f>"فروش داخلي - سازمان بنيادمسكن انقلاب اسلامي"</f>
        <v>فروش داخلي - سازمان بنيادمسكن انقلاب اسلامي</v>
      </c>
      <c r="S413" s="1" t="str">
        <f>"قرارداد فروش"</f>
        <v>قرارداد فروش</v>
      </c>
      <c r="T413" s="1" t="str">
        <f>"ندارد"</f>
        <v>ندارد</v>
      </c>
      <c r="U413" s="1" t="str">
        <f>"غلام نجفي سيامك‌‌‌‌‌‌(1881082)"</f>
        <v>غلام نجفي سيامك‌‌‌‌‌‌(1881082)</v>
      </c>
      <c r="V413" s="1">
        <v>966200607</v>
      </c>
      <c r="W413" s="1">
        <v>966200607</v>
      </c>
      <c r="X413" s="1" t="str">
        <f>"1396551611"</f>
        <v>1396551611</v>
      </c>
      <c r="Y413" s="1" t="str">
        <f>"96/12/09"</f>
        <v>96/12/09</v>
      </c>
      <c r="Z413" s="1" t="str">
        <f>"55684/د"</f>
        <v>55684/د</v>
      </c>
      <c r="AA413" s="1" t="str">
        <f>"بنيادمسكن انقلاب اسلامي"</f>
        <v>بنيادمسكن انقلاب اسلامي</v>
      </c>
      <c r="AB413" s="1" t="str">
        <f>"96/12/08"</f>
        <v>96/12/08</v>
      </c>
      <c r="AC413" s="1" t="str">
        <f>"كهكيلويه و بوير احمد"</f>
        <v>كهكيلويه و بوير احمد</v>
      </c>
      <c r="AD413" s="1" t="str">
        <f>"96/12/09"</f>
        <v>96/12/09</v>
      </c>
      <c r="AE413" s="1" t="str">
        <f>"اختتام"</f>
        <v>اختتام</v>
      </c>
      <c r="AF413" s="1" t="str">
        <f>""</f>
        <v/>
      </c>
      <c r="AG413" s="1" t="str">
        <f>""</f>
        <v/>
      </c>
      <c r="AH413" s="1" t="str">
        <f>""</f>
        <v/>
      </c>
      <c r="AI413" s="1" t="str">
        <f>""</f>
        <v/>
      </c>
      <c r="AJ413" s="1" t="str">
        <f>""</f>
        <v/>
      </c>
      <c r="AK413" s="1" t="str">
        <f>""</f>
        <v/>
      </c>
    </row>
    <row r="414" spans="1:37">
      <c r="A414" s="1">
        <v>33000</v>
      </c>
      <c r="B414" s="1">
        <v>966200472</v>
      </c>
      <c r="C414" s="1" t="str">
        <f>"تخليه كهگيلويه ياسوج پليس راه اصفهان ياسوج كارخانه آسفالت داريوش جوكار"</f>
        <v>تخليه كهگيلويه ياسوج پليس راه اصفهان ياسوج كارخانه آسفالت داريوش جوكار</v>
      </c>
      <c r="D414" s="1">
        <v>12820</v>
      </c>
      <c r="E414" s="1">
        <v>31760</v>
      </c>
      <c r="F414" s="1">
        <v>96</v>
      </c>
      <c r="G414" s="1">
        <v>1240</v>
      </c>
      <c r="H414" s="1" t="str">
        <f>"96/09/27"</f>
        <v>96/09/27</v>
      </c>
      <c r="I414" s="1" t="str">
        <f>"كيلوگرم"</f>
        <v>كيلوگرم</v>
      </c>
      <c r="J414" s="1" t="str">
        <f>"0000000076"</f>
        <v>0000000076</v>
      </c>
      <c r="K414" s="1" t="str">
        <f>"قير 60/70 - فله"</f>
        <v>قير 60/70 - فله</v>
      </c>
      <c r="L414" s="1">
        <v>100</v>
      </c>
      <c r="M414" s="1" t="str">
        <f>"مخازن قير اصفهان"</f>
        <v>مخازن قير اصفهان</v>
      </c>
      <c r="N414" s="1">
        <v>11048</v>
      </c>
      <c r="O414" s="1">
        <v>50037917</v>
      </c>
      <c r="P414" s="1" t="str">
        <f>"  ويلا بوير"</f>
        <v xml:space="preserve">  ويلا بوير</v>
      </c>
      <c r="Q414" s="1">
        <v>62</v>
      </c>
      <c r="R414" s="1" t="str">
        <f>"فروش داخلي - سازمان بنيادمسكن انقلاب اسلامي"</f>
        <v>فروش داخلي - سازمان بنيادمسكن انقلاب اسلامي</v>
      </c>
      <c r="S414" s="1" t="str">
        <f>"قرارداد فروش"</f>
        <v>قرارداد فروش</v>
      </c>
      <c r="T414" s="1" t="str">
        <f>"ندارد"</f>
        <v>ندارد</v>
      </c>
      <c r="U414" s="1" t="str">
        <f>"غلام نجفي سيامك‌‌‌‌‌‌(1881082)"</f>
        <v>غلام نجفي سيامك‌‌‌‌‌‌(1881082)</v>
      </c>
      <c r="V414" s="1">
        <v>966200472</v>
      </c>
      <c r="W414" s="1">
        <v>966200472</v>
      </c>
      <c r="X414" s="1" t="str">
        <f>"1396533043"</f>
        <v>1396533043</v>
      </c>
      <c r="Y414" s="1" t="str">
        <f>"96/09/27"</f>
        <v>96/09/27</v>
      </c>
      <c r="Z414" s="1" t="str">
        <f>"42434/د"</f>
        <v>42434/د</v>
      </c>
      <c r="AA414" s="1" t="str">
        <f>"بنيادمسكن انقلاب اسلامي"</f>
        <v>بنيادمسكن انقلاب اسلامي</v>
      </c>
      <c r="AB414" s="1" t="str">
        <f>"96/09/26"</f>
        <v>96/09/26</v>
      </c>
      <c r="AC414" s="1" t="str">
        <f>"كهكيلويه و بوير احمد"</f>
        <v>كهكيلويه و بوير احمد</v>
      </c>
      <c r="AD414" s="1" t="str">
        <f>"96/09/27"</f>
        <v>96/09/27</v>
      </c>
      <c r="AE414" s="1" t="str">
        <f>"اختتام"</f>
        <v>اختتام</v>
      </c>
      <c r="AF414" s="1" t="str">
        <f>""</f>
        <v/>
      </c>
      <c r="AG414" s="1" t="str">
        <f>""</f>
        <v/>
      </c>
      <c r="AH414" s="1" t="str">
        <f>""</f>
        <v/>
      </c>
      <c r="AI414" s="1" t="str">
        <f>""</f>
        <v/>
      </c>
      <c r="AJ414" s="1" t="str">
        <f>""</f>
        <v/>
      </c>
      <c r="AK414" s="1" t="str">
        <f>""</f>
        <v/>
      </c>
    </row>
    <row r="415" spans="1:37">
      <c r="A415" s="1">
        <v>35570</v>
      </c>
      <c r="B415" s="1">
        <v>962000348</v>
      </c>
      <c r="C415" s="1" t="str">
        <f>"تخليه كرمان كيلومتر25جاده سيرجان كرمان بعدازپمپ بنزين حسين آبادكارخانه آسفالت شركت بهبر"</f>
        <v>تخليه كرمان كيلومتر25جاده سيرجان كرمان بعدازپمپ بنزين حسين آبادكارخانه آسفالت شركت بهبر</v>
      </c>
      <c r="D415" s="1">
        <v>12820</v>
      </c>
      <c r="E415" s="1">
        <v>35570</v>
      </c>
      <c r="F415" s="1">
        <v>96</v>
      </c>
      <c r="G415" s="1">
        <v>0</v>
      </c>
      <c r="H415" s="1" t="str">
        <f>"96/09/18"</f>
        <v>96/09/18</v>
      </c>
      <c r="I415" s="1" t="str">
        <f>"كيلوگرم"</f>
        <v>كيلوگرم</v>
      </c>
      <c r="J415" s="1" t="str">
        <f>"0000000076"</f>
        <v>0000000076</v>
      </c>
      <c r="K415" s="1" t="str">
        <f>"قير 60/70 - فله"</f>
        <v>قير 60/70 - فله</v>
      </c>
      <c r="L415" s="1">
        <v>100</v>
      </c>
      <c r="M415" s="1" t="str">
        <f>"مخازن قير اصفهان"</f>
        <v>مخازن قير اصفهان</v>
      </c>
      <c r="N415" s="1">
        <v>10887</v>
      </c>
      <c r="O415" s="1">
        <v>50037606</v>
      </c>
      <c r="P415" s="1" t="str">
        <f>"  شهرداري خواجوشهر"</f>
        <v xml:space="preserve">  شهرداري خواجوشهر</v>
      </c>
      <c r="Q415" s="1">
        <v>20</v>
      </c>
      <c r="R415" s="1" t="str">
        <f>"فروش داخلي - سازمان شهرداري ها و دهياري هاي كشور"</f>
        <v>فروش داخلي - سازمان شهرداري ها و دهياري هاي كشور</v>
      </c>
      <c r="S415" s="1" t="str">
        <f>"قرارداد فروش"</f>
        <v>قرارداد فروش</v>
      </c>
      <c r="T415" s="1" t="str">
        <f>"ندارد"</f>
        <v>ندارد</v>
      </c>
      <c r="U415" s="1" t="str">
        <f>"تعاوني جم گستر (1001 ج 89)"</f>
        <v>تعاوني جم گستر (1001 ج 89)</v>
      </c>
      <c r="V415" s="1">
        <v>962000348</v>
      </c>
      <c r="W415" s="1">
        <v>962000348</v>
      </c>
      <c r="X415" s="1" t="str">
        <f>"1396529711"</f>
        <v>1396529711</v>
      </c>
      <c r="Y415" s="1" t="str">
        <f>"96/09/18"</f>
        <v>96/09/18</v>
      </c>
      <c r="Z415" s="1" t="str">
        <f>"39465مرحله دوم"</f>
        <v>39465مرحله دوم</v>
      </c>
      <c r="AA415" s="1" t="str">
        <f>"شهرداريها"</f>
        <v>شهرداريها</v>
      </c>
      <c r="AB415" s="1" t="str">
        <f>"96/09/14"</f>
        <v>96/09/14</v>
      </c>
      <c r="AC415" s="1" t="str">
        <f>"استان كرمان"</f>
        <v>استان كرمان</v>
      </c>
      <c r="AD415" s="1" t="str">
        <f>"96/09/13"</f>
        <v>96/09/13</v>
      </c>
      <c r="AE415" s="1" t="str">
        <f>"تاييدشده"</f>
        <v>تاييدشده</v>
      </c>
      <c r="AF415" s="1" t="str">
        <f>""</f>
        <v/>
      </c>
      <c r="AG415" s="1" t="str">
        <f>""</f>
        <v/>
      </c>
      <c r="AH415" s="1" t="str">
        <f>""</f>
        <v/>
      </c>
      <c r="AI415" s="1" t="str">
        <f>""</f>
        <v/>
      </c>
      <c r="AJ415" s="1" t="str">
        <f>""</f>
        <v/>
      </c>
      <c r="AK415" s="1" t="str">
        <f>""</f>
        <v/>
      </c>
    </row>
    <row r="416" spans="1:37">
      <c r="A416" s="1">
        <v>20000</v>
      </c>
      <c r="B416" s="1">
        <v>966200716</v>
      </c>
      <c r="C416" s="1" t="str">
        <f>"تخليه -كهگيلويه وبويراحمد-ياسوج جاده اصفهان كارخانه آسفالت جوكار"</f>
        <v>تخليه -كهگيلويه وبويراحمد-ياسوج جاده اصفهان كارخانه آسفالت جوكار</v>
      </c>
      <c r="D416" s="1">
        <v>13350</v>
      </c>
      <c r="E416" s="1">
        <v>20000</v>
      </c>
      <c r="F416" s="1">
        <v>96</v>
      </c>
      <c r="G416" s="1">
        <v>0</v>
      </c>
      <c r="H416" s="1" t="str">
        <f>"96/12/26"</f>
        <v>96/12/26</v>
      </c>
      <c r="I416" s="1" t="str">
        <f>"كيلوگرم"</f>
        <v>كيلوگرم</v>
      </c>
      <c r="J416" s="1" t="str">
        <f>"0000000076"</f>
        <v>0000000076</v>
      </c>
      <c r="K416" s="1" t="str">
        <f>"قير 60/70 - فله"</f>
        <v>قير 60/70 - فله</v>
      </c>
      <c r="L416" s="1">
        <v>100</v>
      </c>
      <c r="M416" s="1" t="str">
        <f>"مخازن قير اصفهان"</f>
        <v>مخازن قير اصفهان</v>
      </c>
      <c r="N416" s="1">
        <v>10938</v>
      </c>
      <c r="O416" s="1">
        <v>50039076</v>
      </c>
      <c r="P416" s="1" t="str">
        <f>"  عمران صنعت چناران"</f>
        <v xml:space="preserve">  عمران صنعت چناران</v>
      </c>
      <c r="Q416" s="1">
        <v>62</v>
      </c>
      <c r="R416" s="1" t="str">
        <f>"فروش داخلي - سازمان بنيادمسكن انقلاب اسلامي"</f>
        <v>فروش داخلي - سازمان بنيادمسكن انقلاب اسلامي</v>
      </c>
      <c r="S416" s="1" t="str">
        <f>"قرارداد فروش"</f>
        <v>قرارداد فروش</v>
      </c>
      <c r="T416" s="1" t="str">
        <f>"ندارد"</f>
        <v>ندارد</v>
      </c>
      <c r="U416" s="1" t="str">
        <f>"غلام نجفي سيامك‌‌‌‌‌‌(1881082)"</f>
        <v>غلام نجفي سيامك‌‌‌‌‌‌(1881082)</v>
      </c>
      <c r="V416" s="1">
        <v>966200716</v>
      </c>
      <c r="W416" s="1">
        <v>966200716</v>
      </c>
      <c r="X416" s="1" t="str">
        <f>"1396555392"</f>
        <v>1396555392</v>
      </c>
      <c r="Y416" s="1" t="str">
        <f>"96/12/26"</f>
        <v>96/12/26</v>
      </c>
      <c r="Z416" s="1" t="str">
        <f>"59445/د"</f>
        <v>59445/د</v>
      </c>
      <c r="AA416" s="1" t="str">
        <f>"بنيادمسكن انقلاب اسلامي"</f>
        <v>بنيادمسكن انقلاب اسلامي</v>
      </c>
      <c r="AB416" s="1" t="str">
        <f>"96/12/23"</f>
        <v>96/12/23</v>
      </c>
      <c r="AC416" s="1" t="str">
        <f>"كهكيلويه و بوير احمد"</f>
        <v>كهكيلويه و بوير احمد</v>
      </c>
      <c r="AD416" s="1" t="str">
        <f>"96/12/26"</f>
        <v>96/12/26</v>
      </c>
      <c r="AE416" s="1" t="str">
        <f>"اختتام"</f>
        <v>اختتام</v>
      </c>
      <c r="AF416" s="1" t="str">
        <f>""</f>
        <v/>
      </c>
      <c r="AG416" s="1" t="str">
        <f>""</f>
        <v/>
      </c>
      <c r="AH416" s="1" t="str">
        <f>""</f>
        <v/>
      </c>
      <c r="AI416" s="1" t="str">
        <f>""</f>
        <v/>
      </c>
      <c r="AJ416" s="1" t="str">
        <f>""</f>
        <v/>
      </c>
      <c r="AK416" s="1" t="str">
        <f>""</f>
        <v/>
      </c>
    </row>
    <row r="417" spans="1:37">
      <c r="A417" s="1">
        <v>777000</v>
      </c>
      <c r="B417" s="1">
        <v>966200130</v>
      </c>
      <c r="C417" s="1" t="str">
        <f>"تخليه -گلستان-کمربندي آزادشهر-کيلومتر جاده آق امام-شرکت زرين سنگ اطلس"</f>
        <v>تخليه -گلستان-کمربندي آزادشهر-کيلومتر جاده آق امام-شرکت زرين سنگ اطلس</v>
      </c>
      <c r="D417" s="1">
        <v>8704</v>
      </c>
      <c r="E417" s="1">
        <v>776120</v>
      </c>
      <c r="F417" s="1">
        <v>96</v>
      </c>
      <c r="G417" s="1">
        <v>880</v>
      </c>
      <c r="H417" s="1" t="str">
        <f>"96/04/13"</f>
        <v>96/04/13</v>
      </c>
      <c r="I417" s="1" t="str">
        <f>"كيلوگرم"</f>
        <v>كيلوگرم</v>
      </c>
      <c r="J417" s="1" t="str">
        <f>"0000000076"</f>
        <v>0000000076</v>
      </c>
      <c r="K417" s="1" t="str">
        <f>"قير 60/70 - فله"</f>
        <v>قير 60/70 - فله</v>
      </c>
      <c r="L417" s="1">
        <v>100</v>
      </c>
      <c r="M417" s="1" t="str">
        <f>"مخازن قير اصفهان"</f>
        <v>مخازن قير اصفهان</v>
      </c>
      <c r="N417" s="1">
        <v>11369</v>
      </c>
      <c r="O417" s="1">
        <v>50035100</v>
      </c>
      <c r="P417" s="1" t="str">
        <f>"  زرين سنگ اطلس"</f>
        <v xml:space="preserve">  زرين سنگ اطلس</v>
      </c>
      <c r="Q417" s="1">
        <v>62</v>
      </c>
      <c r="R417" s="1" t="str">
        <f>"فروش داخلي - سازمان بنيادمسكن انقلاب اسلامي"</f>
        <v>فروش داخلي - سازمان بنيادمسكن انقلاب اسلامي</v>
      </c>
      <c r="S417" s="1" t="str">
        <f>"قرارداد فروش"</f>
        <v>قرارداد فروش</v>
      </c>
      <c r="T417" s="1" t="str">
        <f>"ندارد"</f>
        <v>ندارد</v>
      </c>
      <c r="U417" s="1" t="str">
        <f>"شيشه بر كريم(1841016)"</f>
        <v>شيشه بر كريم(1841016)</v>
      </c>
      <c r="V417" s="1">
        <v>966200130</v>
      </c>
      <c r="W417" s="1">
        <v>966200130</v>
      </c>
      <c r="X417" s="1" t="str">
        <f>"1396493156"</f>
        <v>1396493156</v>
      </c>
      <c r="Y417" s="1" t="str">
        <f>"96/04/13"</f>
        <v>96/04/13</v>
      </c>
      <c r="Z417" s="1" t="str">
        <f>"14422/د"</f>
        <v>14422/د</v>
      </c>
      <c r="AA417" s="1" t="str">
        <f>"بنيادمسكن انقلاب اسلامي"</f>
        <v>بنيادمسكن انقلاب اسلامي</v>
      </c>
      <c r="AB417" s="1" t="str">
        <f>"96/04/12"</f>
        <v>96/04/12</v>
      </c>
      <c r="AC417" s="1" t="str">
        <f>"استان گلستان"</f>
        <v>استان گلستان</v>
      </c>
      <c r="AD417" s="1" t="str">
        <f>"96/04/13"</f>
        <v>96/04/13</v>
      </c>
      <c r="AE417" s="1" t="str">
        <f>"اختتام"</f>
        <v>اختتام</v>
      </c>
      <c r="AF417" s="1" t="str">
        <f>""</f>
        <v/>
      </c>
      <c r="AG417" s="1" t="str">
        <f>""</f>
        <v/>
      </c>
      <c r="AH417" s="1" t="str">
        <f>""</f>
        <v/>
      </c>
      <c r="AI417" s="1" t="str">
        <f>""</f>
        <v/>
      </c>
      <c r="AJ417" s="1" t="str">
        <f>""</f>
        <v/>
      </c>
      <c r="AK417" s="1" t="str">
        <f>""</f>
        <v/>
      </c>
    </row>
    <row r="418" spans="1:37">
      <c r="A418" s="1">
        <v>39000</v>
      </c>
      <c r="B418" s="1">
        <v>966200538</v>
      </c>
      <c r="C418" s="1" t="str">
        <f>"تخليه-خراسان شمالي-فاروج-کيلومتر 7 محور قوچان-کارخانه آسفالت توس راديه"</f>
        <v>تخليه-خراسان شمالي-فاروج-کيلومتر 7 محور قوچان-کارخانه آسفالت توس راديه</v>
      </c>
      <c r="D418" s="1">
        <v>12850</v>
      </c>
      <c r="E418" s="1">
        <v>38840</v>
      </c>
      <c r="F418" s="1">
        <v>96</v>
      </c>
      <c r="G418" s="1">
        <v>160</v>
      </c>
      <c r="H418" s="1" t="str">
        <f>"96/10/25"</f>
        <v>96/10/25</v>
      </c>
      <c r="I418" s="1" t="str">
        <f>"كيلوگرم"</f>
        <v>كيلوگرم</v>
      </c>
      <c r="J418" s="1" t="str">
        <f>"0000000076"</f>
        <v>0000000076</v>
      </c>
      <c r="K418" s="1" t="str">
        <f>"قير 60/70 - فله"</f>
        <v>قير 60/70 - فله</v>
      </c>
      <c r="L418" s="1">
        <v>100</v>
      </c>
      <c r="M418" s="1" t="str">
        <f>"مخازن قير اصفهان"</f>
        <v>مخازن قير اصفهان</v>
      </c>
      <c r="N418" s="1">
        <v>11376</v>
      </c>
      <c r="O418" s="1">
        <v>50038187</v>
      </c>
      <c r="P418" s="1" t="str">
        <f>"  نوين بنا سازان زيبا نگاره آراد"</f>
        <v xml:space="preserve">  نوين بنا سازان زيبا نگاره آراد</v>
      </c>
      <c r="Q418" s="1">
        <v>62</v>
      </c>
      <c r="R418" s="1" t="str">
        <f>"فروش داخلي - سازمان بنيادمسكن انقلاب اسلامي"</f>
        <v>فروش داخلي - سازمان بنيادمسكن انقلاب اسلامي</v>
      </c>
      <c r="S418" s="1" t="str">
        <f>"قرارداد فروش"</f>
        <v>قرارداد فروش</v>
      </c>
      <c r="T418" s="1" t="str">
        <f>"ندارد"</f>
        <v>ندارد</v>
      </c>
      <c r="U418" s="1" t="str">
        <f>"نظام دوست امين (1911102)"</f>
        <v>نظام دوست امين (1911102)</v>
      </c>
      <c r="V418" s="1">
        <v>966200538</v>
      </c>
      <c r="W418" s="1">
        <v>966200538</v>
      </c>
      <c r="X418" s="1" t="str">
        <f>"1396540147"</f>
        <v>1396540147</v>
      </c>
      <c r="Y418" s="1" t="str">
        <f>"96/10/25"</f>
        <v>96/10/25</v>
      </c>
      <c r="Z418" s="1" t="str">
        <f>"47487/د"</f>
        <v>47487/د</v>
      </c>
      <c r="AA418" s="1" t="str">
        <f>"بنيادمسكن انقلاب اسلامي"</f>
        <v>بنيادمسكن انقلاب اسلامي</v>
      </c>
      <c r="AB418" s="1" t="str">
        <f>"96/10/24"</f>
        <v>96/10/24</v>
      </c>
      <c r="AC418" s="1" t="str">
        <f>"خراسان شمالي"</f>
        <v>خراسان شمالي</v>
      </c>
      <c r="AD418" s="1" t="str">
        <f>"96/10/25"</f>
        <v>96/10/25</v>
      </c>
      <c r="AE418" s="1" t="str">
        <f>"اختتام"</f>
        <v>اختتام</v>
      </c>
      <c r="AF418" s="1" t="str">
        <f>""</f>
        <v/>
      </c>
      <c r="AG418" s="1" t="str">
        <f>""</f>
        <v/>
      </c>
      <c r="AH418" s="1" t="str">
        <f>""</f>
        <v/>
      </c>
      <c r="AI418" s="1" t="str">
        <f>""</f>
        <v/>
      </c>
      <c r="AJ418" s="1" t="str">
        <f>""</f>
        <v/>
      </c>
      <c r="AK418" s="1" t="str">
        <f>""</f>
        <v/>
      </c>
    </row>
    <row r="419" spans="1:37">
      <c r="A419" s="1">
        <v>195000</v>
      </c>
      <c r="B419" s="1">
        <v>966200236</v>
      </c>
      <c r="C419" s="1" t="str">
        <f>"تخليه - خراسان رضوي-مشهد-کيلومتر10جاده سرخس-نرسيده به روستاي تنگل شور-بعداز پل"</f>
        <v>تخليه - خراسان رضوي-مشهد-کيلومتر10جاده سرخس-نرسيده به روستاي تنگل شور-بعداز پل</v>
      </c>
      <c r="D419" s="1">
        <v>8954</v>
      </c>
      <c r="E419" s="1">
        <v>192600</v>
      </c>
      <c r="F419" s="1">
        <v>96</v>
      </c>
      <c r="G419" s="1">
        <v>2400</v>
      </c>
      <c r="H419" s="1" t="str">
        <f>"96/06/21"</f>
        <v>96/06/21</v>
      </c>
      <c r="I419" s="1" t="str">
        <f>"كيلوگرم"</f>
        <v>كيلوگرم</v>
      </c>
      <c r="J419" s="1" t="str">
        <f>"0000000076"</f>
        <v>0000000076</v>
      </c>
      <c r="K419" s="1" t="str">
        <f>"قير 60/70 - فله"</f>
        <v>قير 60/70 - فله</v>
      </c>
      <c r="L419" s="1">
        <v>100</v>
      </c>
      <c r="M419" s="1" t="str">
        <f>"مخازن قير اصفهان"</f>
        <v>مخازن قير اصفهان</v>
      </c>
      <c r="N419" s="1">
        <v>11394</v>
      </c>
      <c r="O419" s="1">
        <v>50035994</v>
      </c>
      <c r="P419" s="1" t="str">
        <f>"  آريا راه کاو پارس"</f>
        <v xml:space="preserve">  آريا راه کاو پارس</v>
      </c>
      <c r="Q419" s="1">
        <v>62</v>
      </c>
      <c r="R419" s="1" t="str">
        <f>"فروش داخلي - سازمان بنيادمسكن انقلاب اسلامي"</f>
        <v>فروش داخلي - سازمان بنيادمسكن انقلاب اسلامي</v>
      </c>
      <c r="S419" s="1" t="str">
        <f>"قرارداد فروش"</f>
        <v>قرارداد فروش</v>
      </c>
      <c r="T419" s="1" t="str">
        <f>"ندارد"</f>
        <v>ندارد</v>
      </c>
      <c r="U419" s="1" t="str">
        <f>"حسيني سيدجواد(1841076)"</f>
        <v>حسيني سيدجواد(1841076)</v>
      </c>
      <c r="V419" s="1">
        <v>966200236</v>
      </c>
      <c r="W419" s="1">
        <v>966200236</v>
      </c>
      <c r="X419" s="1" t="str">
        <f>"1396511685"</f>
        <v>1396511685</v>
      </c>
      <c r="Y419" s="1" t="str">
        <f>"96/06/21"</f>
        <v>96/06/21</v>
      </c>
      <c r="Z419" s="1" t="str">
        <f>"26735/د"</f>
        <v>26735/د</v>
      </c>
      <c r="AA419" s="1" t="str">
        <f>"بنيادمسكن انقلاب اسلامي"</f>
        <v>بنيادمسكن انقلاب اسلامي</v>
      </c>
      <c r="AB419" s="1" t="str">
        <f>"96/06/19"</f>
        <v>96/06/19</v>
      </c>
      <c r="AC419" s="1" t="str">
        <f>"خراسان رضوي"</f>
        <v>خراسان رضوي</v>
      </c>
      <c r="AD419" s="1" t="str">
        <f>"96/06/21"</f>
        <v>96/06/21</v>
      </c>
      <c r="AE419" s="1" t="str">
        <f>"اختتام"</f>
        <v>اختتام</v>
      </c>
      <c r="AF419" s="1" t="str">
        <f>""</f>
        <v/>
      </c>
      <c r="AG419" s="1" t="str">
        <f>""</f>
        <v/>
      </c>
      <c r="AH419" s="1" t="str">
        <f>""</f>
        <v/>
      </c>
      <c r="AI419" s="1" t="str">
        <f>""</f>
        <v/>
      </c>
      <c r="AJ419" s="1" t="str">
        <f>""</f>
        <v/>
      </c>
      <c r="AK419" s="1" t="str">
        <f>""</f>
        <v/>
      </c>
    </row>
    <row r="420" spans="1:37">
      <c r="A420" s="1">
        <v>965000</v>
      </c>
      <c r="B420" s="1">
        <v>966200211</v>
      </c>
      <c r="C420" s="1" t="str">
        <f>"تخليه - خراسان رضوي-مشهد-کيلومتر10جاده سرخس-نرسيده به روستاي تنگل شور-کارخانه رهپويان آريا گستر"</f>
        <v>تخليه - خراسان رضوي-مشهد-کيلومتر10جاده سرخس-نرسيده به روستاي تنگل شور-کارخانه رهپويان آريا گستر</v>
      </c>
      <c r="D420" s="1">
        <v>8954</v>
      </c>
      <c r="E420" s="1">
        <v>963680</v>
      </c>
      <c r="F420" s="1">
        <v>96</v>
      </c>
      <c r="G420" s="1">
        <v>1320</v>
      </c>
      <c r="H420" s="1" t="str">
        <f>"96/06/05"</f>
        <v>96/06/05</v>
      </c>
      <c r="I420" s="1" t="str">
        <f>"كيلوگرم"</f>
        <v>كيلوگرم</v>
      </c>
      <c r="J420" s="1" t="str">
        <f>"0000000076"</f>
        <v>0000000076</v>
      </c>
      <c r="K420" s="1" t="str">
        <f>"قير 60/70 - فله"</f>
        <v>قير 60/70 - فله</v>
      </c>
      <c r="L420" s="1">
        <v>100</v>
      </c>
      <c r="M420" s="1" t="str">
        <f>"مخازن قير اصفهان"</f>
        <v>مخازن قير اصفهان</v>
      </c>
      <c r="N420" s="1">
        <v>11395</v>
      </c>
      <c r="O420" s="1">
        <v>50035805</v>
      </c>
      <c r="P420" s="1" t="str">
        <f>"  سازه پرداس سناباد"</f>
        <v xml:space="preserve">  سازه پرداس سناباد</v>
      </c>
      <c r="Q420" s="1">
        <v>62</v>
      </c>
      <c r="R420" s="1" t="str">
        <f>"فروش داخلي - سازمان بنيادمسكن انقلاب اسلامي"</f>
        <v>فروش داخلي - سازمان بنيادمسكن انقلاب اسلامي</v>
      </c>
      <c r="S420" s="1" t="str">
        <f>"قرارداد فروش"</f>
        <v>قرارداد فروش</v>
      </c>
      <c r="T420" s="1" t="str">
        <f>"ندارد"</f>
        <v>ندارد</v>
      </c>
      <c r="U420" s="1" t="str">
        <f>"حسيني سيدجواد(1841076)"</f>
        <v>حسيني سيدجواد(1841076)</v>
      </c>
      <c r="V420" s="1">
        <v>966200211</v>
      </c>
      <c r="W420" s="1">
        <v>966200211</v>
      </c>
      <c r="X420" s="1" t="str">
        <f>"1396508163"</f>
        <v>1396508163</v>
      </c>
      <c r="Y420" s="1" t="str">
        <f>"96/06/05"</f>
        <v>96/06/05</v>
      </c>
      <c r="Z420" s="1" t="str">
        <f>"24107/د"</f>
        <v>24107/د</v>
      </c>
      <c r="AA420" s="1" t="str">
        <f>"بنيادمسكن انقلاب اسلامي"</f>
        <v>بنيادمسكن انقلاب اسلامي</v>
      </c>
      <c r="AB420" s="1" t="str">
        <f>"96/06/04"</f>
        <v>96/06/04</v>
      </c>
      <c r="AC420" s="1" t="str">
        <f>"خراسان رضوي"</f>
        <v>خراسان رضوي</v>
      </c>
      <c r="AD420" s="1" t="str">
        <f>"96/06/05"</f>
        <v>96/06/05</v>
      </c>
      <c r="AE420" s="1" t="str">
        <f>"اختتام"</f>
        <v>اختتام</v>
      </c>
      <c r="AF420" s="1" t="str">
        <f>""</f>
        <v/>
      </c>
      <c r="AG420" s="1" t="str">
        <f>""</f>
        <v/>
      </c>
      <c r="AH420" s="1" t="str">
        <f>""</f>
        <v/>
      </c>
      <c r="AI420" s="1" t="str">
        <f>""</f>
        <v/>
      </c>
      <c r="AJ420" s="1" t="str">
        <f>""</f>
        <v/>
      </c>
      <c r="AK420" s="1" t="str">
        <f>""</f>
        <v/>
      </c>
    </row>
    <row r="421" spans="1:37">
      <c r="A421" s="1">
        <v>168000</v>
      </c>
      <c r="B421" s="1">
        <v>966200297</v>
      </c>
      <c r="C421" s="1" t="str">
        <f>"تخليه - خراسان رضوي- باخرز-کارخانه آسفالت شهرداري"</f>
        <v>تخليه - خراسان رضوي- باخرز-کارخانه آسفالت شهرداري</v>
      </c>
      <c r="D421" s="1">
        <v>9113</v>
      </c>
      <c r="E421" s="1">
        <v>168000</v>
      </c>
      <c r="F421" s="1">
        <v>96</v>
      </c>
      <c r="G421" s="1">
        <v>0</v>
      </c>
      <c r="H421" s="1" t="str">
        <f>"96/07/15"</f>
        <v>96/07/15</v>
      </c>
      <c r="I421" s="1" t="str">
        <f>"كيلوگرم"</f>
        <v>كيلوگرم</v>
      </c>
      <c r="J421" s="1" t="str">
        <f>"0000000076"</f>
        <v>0000000076</v>
      </c>
      <c r="K421" s="1" t="str">
        <f>"قير 60/70 - فله"</f>
        <v>قير 60/70 - فله</v>
      </c>
      <c r="L421" s="1">
        <v>100</v>
      </c>
      <c r="M421" s="1" t="str">
        <f>"مخازن قير اصفهان"</f>
        <v>مخازن قير اصفهان</v>
      </c>
      <c r="N421" s="1">
        <v>11406</v>
      </c>
      <c r="O421" s="1">
        <v>50036558</v>
      </c>
      <c r="P421" s="1" t="str">
        <f>"  ساختماني نوين سازه طيبات"</f>
        <v xml:space="preserve">  ساختماني نوين سازه طيبات</v>
      </c>
      <c r="Q421" s="1">
        <v>62</v>
      </c>
      <c r="R421" s="1" t="str">
        <f>"فروش داخلي - سازمان بنيادمسكن انقلاب اسلامي"</f>
        <v>فروش داخلي - سازمان بنيادمسكن انقلاب اسلامي</v>
      </c>
      <c r="S421" s="1" t="str">
        <f>"قرارداد فروش"</f>
        <v>قرارداد فروش</v>
      </c>
      <c r="T421" s="1" t="str">
        <f>"ندارد"</f>
        <v>ندارد</v>
      </c>
      <c r="U421" s="1" t="str">
        <f>"نظام دوست امين (1911102)"</f>
        <v>نظام دوست امين (1911102)</v>
      </c>
      <c r="V421" s="1">
        <v>966200297</v>
      </c>
      <c r="W421" s="1">
        <v>966200297</v>
      </c>
      <c r="X421" s="1" t="str">
        <f>"1396516997"</f>
        <v>1396516997</v>
      </c>
      <c r="Y421" s="1" t="str">
        <f>"96/07/15"</f>
        <v>96/07/15</v>
      </c>
      <c r="Z421" s="1" t="str">
        <f>"30884/د"</f>
        <v>30884/د</v>
      </c>
      <c r="AA421" s="1" t="str">
        <f>"بنيادمسكن انقلاب اسلامي"</f>
        <v>بنيادمسكن انقلاب اسلامي</v>
      </c>
      <c r="AB421" s="1" t="str">
        <f>"96/07/12"</f>
        <v>96/07/12</v>
      </c>
      <c r="AC421" s="1" t="str">
        <f>"خراسان رضوي"</f>
        <v>خراسان رضوي</v>
      </c>
      <c r="AD421" s="1" t="str">
        <f>"96/07/15"</f>
        <v>96/07/15</v>
      </c>
      <c r="AE421" s="1" t="str">
        <f>"اختتام"</f>
        <v>اختتام</v>
      </c>
      <c r="AF421" s="1" t="str">
        <f>""</f>
        <v/>
      </c>
      <c r="AG421" s="1" t="str">
        <f>""</f>
        <v/>
      </c>
      <c r="AH421" s="1" t="str">
        <f>""</f>
        <v/>
      </c>
      <c r="AI421" s="1" t="str">
        <f>""</f>
        <v/>
      </c>
      <c r="AJ421" s="1" t="str">
        <f>""</f>
        <v/>
      </c>
      <c r="AK421" s="1" t="str">
        <f>""</f>
        <v/>
      </c>
    </row>
    <row r="422" spans="1:37">
      <c r="A422" s="1">
        <v>119111</v>
      </c>
      <c r="B422" s="1">
        <v>962000103</v>
      </c>
      <c r="C422" s="1" t="str">
        <f>"تخليه بوشهربزرگراه سيراف سه راهي بردخون كارخانه آسفالت فجردير"</f>
        <v>تخليه بوشهربزرگراه سيراف سه راهي بردخون كارخانه آسفالت فجردير</v>
      </c>
      <c r="D422" s="1">
        <v>9113</v>
      </c>
      <c r="E422" s="1">
        <v>119111</v>
      </c>
      <c r="F422" s="1">
        <v>96</v>
      </c>
      <c r="G422" s="1">
        <v>0</v>
      </c>
      <c r="H422" s="1" t="str">
        <f>"96/07/03"</f>
        <v>96/07/03</v>
      </c>
      <c r="I422" s="1" t="str">
        <f>"كيلوگرم"</f>
        <v>كيلوگرم</v>
      </c>
      <c r="J422" s="1" t="str">
        <f>"0000000076"</f>
        <v>0000000076</v>
      </c>
      <c r="K422" s="1" t="str">
        <f>"قير 60/70 - فله"</f>
        <v>قير 60/70 - فله</v>
      </c>
      <c r="L422" s="1">
        <v>100</v>
      </c>
      <c r="M422" s="1" t="str">
        <f>"مخازن قير اصفهان"</f>
        <v>مخازن قير اصفهان</v>
      </c>
      <c r="N422" s="1">
        <v>11413</v>
      </c>
      <c r="O422" s="1">
        <v>50036260</v>
      </c>
      <c r="P422" s="1" t="str">
        <f>"  شهرداري بردستان"</f>
        <v xml:space="preserve">  شهرداري بردستان</v>
      </c>
      <c r="Q422" s="1">
        <v>20</v>
      </c>
      <c r="R422" s="1" t="str">
        <f>"فروش داخلي - سازمان شهرداري ها و دهياري هاي كشور"</f>
        <v>فروش داخلي - سازمان شهرداري ها و دهياري هاي كشور</v>
      </c>
      <c r="S422" s="1" t="str">
        <f>"قرارداد فروش"</f>
        <v>قرارداد فروش</v>
      </c>
      <c r="T422" s="1" t="str">
        <f>"ندارد"</f>
        <v>ندارد</v>
      </c>
      <c r="U422" s="1" t="str">
        <f>"تعاوني جم گستر (1001 ج 89)"</f>
        <v>تعاوني جم گستر (1001 ج 89)</v>
      </c>
      <c r="V422" s="1">
        <v>962000103</v>
      </c>
      <c r="W422" s="1">
        <v>962000103</v>
      </c>
      <c r="X422" s="1" t="str">
        <f>"1396514467"</f>
        <v>1396514467</v>
      </c>
      <c r="Y422" s="1" t="str">
        <f>"96/07/03"</f>
        <v>96/07/03</v>
      </c>
      <c r="Z422" s="1" t="str">
        <f>"26885مرحله اول"</f>
        <v>26885مرحله اول</v>
      </c>
      <c r="AA422" s="1" t="str">
        <f>"شهرداريها"</f>
        <v>شهرداريها</v>
      </c>
      <c r="AB422" s="1" t="str">
        <f>"96/06/29"</f>
        <v>96/06/29</v>
      </c>
      <c r="AC422" s="1" t="str">
        <f>"بوشهر"</f>
        <v>بوشهر</v>
      </c>
      <c r="AD422" s="1" t="str">
        <f>"96/07/03"</f>
        <v>96/07/03</v>
      </c>
      <c r="AE422" s="1" t="str">
        <f>"تاييدشده"</f>
        <v>تاييدشده</v>
      </c>
      <c r="AF422" s="1" t="str">
        <f>""</f>
        <v/>
      </c>
      <c r="AG422" s="1" t="str">
        <f>""</f>
        <v/>
      </c>
      <c r="AH422" s="1" t="str">
        <f>""</f>
        <v/>
      </c>
      <c r="AI422" s="1" t="str">
        <f>""</f>
        <v/>
      </c>
      <c r="AJ422" s="1" t="str">
        <f>""</f>
        <v/>
      </c>
      <c r="AK422" s="1" t="str">
        <f>""</f>
        <v/>
      </c>
    </row>
    <row r="423" spans="1:37">
      <c r="A423" s="1">
        <v>79000</v>
      </c>
      <c r="B423" s="1">
        <v>966200006</v>
      </c>
      <c r="C423" s="1" t="str">
        <f>"تخليه - کرمانشاه - سرپل ذهاب - دشت ذهاب - روستاي گرده نو-کارخانه آسفالت قدس"</f>
        <v>تخليه - کرمانشاه - سرپل ذهاب - دشت ذهاب - روستاي گرده نو-کارخانه آسفالت قدس</v>
      </c>
      <c r="D423" s="1">
        <v>8198</v>
      </c>
      <c r="E423" s="1">
        <v>74400</v>
      </c>
      <c r="F423" s="1">
        <v>96</v>
      </c>
      <c r="G423" s="1">
        <v>4600</v>
      </c>
      <c r="H423" s="1" t="str">
        <f>"96/01/21"</f>
        <v>96/01/21</v>
      </c>
      <c r="I423" s="1" t="str">
        <f>"كيلوگرم"</f>
        <v>كيلوگرم</v>
      </c>
      <c r="J423" s="1" t="str">
        <f>"0000000076"</f>
        <v>0000000076</v>
      </c>
      <c r="K423" s="1" t="str">
        <f>"قير 60/70 - فله"</f>
        <v>قير 60/70 - فله</v>
      </c>
      <c r="L423" s="1">
        <v>100</v>
      </c>
      <c r="M423" s="1" t="str">
        <f>"مخازن قير اصفهان"</f>
        <v>مخازن قير اصفهان</v>
      </c>
      <c r="N423" s="1">
        <v>10976</v>
      </c>
      <c r="O423" s="1">
        <v>50034466</v>
      </c>
      <c r="P423" s="1" t="str">
        <f>"  پي سازان كلهرزاگرس"</f>
        <v xml:space="preserve">  پي سازان كلهرزاگرس</v>
      </c>
      <c r="Q423" s="1">
        <v>62</v>
      </c>
      <c r="R423" s="1" t="str">
        <f>"فروش داخلي - سازمان بنيادمسكن انقلاب اسلامي"</f>
        <v>فروش داخلي - سازمان بنيادمسكن انقلاب اسلامي</v>
      </c>
      <c r="S423" s="1" t="str">
        <f>"قرارداد فروش"</f>
        <v>قرارداد فروش</v>
      </c>
      <c r="T423" s="1" t="str">
        <f>"ندارد"</f>
        <v>ندارد</v>
      </c>
      <c r="U423" s="1" t="str">
        <f>"حاجيلوئي علي اصغر(2842019)"</f>
        <v>حاجيلوئي علي اصغر(2842019)</v>
      </c>
      <c r="V423" s="1">
        <v>966200006</v>
      </c>
      <c r="W423" s="1">
        <v>966200006</v>
      </c>
      <c r="X423" s="1" t="str">
        <f>"1396472723"</f>
        <v>1396472723</v>
      </c>
      <c r="Y423" s="1" t="str">
        <f>"96/01/21"</f>
        <v>96/01/21</v>
      </c>
      <c r="Z423" s="1" t="str">
        <f>"993/د"</f>
        <v>993/د</v>
      </c>
      <c r="AA423" s="1" t="str">
        <f>"بنيادمسكن انقلاب اسلامي"</f>
        <v>بنيادمسكن انقلاب اسلامي</v>
      </c>
      <c r="AB423" s="1" t="str">
        <f>"96/01/19"</f>
        <v>96/01/19</v>
      </c>
      <c r="AC423" s="1" t="str">
        <f>"استان كرمانشاه"</f>
        <v>استان كرمانشاه</v>
      </c>
      <c r="AD423" s="1" t="str">
        <f>"96/01/20"</f>
        <v>96/01/20</v>
      </c>
      <c r="AE423" s="1" t="str">
        <f>"اختتام"</f>
        <v>اختتام</v>
      </c>
      <c r="AF423" s="1" t="str">
        <f>""</f>
        <v/>
      </c>
      <c r="AG423" s="1" t="str">
        <f>""</f>
        <v/>
      </c>
      <c r="AH423" s="1" t="str">
        <f>""</f>
        <v/>
      </c>
      <c r="AI423" s="1" t="str">
        <f>""</f>
        <v/>
      </c>
      <c r="AJ423" s="1" t="str">
        <f>""</f>
        <v/>
      </c>
      <c r="AK423" s="1" t="str">
        <f>""</f>
        <v/>
      </c>
    </row>
    <row r="424" spans="1:37">
      <c r="A424" s="1">
        <v>50000</v>
      </c>
      <c r="B424" s="1">
        <v>966200422</v>
      </c>
      <c r="C424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424" s="1">
        <v>12820</v>
      </c>
      <c r="E424" s="1">
        <v>49480</v>
      </c>
      <c r="F424" s="1">
        <v>96</v>
      </c>
      <c r="G424" s="1">
        <v>520</v>
      </c>
      <c r="H424" s="1" t="str">
        <f>"96/09/18"</f>
        <v>96/09/18</v>
      </c>
      <c r="I424" s="1" t="str">
        <f>"كيلوگرم"</f>
        <v>كيلوگرم</v>
      </c>
      <c r="J424" s="1" t="str">
        <f>"0000000076"</f>
        <v>0000000076</v>
      </c>
      <c r="K424" s="1" t="str">
        <f>"قير 60/70 - فله"</f>
        <v>قير 60/70 - فله</v>
      </c>
      <c r="L424" s="1">
        <v>100</v>
      </c>
      <c r="M424" s="1" t="str">
        <f>"مخازن قير اصفهان"</f>
        <v>مخازن قير اصفهان</v>
      </c>
      <c r="N424" s="1">
        <v>11001</v>
      </c>
      <c r="O424" s="1">
        <v>50037549</v>
      </c>
      <c r="P424" s="1" t="str">
        <f>"  بنياد مسکن انقلاب اسلامي نجف آباد"</f>
        <v xml:space="preserve">  بنياد مسکن انقلاب اسلامي نجف آباد</v>
      </c>
      <c r="Q424" s="1">
        <v>62</v>
      </c>
      <c r="R424" s="1" t="str">
        <f>"فروش داخلي - سازمان بنيادمسكن انقلاب اسلامي"</f>
        <v>فروش داخلي - سازمان بنيادمسكن انقلاب اسلامي</v>
      </c>
      <c r="S424" s="1" t="str">
        <f>"قرارداد فروش"</f>
        <v>قرارداد فروش</v>
      </c>
      <c r="T424" s="1" t="str">
        <f>"ندارد"</f>
        <v>ندارد</v>
      </c>
      <c r="U424" s="1" t="str">
        <f>"سيفي پور عبدالمجيد(1009ج89)"</f>
        <v>سيفي پور عبدالمجيد(1009ج89)</v>
      </c>
      <c r="V424" s="1">
        <v>966200422</v>
      </c>
      <c r="W424" s="1">
        <v>966200422</v>
      </c>
      <c r="X424" s="1" t="str">
        <f>"1396531057"</f>
        <v>1396531057</v>
      </c>
      <c r="Y424" s="1" t="str">
        <f>"96/09/18"</f>
        <v>96/09/18</v>
      </c>
      <c r="Z424" s="1" t="str">
        <f>"40624/د"</f>
        <v>40624/د</v>
      </c>
      <c r="AA424" s="1" t="str">
        <f>"بنيادمسكن انقلاب اسلامي"</f>
        <v>بنيادمسكن انقلاب اسلامي</v>
      </c>
      <c r="AB424" s="1" t="str">
        <f>"96/09/14"</f>
        <v>96/09/14</v>
      </c>
      <c r="AC424" s="1" t="str">
        <f>"استان اصفهان"</f>
        <v>استان اصفهان</v>
      </c>
      <c r="AD424" s="1" t="str">
        <f>"96/09/18"</f>
        <v>96/09/18</v>
      </c>
      <c r="AE424" s="1" t="str">
        <f>"اختتام"</f>
        <v>اختتام</v>
      </c>
      <c r="AF424" s="1" t="str">
        <f>""</f>
        <v/>
      </c>
      <c r="AG424" s="1" t="str">
        <f>""</f>
        <v/>
      </c>
      <c r="AH424" s="1" t="str">
        <f>""</f>
        <v/>
      </c>
      <c r="AI424" s="1" t="str">
        <f>""</f>
        <v/>
      </c>
      <c r="AJ424" s="1" t="str">
        <f>""</f>
        <v/>
      </c>
      <c r="AK424" s="1" t="str">
        <f>""</f>
        <v/>
      </c>
    </row>
    <row r="425" spans="1:37">
      <c r="A425" s="1">
        <v>103293</v>
      </c>
      <c r="B425" s="1">
        <v>962000118</v>
      </c>
      <c r="C425" s="1" t="str">
        <f>"تخليه بوشهرعسلويه 30كيلومتري پارسيان به عسلويه شركت سنگ سيرساحل"</f>
        <v>تخليه بوشهرعسلويه 30كيلومتري پارسيان به عسلويه شركت سنگ سيرساحل</v>
      </c>
      <c r="D425" s="1">
        <v>9113</v>
      </c>
      <c r="E425" s="1">
        <v>103293</v>
      </c>
      <c r="F425" s="1">
        <v>96</v>
      </c>
      <c r="G425" s="1">
        <v>0</v>
      </c>
      <c r="H425" s="1" t="str">
        <f>"96/07/03"</f>
        <v>96/07/03</v>
      </c>
      <c r="I425" s="1" t="str">
        <f>"كيلوگرم"</f>
        <v>كيلوگرم</v>
      </c>
      <c r="J425" s="1" t="str">
        <f>"0000000076"</f>
        <v>0000000076</v>
      </c>
      <c r="K425" s="1" t="str">
        <f>"قير 60/70 - فله"</f>
        <v>قير 60/70 - فله</v>
      </c>
      <c r="L425" s="1">
        <v>100</v>
      </c>
      <c r="M425" s="1" t="str">
        <f>"مخازن قير اصفهان"</f>
        <v>مخازن قير اصفهان</v>
      </c>
      <c r="N425" s="1">
        <v>11422</v>
      </c>
      <c r="O425" s="1">
        <v>50036286</v>
      </c>
      <c r="P425" s="1" t="str">
        <f>"  شهرداري عسلويه"</f>
        <v xml:space="preserve">  شهرداري عسلويه</v>
      </c>
      <c r="Q425" s="1">
        <v>20</v>
      </c>
      <c r="R425" s="1" t="str">
        <f>"فروش داخلي - سازمان شهرداري ها و دهياري هاي كشور"</f>
        <v>فروش داخلي - سازمان شهرداري ها و دهياري هاي كشور</v>
      </c>
      <c r="S425" s="1" t="str">
        <f>"قرارداد فروش"</f>
        <v>قرارداد فروش</v>
      </c>
      <c r="T425" s="1" t="str">
        <f>"ندارد"</f>
        <v>ندارد</v>
      </c>
      <c r="U425" s="1" t="str">
        <f>"تعاوني جم گستر (1001 ج 89)"</f>
        <v>تعاوني جم گستر (1001 ج 89)</v>
      </c>
      <c r="V425" s="1">
        <v>962000118</v>
      </c>
      <c r="W425" s="1">
        <v>962000118</v>
      </c>
      <c r="X425" s="1" t="str">
        <f>"1396514467"</f>
        <v>1396514467</v>
      </c>
      <c r="Y425" s="1" t="str">
        <f>"96/07/03"</f>
        <v>96/07/03</v>
      </c>
      <c r="Z425" s="1" t="str">
        <f>"26696مرحله اول"</f>
        <v>26696مرحله اول</v>
      </c>
      <c r="AA425" s="1" t="str">
        <f>"شهرداريها"</f>
        <v>شهرداريها</v>
      </c>
      <c r="AB425" s="1" t="str">
        <f>"96/06/29"</f>
        <v>96/06/29</v>
      </c>
      <c r="AC425" s="1" t="str">
        <f>"بوشهر"</f>
        <v>بوشهر</v>
      </c>
      <c r="AD425" s="1" t="str">
        <f>"96/07/03"</f>
        <v>96/07/03</v>
      </c>
      <c r="AE425" s="1" t="str">
        <f>"تاييدشده"</f>
        <v>تاييدشده</v>
      </c>
      <c r="AF425" s="1" t="str">
        <f>""</f>
        <v/>
      </c>
      <c r="AG425" s="1" t="str">
        <f>""</f>
        <v/>
      </c>
      <c r="AH425" s="1" t="str">
        <f>""</f>
        <v/>
      </c>
      <c r="AI425" s="1" t="str">
        <f>""</f>
        <v/>
      </c>
      <c r="AJ425" s="1" t="str">
        <f>""</f>
        <v/>
      </c>
      <c r="AK425" s="1" t="str">
        <f>""</f>
        <v/>
      </c>
    </row>
    <row r="426" spans="1:37">
      <c r="A426" s="1">
        <v>62091</v>
      </c>
      <c r="B426" s="1">
        <v>962000257</v>
      </c>
      <c r="C426" s="1" t="str">
        <f>"تخليه خراسان جنوبي شهرستان قاين شهراسفدن كارخانه آسفالت شركت توس راديه"</f>
        <v>تخليه خراسان جنوبي شهرستان قاين شهراسفدن كارخانه آسفالت شركت توس راديه</v>
      </c>
      <c r="D426" s="1">
        <v>9113</v>
      </c>
      <c r="E426" s="1">
        <v>61017</v>
      </c>
      <c r="F426" s="1">
        <v>96</v>
      </c>
      <c r="G426" s="1">
        <v>1074</v>
      </c>
      <c r="H426" s="1" t="str">
        <f>"96/09/08"</f>
        <v>96/09/08</v>
      </c>
      <c r="I426" s="1" t="str">
        <f>"كيلوگرم"</f>
        <v>كيلوگرم</v>
      </c>
      <c r="J426" s="1" t="str">
        <f>"0000000076"</f>
        <v>0000000076</v>
      </c>
      <c r="K426" s="1" t="str">
        <f>"قير 60/70 - فله"</f>
        <v>قير 60/70 - فله</v>
      </c>
      <c r="L426" s="1">
        <v>100</v>
      </c>
      <c r="M426" s="1" t="str">
        <f>"مخازن قير اصفهان"</f>
        <v>مخازن قير اصفهان</v>
      </c>
      <c r="N426" s="1">
        <v>11426</v>
      </c>
      <c r="O426" s="1">
        <v>50037386</v>
      </c>
      <c r="P426" s="1" t="str">
        <f>"  شهرداري زهان"</f>
        <v xml:space="preserve">  شهرداري زهان</v>
      </c>
      <c r="Q426" s="1">
        <v>20</v>
      </c>
      <c r="R426" s="1" t="str">
        <f>"فروش داخلي - سازمان شهرداري ها و دهياري هاي كشور"</f>
        <v>فروش داخلي - سازمان شهرداري ها و دهياري هاي كشور</v>
      </c>
      <c r="S426" s="1" t="str">
        <f>"قرارداد فروش"</f>
        <v>قرارداد فروش</v>
      </c>
      <c r="T426" s="1" t="str">
        <f>"ندارد"</f>
        <v>ندارد</v>
      </c>
      <c r="U426" s="1" t="str">
        <f>"تعاوني جم گستر (1001 ج 89)"</f>
        <v>تعاوني جم گستر (1001 ج 89)</v>
      </c>
      <c r="V426" s="1">
        <v>962000257</v>
      </c>
      <c r="W426" s="1">
        <v>962000257</v>
      </c>
      <c r="X426" s="1" t="str">
        <f>"1396514467"</f>
        <v>1396514467</v>
      </c>
      <c r="Y426" s="1" t="str">
        <f>"96/09/08"</f>
        <v>96/09/08</v>
      </c>
      <c r="Z426" s="1" t="str">
        <f>"37085مرحله دوم"</f>
        <v>37085مرحله دوم</v>
      </c>
      <c r="AA426" s="1" t="str">
        <f>"شهرداريها"</f>
        <v>شهرداريها</v>
      </c>
      <c r="AB426" s="1" t="str">
        <f>"96/09/04"</f>
        <v>96/09/04</v>
      </c>
      <c r="AC426" s="1" t="str">
        <f>"خراسان جنوبي"</f>
        <v>خراسان جنوبي</v>
      </c>
      <c r="AD426" s="1" t="str">
        <f>"96/07/03"</f>
        <v>96/07/03</v>
      </c>
      <c r="AE426" s="1" t="str">
        <f>"اختتام"</f>
        <v>اختتام</v>
      </c>
      <c r="AF426" s="1" t="str">
        <f>""</f>
        <v/>
      </c>
      <c r="AG426" s="1" t="str">
        <f>""</f>
        <v/>
      </c>
      <c r="AH426" s="1" t="str">
        <f>""</f>
        <v/>
      </c>
      <c r="AI426" s="1" t="str">
        <f>""</f>
        <v/>
      </c>
      <c r="AJ426" s="1" t="str">
        <f>""</f>
        <v/>
      </c>
      <c r="AK426" s="1" t="str">
        <f>""</f>
        <v/>
      </c>
    </row>
    <row r="427" spans="1:37">
      <c r="A427" s="1">
        <v>63773</v>
      </c>
      <c r="B427" s="1">
        <v>962000278</v>
      </c>
      <c r="C427" s="1" t="str">
        <f>"تخليه خراسان رضوي شهرستان خليل آبادروستاي ايرج آباد شركت جاده گسترترشيزكارخانه آسفالت طوفان"</f>
        <v>تخليه خراسان رضوي شهرستان خليل آبادروستاي ايرج آباد شركت جاده گسترترشيزكارخانه آسفالت طوفان</v>
      </c>
      <c r="D427" s="1">
        <v>9113</v>
      </c>
      <c r="E427" s="1">
        <v>62313</v>
      </c>
      <c r="F427" s="1">
        <v>96</v>
      </c>
      <c r="G427" s="1">
        <v>1460</v>
      </c>
      <c r="H427" s="1" t="str">
        <f>"96/09/13"</f>
        <v>96/09/13</v>
      </c>
      <c r="I427" s="1" t="str">
        <f>"كيلوگرم"</f>
        <v>كيلوگرم</v>
      </c>
      <c r="J427" s="1" t="str">
        <f>"0000000076"</f>
        <v>0000000076</v>
      </c>
      <c r="K427" s="1" t="str">
        <f>"قير 60/70 - فله"</f>
        <v>قير 60/70 - فله</v>
      </c>
      <c r="L427" s="1">
        <v>100</v>
      </c>
      <c r="M427" s="1" t="str">
        <f>"مخازن قير اصفهان"</f>
        <v>مخازن قير اصفهان</v>
      </c>
      <c r="N427" s="1">
        <v>11429</v>
      </c>
      <c r="O427" s="1">
        <v>50037476</v>
      </c>
      <c r="P427" s="1" t="str">
        <f>"  شهرداري انابد"</f>
        <v xml:space="preserve">  شهرداري انابد</v>
      </c>
      <c r="Q427" s="1">
        <v>20</v>
      </c>
      <c r="R427" s="1" t="str">
        <f>"فروش داخلي - سازمان شهرداري ها و دهياري هاي كشور"</f>
        <v>فروش داخلي - سازمان شهرداري ها و دهياري هاي كشور</v>
      </c>
      <c r="S427" s="1" t="str">
        <f>"قرارداد فروش"</f>
        <v>قرارداد فروش</v>
      </c>
      <c r="T427" s="1" t="str">
        <f>"ندارد"</f>
        <v>ندارد</v>
      </c>
      <c r="U427" s="1" t="str">
        <f>"تعاوني جم گستر (1001 ج 89)"</f>
        <v>تعاوني جم گستر (1001 ج 89)</v>
      </c>
      <c r="V427" s="1">
        <v>962000278</v>
      </c>
      <c r="W427" s="1">
        <v>962000278</v>
      </c>
      <c r="X427" s="1" t="str">
        <f>"1396514467"</f>
        <v>1396514467</v>
      </c>
      <c r="Y427" s="1" t="str">
        <f>"96/09/12"</f>
        <v>96/09/12</v>
      </c>
      <c r="Z427" s="1" t="str">
        <f>"37071مرحله دوم"</f>
        <v>37071مرحله دوم</v>
      </c>
      <c r="AA427" s="1" t="str">
        <f>"شهرداريها"</f>
        <v>شهرداريها</v>
      </c>
      <c r="AB427" s="1" t="str">
        <f>"96/09/04"</f>
        <v>96/09/04</v>
      </c>
      <c r="AC427" s="1" t="str">
        <f>"خراسان رضوي"</f>
        <v>خراسان رضوي</v>
      </c>
      <c r="AD427" s="1" t="str">
        <f>"96/07/03"</f>
        <v>96/07/03</v>
      </c>
      <c r="AE427" s="1" t="str">
        <f>"اختتام"</f>
        <v>اختتام</v>
      </c>
      <c r="AF427" s="1" t="str">
        <f>""</f>
        <v/>
      </c>
      <c r="AG427" s="1" t="str">
        <f>""</f>
        <v/>
      </c>
      <c r="AH427" s="1" t="str">
        <f>""</f>
        <v/>
      </c>
      <c r="AI427" s="1" t="str">
        <f>""</f>
        <v/>
      </c>
      <c r="AJ427" s="1" t="str">
        <f>""</f>
        <v/>
      </c>
      <c r="AK427" s="1" t="str">
        <f>""</f>
        <v/>
      </c>
    </row>
    <row r="428" spans="1:37">
      <c r="A428" s="1">
        <v>60183</v>
      </c>
      <c r="B428" s="1">
        <v>962000333</v>
      </c>
      <c r="C428" s="1" t="str">
        <f>"تخليه خراسان رضوي كيلومتر13جاده فيروزه قوچان شركت دل حفره"</f>
        <v>تخليه خراسان رضوي كيلومتر13جاده فيروزه قوچان شركت دل حفره</v>
      </c>
      <c r="D428" s="1">
        <v>9113</v>
      </c>
      <c r="E428" s="1">
        <v>57973</v>
      </c>
      <c r="F428" s="1">
        <v>96</v>
      </c>
      <c r="G428" s="1">
        <v>2210</v>
      </c>
      <c r="H428" s="1" t="str">
        <f>"96/09/13"</f>
        <v>96/09/13</v>
      </c>
      <c r="I428" s="1" t="str">
        <f>"كيلوگرم"</f>
        <v>كيلوگرم</v>
      </c>
      <c r="J428" s="1" t="str">
        <f>"0000000076"</f>
        <v>0000000076</v>
      </c>
      <c r="K428" s="1" t="str">
        <f>"قير 60/70 - فله"</f>
        <v>قير 60/70 - فله</v>
      </c>
      <c r="L428" s="1">
        <v>100</v>
      </c>
      <c r="M428" s="1" t="str">
        <f>"مخازن قير اصفهان"</f>
        <v>مخازن قير اصفهان</v>
      </c>
      <c r="N428" s="1">
        <v>11432</v>
      </c>
      <c r="O428" s="1">
        <v>50037541</v>
      </c>
      <c r="P428" s="1" t="str">
        <f>"  شهرداري بار"</f>
        <v xml:space="preserve">  شهرداري بار</v>
      </c>
      <c r="Q428" s="1">
        <v>20</v>
      </c>
      <c r="R428" s="1" t="str">
        <f>"فروش داخلي - سازمان شهرداري ها و دهياري هاي كشور"</f>
        <v>فروش داخلي - سازمان شهرداري ها و دهياري هاي كشور</v>
      </c>
      <c r="S428" s="1" t="str">
        <f>"قرارداد فروش"</f>
        <v>قرارداد فروش</v>
      </c>
      <c r="T428" s="1" t="str">
        <f>"ندارد"</f>
        <v>ندارد</v>
      </c>
      <c r="U428" s="1" t="str">
        <f>"تعاوني جم گستر (1001 ج 89)"</f>
        <v>تعاوني جم گستر (1001 ج 89)</v>
      </c>
      <c r="V428" s="1">
        <v>962000333</v>
      </c>
      <c r="W428" s="1">
        <v>962000333</v>
      </c>
      <c r="X428" s="1" t="str">
        <f>"1396514467"</f>
        <v>1396514467</v>
      </c>
      <c r="Y428" s="1" t="str">
        <f>"96/09/12"</f>
        <v>96/09/12</v>
      </c>
      <c r="Z428" s="1" t="str">
        <f>"37074مرحله دوم"</f>
        <v>37074مرحله دوم</v>
      </c>
      <c r="AA428" s="1" t="str">
        <f>"شهرداريها"</f>
        <v>شهرداريها</v>
      </c>
      <c r="AB428" s="1" t="str">
        <f>"96/09/04"</f>
        <v>96/09/04</v>
      </c>
      <c r="AC428" s="1" t="str">
        <f>"خراسان رضوي"</f>
        <v>خراسان رضوي</v>
      </c>
      <c r="AD428" s="1" t="str">
        <f>"96/07/03"</f>
        <v>96/07/03</v>
      </c>
      <c r="AE428" s="1" t="str">
        <f>"اختتام"</f>
        <v>اختتام</v>
      </c>
      <c r="AF428" s="1" t="str">
        <f>""</f>
        <v/>
      </c>
      <c r="AG428" s="1" t="str">
        <f>""</f>
        <v/>
      </c>
      <c r="AH428" s="1" t="str">
        <f>""</f>
        <v/>
      </c>
      <c r="AI428" s="1" t="str">
        <f>""</f>
        <v/>
      </c>
      <c r="AJ428" s="1" t="str">
        <f>""</f>
        <v/>
      </c>
      <c r="AK428" s="1" t="str">
        <f>""</f>
        <v/>
      </c>
    </row>
    <row r="429" spans="1:37">
      <c r="A429" s="1">
        <v>69724</v>
      </c>
      <c r="B429" s="1">
        <v>962000296</v>
      </c>
      <c r="C429" s="1" t="str">
        <f>"تخليه كيلومتر5جاده كاشمرمشهدنرسيده به ميدان شهيدغلامي شركت كيمياسروش پاسارگاد"</f>
        <v>تخليه كيلومتر5جاده كاشمرمشهدنرسيده به ميدان شهيدغلامي شركت كيمياسروش پاسارگاد</v>
      </c>
      <c r="D429" s="1">
        <v>9113</v>
      </c>
      <c r="E429" s="1">
        <v>69412</v>
      </c>
      <c r="F429" s="1">
        <v>96</v>
      </c>
      <c r="G429" s="1">
        <v>312</v>
      </c>
      <c r="H429" s="1" t="str">
        <f>"96/09/13"</f>
        <v>96/09/13</v>
      </c>
      <c r="I429" s="1" t="str">
        <f>"كيلوگرم"</f>
        <v>كيلوگرم</v>
      </c>
      <c r="J429" s="1" t="str">
        <f>"0000000076"</f>
        <v>0000000076</v>
      </c>
      <c r="K429" s="1" t="str">
        <f>"قير 60/70 - فله"</f>
        <v>قير 60/70 - فله</v>
      </c>
      <c r="L429" s="1">
        <v>100</v>
      </c>
      <c r="M429" s="1" t="str">
        <f>"مخازن قير اصفهان"</f>
        <v>مخازن قير اصفهان</v>
      </c>
      <c r="N429" s="1">
        <v>11438</v>
      </c>
      <c r="O429" s="1">
        <v>50037497</v>
      </c>
      <c r="P429" s="1" t="str">
        <f>"  شهرداري خليل آباد"</f>
        <v xml:space="preserve">  شهرداري خليل آباد</v>
      </c>
      <c r="Q429" s="1">
        <v>20</v>
      </c>
      <c r="R429" s="1" t="str">
        <f>"فروش داخلي - سازمان شهرداري ها و دهياري هاي كشور"</f>
        <v>فروش داخلي - سازمان شهرداري ها و دهياري هاي كشور</v>
      </c>
      <c r="S429" s="1" t="str">
        <f>"قرارداد فروش"</f>
        <v>قرارداد فروش</v>
      </c>
      <c r="T429" s="1" t="str">
        <f>"ندارد"</f>
        <v>ندارد</v>
      </c>
      <c r="U429" s="1" t="str">
        <f>"تعاوني جم گستر (1001 ج 89)"</f>
        <v>تعاوني جم گستر (1001 ج 89)</v>
      </c>
      <c r="V429" s="1">
        <v>962000296</v>
      </c>
      <c r="W429" s="1">
        <v>962000296</v>
      </c>
      <c r="X429" s="1" t="str">
        <f>"1396514467"</f>
        <v>1396514467</v>
      </c>
      <c r="Y429" s="1" t="str">
        <f>"96/09/12"</f>
        <v>96/09/12</v>
      </c>
      <c r="Z429" s="1" t="str">
        <f>"37017مرحله دوم"</f>
        <v>37017مرحله دوم</v>
      </c>
      <c r="AA429" s="1" t="str">
        <f>"شهرداريها"</f>
        <v>شهرداريها</v>
      </c>
      <c r="AB429" s="1" t="str">
        <f>"96/09/04"</f>
        <v>96/09/04</v>
      </c>
      <c r="AC429" s="1" t="str">
        <f>"خراسان رضوي"</f>
        <v>خراسان رضوي</v>
      </c>
      <c r="AD429" s="1" t="str">
        <f>"96/07/03"</f>
        <v>96/07/03</v>
      </c>
      <c r="AE429" s="1" t="str">
        <f>"اختتام"</f>
        <v>اختتام</v>
      </c>
      <c r="AF429" s="1" t="str">
        <f>""</f>
        <v/>
      </c>
      <c r="AG429" s="1" t="str">
        <f>""</f>
        <v/>
      </c>
      <c r="AH429" s="1" t="str">
        <f>""</f>
        <v/>
      </c>
      <c r="AI429" s="1" t="str">
        <f>""</f>
        <v/>
      </c>
      <c r="AJ429" s="1" t="str">
        <f>""</f>
        <v/>
      </c>
      <c r="AK429" s="1" t="str">
        <f>""</f>
        <v/>
      </c>
    </row>
    <row r="430" spans="1:37">
      <c r="A430" s="1">
        <v>122928</v>
      </c>
      <c r="B430" s="1">
        <v>962000175</v>
      </c>
      <c r="C430" s="1" t="str">
        <f>"تخليه خراسان رضوي تربت حيدريه كيلومتر15جاده دولت آبادكارخانه آسفالت نباتي"</f>
        <v>تخليه خراسان رضوي تربت حيدريه كيلومتر15جاده دولت آبادكارخانه آسفالت نباتي</v>
      </c>
      <c r="D430" s="1">
        <v>9113</v>
      </c>
      <c r="E430" s="1">
        <v>122928</v>
      </c>
      <c r="F430" s="1">
        <v>96</v>
      </c>
      <c r="G430" s="1">
        <v>0</v>
      </c>
      <c r="H430" s="1" t="str">
        <f>"96/07/03"</f>
        <v>96/07/03</v>
      </c>
      <c r="I430" s="1" t="str">
        <f>"كيلوگرم"</f>
        <v>كيلوگرم</v>
      </c>
      <c r="J430" s="1" t="str">
        <f>"0000000076"</f>
        <v>0000000076</v>
      </c>
      <c r="K430" s="1" t="str">
        <f>"قير 60/70 - فله"</f>
        <v>قير 60/70 - فله</v>
      </c>
      <c r="L430" s="1">
        <v>100</v>
      </c>
      <c r="M430" s="1" t="str">
        <f>"مخازن قير اصفهان"</f>
        <v>مخازن قير اصفهان</v>
      </c>
      <c r="N430" s="1">
        <v>11444</v>
      </c>
      <c r="O430" s="1">
        <v>50036471</v>
      </c>
      <c r="P430" s="1" t="str">
        <f>"  شهرداري سلامي"</f>
        <v xml:space="preserve">  شهرداري سلامي</v>
      </c>
      <c r="Q430" s="1">
        <v>20</v>
      </c>
      <c r="R430" s="1" t="str">
        <f>"فروش داخلي - سازمان شهرداري ها و دهياري هاي كشور"</f>
        <v>فروش داخلي - سازمان شهرداري ها و دهياري هاي كشور</v>
      </c>
      <c r="S430" s="1" t="str">
        <f>"قرارداد فروش"</f>
        <v>قرارداد فروش</v>
      </c>
      <c r="T430" s="1" t="str">
        <f>"ندارد"</f>
        <v>ندارد</v>
      </c>
      <c r="U430" s="1" t="str">
        <f>"تعاوني جم گستر (1001 ج 89)"</f>
        <v>تعاوني جم گستر (1001 ج 89)</v>
      </c>
      <c r="V430" s="1">
        <v>962000175</v>
      </c>
      <c r="W430" s="1">
        <v>962000175</v>
      </c>
      <c r="X430" s="1" t="str">
        <f>"1396514467"</f>
        <v>1396514467</v>
      </c>
      <c r="Y430" s="1" t="str">
        <f>"96/07/03"</f>
        <v>96/07/03</v>
      </c>
      <c r="Z430" s="1" t="str">
        <f>"26769مرحله اول"</f>
        <v>26769مرحله اول</v>
      </c>
      <c r="AA430" s="1" t="str">
        <f>"شهرداريها"</f>
        <v>شهرداريها</v>
      </c>
      <c r="AB430" s="1" t="str">
        <f>"96/06/29"</f>
        <v>96/06/29</v>
      </c>
      <c r="AC430" s="1" t="str">
        <f>"خراسان رضوي"</f>
        <v>خراسان رضوي</v>
      </c>
      <c r="AD430" s="1" t="str">
        <f>"96/07/03"</f>
        <v>96/07/03</v>
      </c>
      <c r="AE430" s="1" t="str">
        <f>"اختتام"</f>
        <v>اختتام</v>
      </c>
      <c r="AF430" s="1" t="str">
        <f>""</f>
        <v/>
      </c>
      <c r="AG430" s="1" t="str">
        <f>""</f>
        <v/>
      </c>
      <c r="AH430" s="1" t="str">
        <f>""</f>
        <v/>
      </c>
      <c r="AI430" s="1" t="str">
        <f>""</f>
        <v/>
      </c>
      <c r="AJ430" s="1" t="str">
        <f>""</f>
        <v/>
      </c>
      <c r="AK430" s="1" t="str">
        <f>""</f>
        <v/>
      </c>
    </row>
    <row r="431" spans="1:37">
      <c r="A431" s="1">
        <v>57019</v>
      </c>
      <c r="B431" s="1">
        <v>962000280</v>
      </c>
      <c r="C431" s="1" t="str">
        <f>"تخليه خراسان رضوي كيلومتر16جاده بردسكن خليل آبادايرج آبادكارخانه آسفالت طوفان"</f>
        <v>تخليه خراسان رضوي كيلومتر16جاده بردسكن خليل آبادايرج آبادكارخانه آسفالت طوفان</v>
      </c>
      <c r="D431" s="1">
        <v>9113</v>
      </c>
      <c r="E431" s="1">
        <v>56241</v>
      </c>
      <c r="F431" s="1">
        <v>96</v>
      </c>
      <c r="G431" s="1">
        <v>778</v>
      </c>
      <c r="H431" s="1" t="str">
        <f>"96/09/13"</f>
        <v>96/09/13</v>
      </c>
      <c r="I431" s="1" t="str">
        <f>"كيلوگرم"</f>
        <v>كيلوگرم</v>
      </c>
      <c r="J431" s="1" t="str">
        <f>"0000000076"</f>
        <v>0000000076</v>
      </c>
      <c r="K431" s="1" t="str">
        <f>"قير 60/70 - فله"</f>
        <v>قير 60/70 - فله</v>
      </c>
      <c r="L431" s="1">
        <v>100</v>
      </c>
      <c r="M431" s="1" t="str">
        <f>"مخازن قير اصفهان"</f>
        <v>مخازن قير اصفهان</v>
      </c>
      <c r="N431" s="1">
        <v>11446</v>
      </c>
      <c r="O431" s="1">
        <v>50037480</v>
      </c>
      <c r="P431" s="1" t="str">
        <f>"  شهرداري شهرآباد"</f>
        <v xml:space="preserve">  شهرداري شهرآباد</v>
      </c>
      <c r="Q431" s="1">
        <v>20</v>
      </c>
      <c r="R431" s="1" t="str">
        <f>"فروش داخلي - سازمان شهرداري ها و دهياري هاي كشور"</f>
        <v>فروش داخلي - سازمان شهرداري ها و دهياري هاي كشور</v>
      </c>
      <c r="S431" s="1" t="str">
        <f>"قرارداد فروش"</f>
        <v>قرارداد فروش</v>
      </c>
      <c r="T431" s="1" t="str">
        <f>"ندارد"</f>
        <v>ندارد</v>
      </c>
      <c r="U431" s="1" t="str">
        <f>"تعاوني جم گستر (1001 ج 89)"</f>
        <v>تعاوني جم گستر (1001 ج 89)</v>
      </c>
      <c r="V431" s="1">
        <v>962000280</v>
      </c>
      <c r="W431" s="1">
        <v>962000280</v>
      </c>
      <c r="X431" s="1" t="str">
        <f>"1396514467"</f>
        <v>1396514467</v>
      </c>
      <c r="Y431" s="1" t="str">
        <f>"96/09/12"</f>
        <v>96/09/12</v>
      </c>
      <c r="Z431" s="1" t="str">
        <f>"37039مرحله دوم"</f>
        <v>37039مرحله دوم</v>
      </c>
      <c r="AA431" s="1" t="str">
        <f>"شهرداريها"</f>
        <v>شهرداريها</v>
      </c>
      <c r="AB431" s="1" t="str">
        <f>"96/09/04"</f>
        <v>96/09/04</v>
      </c>
      <c r="AC431" s="1" t="str">
        <f>"خراسان رضوي"</f>
        <v>خراسان رضوي</v>
      </c>
      <c r="AD431" s="1" t="str">
        <f>"96/07/03"</f>
        <v>96/07/03</v>
      </c>
      <c r="AE431" s="1" t="str">
        <f>"اختتام"</f>
        <v>اختتام</v>
      </c>
      <c r="AF431" s="1" t="str">
        <f>""</f>
        <v/>
      </c>
      <c r="AG431" s="1" t="str">
        <f>""</f>
        <v/>
      </c>
      <c r="AH431" s="1" t="str">
        <f>""</f>
        <v/>
      </c>
      <c r="AI431" s="1" t="str">
        <f>""</f>
        <v/>
      </c>
      <c r="AJ431" s="1" t="str">
        <f>""</f>
        <v/>
      </c>
      <c r="AK431" s="1" t="str">
        <f>""</f>
        <v/>
      </c>
    </row>
    <row r="432" spans="1:37">
      <c r="A432" s="1">
        <v>115646</v>
      </c>
      <c r="B432" s="1">
        <v>962000179</v>
      </c>
      <c r="C432" s="1" t="str">
        <f>"تخليه خراسان رضوي جاده نيشابورفيروزه كيلومتر31فولادخراسان شركت آسفالت خيام"</f>
        <v>تخليه خراسان رضوي جاده نيشابورفيروزه كيلومتر31فولادخراسان شركت آسفالت خيام</v>
      </c>
      <c r="D432" s="1">
        <v>9113</v>
      </c>
      <c r="E432" s="1">
        <v>115646</v>
      </c>
      <c r="F432" s="1">
        <v>96</v>
      </c>
      <c r="G432" s="1">
        <v>0</v>
      </c>
      <c r="H432" s="1" t="str">
        <f>"96/07/03"</f>
        <v>96/07/03</v>
      </c>
      <c r="I432" s="1" t="str">
        <f>"كيلوگرم"</f>
        <v>كيلوگرم</v>
      </c>
      <c r="J432" s="1" t="str">
        <f>"0000000076"</f>
        <v>0000000076</v>
      </c>
      <c r="K432" s="1" t="str">
        <f>"قير 60/70 - فله"</f>
        <v>قير 60/70 - فله</v>
      </c>
      <c r="L432" s="1">
        <v>100</v>
      </c>
      <c r="M432" s="1" t="str">
        <f>"مخازن قير اصفهان"</f>
        <v>مخازن قير اصفهان</v>
      </c>
      <c r="N432" s="1">
        <v>11447</v>
      </c>
      <c r="O432" s="1">
        <v>50036384</v>
      </c>
      <c r="P432" s="1" t="str">
        <f>"  شهرداري عشق آباد خراسان رضوي"</f>
        <v xml:space="preserve">  شهرداري عشق آباد خراسان رضوي</v>
      </c>
      <c r="Q432" s="1">
        <v>20</v>
      </c>
      <c r="R432" s="1" t="str">
        <f>"فروش داخلي - سازمان شهرداري ها و دهياري هاي كشور"</f>
        <v>فروش داخلي - سازمان شهرداري ها و دهياري هاي كشور</v>
      </c>
      <c r="S432" s="1" t="str">
        <f>"قرارداد فروش"</f>
        <v>قرارداد فروش</v>
      </c>
      <c r="T432" s="1" t="str">
        <f>"ندارد"</f>
        <v>ندارد</v>
      </c>
      <c r="U432" s="1" t="str">
        <f>"تعاوني جم گستر (1001 ج 89)"</f>
        <v>تعاوني جم گستر (1001 ج 89)</v>
      </c>
      <c r="V432" s="1">
        <v>962000179</v>
      </c>
      <c r="W432" s="1">
        <v>962000179</v>
      </c>
      <c r="X432" s="1" t="str">
        <f>"1396514467"</f>
        <v>1396514467</v>
      </c>
      <c r="Y432" s="1" t="str">
        <f>"96/07/03"</f>
        <v>96/07/03</v>
      </c>
      <c r="Z432" s="1" t="str">
        <f>"26708"</f>
        <v>26708</v>
      </c>
      <c r="AA432" s="1" t="str">
        <f>"شهرداريها"</f>
        <v>شهرداريها</v>
      </c>
      <c r="AB432" s="1" t="str">
        <f>"96/06/29"</f>
        <v>96/06/29</v>
      </c>
      <c r="AC432" s="1" t="str">
        <f>"خراسان رضوي"</f>
        <v>خراسان رضوي</v>
      </c>
      <c r="AD432" s="1" t="str">
        <f>"96/07/03"</f>
        <v>96/07/03</v>
      </c>
      <c r="AE432" s="1" t="str">
        <f>"اختتام"</f>
        <v>اختتام</v>
      </c>
      <c r="AF432" s="1" t="str">
        <f>""</f>
        <v/>
      </c>
      <c r="AG432" s="1" t="str">
        <f>""</f>
        <v/>
      </c>
      <c r="AH432" s="1" t="str">
        <f>""</f>
        <v/>
      </c>
      <c r="AI432" s="1" t="str">
        <f>""</f>
        <v/>
      </c>
      <c r="AJ432" s="1" t="str">
        <f>""</f>
        <v/>
      </c>
      <c r="AK432" s="1" t="str">
        <f>""</f>
        <v/>
      </c>
    </row>
    <row r="433" spans="1:37">
      <c r="A433" s="1">
        <v>90000</v>
      </c>
      <c r="B433" s="1">
        <v>966200718</v>
      </c>
      <c r="C433" s="1" t="str">
        <f>"تخليه - کهگيلويه و بويراحمد-ياسوج-پليس راه ياسوج اصفهان-کارخانه آسفالت زارع"</f>
        <v>تخليه - کهگيلويه و بويراحمد-ياسوج-پليس راه ياسوج اصفهان-کارخانه آسفالت زارع</v>
      </c>
      <c r="D433" s="1">
        <v>13350</v>
      </c>
      <c r="E433" s="1">
        <v>90000</v>
      </c>
      <c r="F433" s="1">
        <v>96</v>
      </c>
      <c r="G433" s="1">
        <v>0</v>
      </c>
      <c r="H433" s="1" t="str">
        <f>"96/12/26"</f>
        <v>96/12/26</v>
      </c>
      <c r="I433" s="1" t="str">
        <f>"كيلوگرم"</f>
        <v>كيلوگرم</v>
      </c>
      <c r="J433" s="1" t="str">
        <f>"0000000076"</f>
        <v>0000000076</v>
      </c>
      <c r="K433" s="1" t="str">
        <f>"قير 60/70 - فله"</f>
        <v>قير 60/70 - فله</v>
      </c>
      <c r="L433" s="1">
        <v>100</v>
      </c>
      <c r="M433" s="1" t="str">
        <f>"مخازن قير اصفهان"</f>
        <v>مخازن قير اصفهان</v>
      </c>
      <c r="N433" s="1">
        <v>11055</v>
      </c>
      <c r="O433" s="1">
        <v>50039078</v>
      </c>
      <c r="P433" s="1" t="str">
        <f>"  بکتاش سازه زاگرس"</f>
        <v xml:space="preserve">  بکتاش سازه زاگرس</v>
      </c>
      <c r="Q433" s="1">
        <v>62</v>
      </c>
      <c r="R433" s="1" t="str">
        <f>"فروش داخلي - سازمان بنيادمسكن انقلاب اسلامي"</f>
        <v>فروش داخلي - سازمان بنيادمسكن انقلاب اسلامي</v>
      </c>
      <c r="S433" s="1" t="str">
        <f>"قرارداد فروش"</f>
        <v>قرارداد فروش</v>
      </c>
      <c r="T433" s="1" t="str">
        <f>"ندارد"</f>
        <v>ندارد</v>
      </c>
      <c r="U433" s="1" t="str">
        <f>"غلام نجفي سيامك‌‌‌‌‌‌(1881082)"</f>
        <v>غلام نجفي سيامك‌‌‌‌‌‌(1881082)</v>
      </c>
      <c r="V433" s="1">
        <v>966200718</v>
      </c>
      <c r="W433" s="1">
        <v>966200718</v>
      </c>
      <c r="X433" s="1" t="str">
        <f>"1396555371"</f>
        <v>1396555371</v>
      </c>
      <c r="Y433" s="1" t="str">
        <f>"96/12/26"</f>
        <v>96/12/26</v>
      </c>
      <c r="Z433" s="1" t="str">
        <f>"59417/د"</f>
        <v>59417/د</v>
      </c>
      <c r="AA433" s="1" t="str">
        <f>"بنيادمسكن انقلاب اسلامي"</f>
        <v>بنيادمسكن انقلاب اسلامي</v>
      </c>
      <c r="AB433" s="1" t="str">
        <f>"96/12/23"</f>
        <v>96/12/23</v>
      </c>
      <c r="AC433" s="1" t="str">
        <f>"كهكيلويه و بوير احمد"</f>
        <v>كهكيلويه و بوير احمد</v>
      </c>
      <c r="AD433" s="1" t="str">
        <f>"96/12/26"</f>
        <v>96/12/26</v>
      </c>
      <c r="AE433" s="1" t="str">
        <f>"اختتام"</f>
        <v>اختتام</v>
      </c>
      <c r="AF433" s="1" t="str">
        <f>""</f>
        <v/>
      </c>
      <c r="AG433" s="1" t="str">
        <f>""</f>
        <v/>
      </c>
      <c r="AH433" s="1" t="str">
        <f>""</f>
        <v/>
      </c>
      <c r="AI433" s="1" t="str">
        <f>""</f>
        <v/>
      </c>
      <c r="AJ433" s="1" t="str">
        <f>""</f>
        <v/>
      </c>
      <c r="AK433" s="1" t="str">
        <f>""</f>
        <v/>
      </c>
    </row>
    <row r="434" spans="1:37">
      <c r="A434" s="1">
        <v>84000</v>
      </c>
      <c r="B434" s="1">
        <v>966200465</v>
      </c>
      <c r="C434" s="1" t="str">
        <f>"تخليه-ياسوج-روستاي دارشاهي-آسفالت شکوهي"</f>
        <v>تخليه-ياسوج-روستاي دارشاهي-آسفالت شکوهي</v>
      </c>
      <c r="D434" s="1">
        <v>12820</v>
      </c>
      <c r="E434" s="1">
        <v>84000</v>
      </c>
      <c r="F434" s="1">
        <v>96</v>
      </c>
      <c r="G434" s="1">
        <v>0</v>
      </c>
      <c r="H434" s="1" t="str">
        <f>"96/09/27"</f>
        <v>96/09/27</v>
      </c>
      <c r="I434" s="1" t="str">
        <f>"كيلوگرم"</f>
        <v>كيلوگرم</v>
      </c>
      <c r="J434" s="1" t="str">
        <f>"0000000076"</f>
        <v>0000000076</v>
      </c>
      <c r="K434" s="1" t="str">
        <f>"قير 60/70 - فله"</f>
        <v>قير 60/70 - فله</v>
      </c>
      <c r="L434" s="1">
        <v>100</v>
      </c>
      <c r="M434" s="1" t="str">
        <f>"مخازن قير اصفهان"</f>
        <v>مخازن قير اصفهان</v>
      </c>
      <c r="N434" s="1">
        <v>11057</v>
      </c>
      <c r="O434" s="1">
        <v>50037905</v>
      </c>
      <c r="P434" s="1" t="str">
        <f>"  شهين كوه زاگرس"</f>
        <v xml:space="preserve">  شهين كوه زاگرس</v>
      </c>
      <c r="Q434" s="1">
        <v>62</v>
      </c>
      <c r="R434" s="1" t="str">
        <f>"فروش داخلي - سازمان بنيادمسكن انقلاب اسلامي"</f>
        <v>فروش داخلي - سازمان بنيادمسكن انقلاب اسلامي</v>
      </c>
      <c r="S434" s="1" t="str">
        <f>"قرارداد فروش"</f>
        <v>قرارداد فروش</v>
      </c>
      <c r="T434" s="1" t="str">
        <f>"ندارد"</f>
        <v>ندارد</v>
      </c>
      <c r="U434" s="1" t="str">
        <f>"غلام نجفي سيامك‌‌‌‌‌‌(1881082)"</f>
        <v>غلام نجفي سيامك‌‌‌‌‌‌(1881082)</v>
      </c>
      <c r="V434" s="1">
        <v>966200465</v>
      </c>
      <c r="W434" s="1">
        <v>966200465</v>
      </c>
      <c r="X434" s="1" t="str">
        <f>"1396533043"</f>
        <v>1396533043</v>
      </c>
      <c r="Y434" s="1" t="str">
        <f>"96/09/27"</f>
        <v>96/09/27</v>
      </c>
      <c r="Z434" s="1" t="str">
        <f>"42430/د"</f>
        <v>42430/د</v>
      </c>
      <c r="AA434" s="1" t="str">
        <f>"بنيادمسكن انقلاب اسلامي"</f>
        <v>بنيادمسكن انقلاب اسلامي</v>
      </c>
      <c r="AB434" s="1" t="str">
        <f>"96/09/26"</f>
        <v>96/09/26</v>
      </c>
      <c r="AC434" s="1" t="str">
        <f>"كهكيلويه و بوير احمد"</f>
        <v>كهكيلويه و بوير احمد</v>
      </c>
      <c r="AD434" s="1" t="str">
        <f>"96/09/27"</f>
        <v>96/09/27</v>
      </c>
      <c r="AE434" s="1" t="str">
        <f>"اختتام"</f>
        <v>اختتام</v>
      </c>
      <c r="AF434" s="1" t="str">
        <f>""</f>
        <v/>
      </c>
      <c r="AG434" s="1" t="str">
        <f>""</f>
        <v/>
      </c>
      <c r="AH434" s="1" t="str">
        <f>""</f>
        <v/>
      </c>
      <c r="AI434" s="1" t="str">
        <f>""</f>
        <v/>
      </c>
      <c r="AJ434" s="1" t="str">
        <f>""</f>
        <v/>
      </c>
      <c r="AK434" s="1" t="str">
        <f>""</f>
        <v/>
      </c>
    </row>
    <row r="435" spans="1:37">
      <c r="A435" s="1">
        <v>15000</v>
      </c>
      <c r="B435" s="1">
        <v>966200602</v>
      </c>
      <c r="C435" s="1" t="str">
        <f>"تخليه-ياسوج-روستاي دارشاهي-آسفالت شکوهي"</f>
        <v>تخليه-ياسوج-روستاي دارشاهي-آسفالت شکوهي</v>
      </c>
      <c r="D435" s="1">
        <v>13350</v>
      </c>
      <c r="E435" s="1">
        <v>14740</v>
      </c>
      <c r="F435" s="1">
        <v>96</v>
      </c>
      <c r="G435" s="1">
        <v>260</v>
      </c>
      <c r="H435" s="1" t="str">
        <f>"96/12/09"</f>
        <v>96/12/09</v>
      </c>
      <c r="I435" s="1" t="str">
        <f>"كيلوگرم"</f>
        <v>كيلوگرم</v>
      </c>
      <c r="J435" s="1" t="str">
        <f>"0000000076"</f>
        <v>0000000076</v>
      </c>
      <c r="K435" s="1" t="str">
        <f>"قير 60/70 - فله"</f>
        <v>قير 60/70 - فله</v>
      </c>
      <c r="L435" s="1">
        <v>100</v>
      </c>
      <c r="M435" s="1" t="str">
        <f>"مخازن قير اصفهان"</f>
        <v>مخازن قير اصفهان</v>
      </c>
      <c r="N435" s="1">
        <v>11057</v>
      </c>
      <c r="O435" s="1">
        <v>50038661</v>
      </c>
      <c r="P435" s="1" t="str">
        <f>"  شهين كوه زاگرس"</f>
        <v xml:space="preserve">  شهين كوه زاگرس</v>
      </c>
      <c r="Q435" s="1">
        <v>62</v>
      </c>
      <c r="R435" s="1" t="str">
        <f>"فروش داخلي - سازمان بنيادمسكن انقلاب اسلامي"</f>
        <v>فروش داخلي - سازمان بنيادمسكن انقلاب اسلامي</v>
      </c>
      <c r="S435" s="1" t="str">
        <f>"قرارداد فروش"</f>
        <v>قرارداد فروش</v>
      </c>
      <c r="T435" s="1" t="str">
        <f>"ندارد"</f>
        <v>ندارد</v>
      </c>
      <c r="U435" s="1" t="str">
        <f>"غلام نجفي سيامك‌‌‌‌‌‌(1881082)"</f>
        <v>غلام نجفي سيامك‌‌‌‌‌‌(1881082)</v>
      </c>
      <c r="V435" s="1">
        <v>966200602</v>
      </c>
      <c r="W435" s="1">
        <v>966200602</v>
      </c>
      <c r="X435" s="1" t="str">
        <f>"1396551611"</f>
        <v>1396551611</v>
      </c>
      <c r="Y435" s="1" t="str">
        <f>"96/12/09"</f>
        <v>96/12/09</v>
      </c>
      <c r="Z435" s="1" t="str">
        <f>"55679/د"</f>
        <v>55679/د</v>
      </c>
      <c r="AA435" s="1" t="str">
        <f>"بنيادمسكن انقلاب اسلامي"</f>
        <v>بنيادمسكن انقلاب اسلامي</v>
      </c>
      <c r="AB435" s="1" t="str">
        <f>"96/12/08"</f>
        <v>96/12/08</v>
      </c>
      <c r="AC435" s="1" t="str">
        <f>"كهكيلويه و بوير احمد"</f>
        <v>كهكيلويه و بوير احمد</v>
      </c>
      <c r="AD435" s="1" t="str">
        <f>"96/12/09"</f>
        <v>96/12/09</v>
      </c>
      <c r="AE435" s="1" t="str">
        <f>"اختتام"</f>
        <v>اختتام</v>
      </c>
      <c r="AF435" s="1" t="str">
        <f>""</f>
        <v/>
      </c>
      <c r="AG435" s="1" t="str">
        <f>""</f>
        <v/>
      </c>
      <c r="AH435" s="1" t="str">
        <f>""</f>
        <v/>
      </c>
      <c r="AI435" s="1" t="str">
        <f>""</f>
        <v/>
      </c>
      <c r="AJ435" s="1" t="str">
        <f>""</f>
        <v/>
      </c>
      <c r="AK435" s="1" t="str">
        <f>""</f>
        <v/>
      </c>
    </row>
    <row r="436" spans="1:37">
      <c r="A436" s="1">
        <v>65000</v>
      </c>
      <c r="B436" s="1">
        <v>966200720</v>
      </c>
      <c r="C436" s="1" t="str">
        <f>"تخليه-ياسوج-روستاي دارشاهي-آسفالت شکوهي"</f>
        <v>تخليه-ياسوج-روستاي دارشاهي-آسفالت شکوهي</v>
      </c>
      <c r="D436" s="1">
        <v>13350</v>
      </c>
      <c r="E436" s="1">
        <v>65000</v>
      </c>
      <c r="F436" s="1">
        <v>96</v>
      </c>
      <c r="G436" s="1">
        <v>0</v>
      </c>
      <c r="H436" s="1" t="str">
        <f>"96/12/26"</f>
        <v>96/12/26</v>
      </c>
      <c r="I436" s="1" t="str">
        <f>"كيلوگرم"</f>
        <v>كيلوگرم</v>
      </c>
      <c r="J436" s="1" t="str">
        <f>"0000000076"</f>
        <v>0000000076</v>
      </c>
      <c r="K436" s="1" t="str">
        <f>"قير 60/70 - فله"</f>
        <v>قير 60/70 - فله</v>
      </c>
      <c r="L436" s="1">
        <v>100</v>
      </c>
      <c r="M436" s="1" t="str">
        <f>"مخازن قير اصفهان"</f>
        <v>مخازن قير اصفهان</v>
      </c>
      <c r="N436" s="1">
        <v>11057</v>
      </c>
      <c r="O436" s="1">
        <v>50039080</v>
      </c>
      <c r="P436" s="1" t="str">
        <f>"  شهين كوه زاگرس"</f>
        <v xml:space="preserve">  شهين كوه زاگرس</v>
      </c>
      <c r="Q436" s="1">
        <v>62</v>
      </c>
      <c r="R436" s="1" t="str">
        <f>"فروش داخلي - سازمان بنيادمسكن انقلاب اسلامي"</f>
        <v>فروش داخلي - سازمان بنيادمسكن انقلاب اسلامي</v>
      </c>
      <c r="S436" s="1" t="str">
        <f>"قرارداد فروش"</f>
        <v>قرارداد فروش</v>
      </c>
      <c r="T436" s="1" t="str">
        <f>"ندارد"</f>
        <v>ندارد</v>
      </c>
      <c r="U436" s="1" t="str">
        <f>"غلام نجفي سيامك‌‌‌‌‌‌(1881082)"</f>
        <v>غلام نجفي سيامك‌‌‌‌‌‌(1881082)</v>
      </c>
      <c r="V436" s="1">
        <v>966200720</v>
      </c>
      <c r="W436" s="1">
        <v>966200720</v>
      </c>
      <c r="X436" s="1" t="str">
        <f>"1396555371"</f>
        <v>1396555371</v>
      </c>
      <c r="Y436" s="1" t="str">
        <f>"96/12/26"</f>
        <v>96/12/26</v>
      </c>
      <c r="Z436" s="1" t="str">
        <f>"59471/د"</f>
        <v>59471/د</v>
      </c>
      <c r="AA436" s="1" t="str">
        <f>"بنيادمسكن انقلاب اسلامي"</f>
        <v>بنيادمسكن انقلاب اسلامي</v>
      </c>
      <c r="AB436" s="1" t="str">
        <f>"96/12/23"</f>
        <v>96/12/23</v>
      </c>
      <c r="AC436" s="1" t="str">
        <f>"كهكيلويه و بوير احمد"</f>
        <v>كهكيلويه و بوير احمد</v>
      </c>
      <c r="AD436" s="1" t="str">
        <f>"96/12/26"</f>
        <v>96/12/26</v>
      </c>
      <c r="AE436" s="1" t="str">
        <f>"اختتام"</f>
        <v>اختتام</v>
      </c>
      <c r="AF436" s="1" t="str">
        <f>""</f>
        <v/>
      </c>
      <c r="AG436" s="1" t="str">
        <f>""</f>
        <v/>
      </c>
      <c r="AH436" s="1" t="str">
        <f>""</f>
        <v/>
      </c>
      <c r="AI436" s="1" t="str">
        <f>""</f>
        <v/>
      </c>
      <c r="AJ436" s="1" t="str">
        <f>""</f>
        <v/>
      </c>
      <c r="AK436" s="1" t="str">
        <f>""</f>
        <v/>
      </c>
    </row>
    <row r="437" spans="1:37">
      <c r="A437" s="1">
        <v>200000</v>
      </c>
      <c r="B437" s="1">
        <v>966200737</v>
      </c>
      <c r="C437" s="1" t="str">
        <f>"تخليه كهگيلويه ياسوج پليس راه ياسوج اصفهان كارخانه آسفالت زارع"</f>
        <v>تخليه كهگيلويه ياسوج پليس راه ياسوج اصفهان كارخانه آسفالت زارع</v>
      </c>
      <c r="D437" s="1">
        <v>13350</v>
      </c>
      <c r="E437" s="1">
        <v>199460</v>
      </c>
      <c r="F437" s="1">
        <v>96</v>
      </c>
      <c r="G437" s="1">
        <v>540</v>
      </c>
      <c r="H437" s="1" t="str">
        <f>"96/12/26"</f>
        <v>96/12/26</v>
      </c>
      <c r="I437" s="1" t="str">
        <f>"كيلوگرم"</f>
        <v>كيلوگرم</v>
      </c>
      <c r="J437" s="1" t="str">
        <f>"0000000076"</f>
        <v>0000000076</v>
      </c>
      <c r="K437" s="1" t="str">
        <f>"قير 60/70 - فله"</f>
        <v>قير 60/70 - فله</v>
      </c>
      <c r="L437" s="1">
        <v>100</v>
      </c>
      <c r="M437" s="1" t="str">
        <f>"مخازن قير اصفهان"</f>
        <v>مخازن قير اصفهان</v>
      </c>
      <c r="N437" s="1">
        <v>11064</v>
      </c>
      <c r="O437" s="1">
        <v>50039098</v>
      </c>
      <c r="P437" s="1" t="str">
        <f>"  پوريا فهيم حيدر"</f>
        <v xml:space="preserve">  پوريا فهيم حيدر</v>
      </c>
      <c r="Q437" s="1">
        <v>62</v>
      </c>
      <c r="R437" s="1" t="str">
        <f>"فروش داخلي - سازمان بنيادمسكن انقلاب اسلامي"</f>
        <v>فروش داخلي - سازمان بنيادمسكن انقلاب اسلامي</v>
      </c>
      <c r="S437" s="1" t="str">
        <f>"قرارداد فروش"</f>
        <v>قرارداد فروش</v>
      </c>
      <c r="T437" s="1" t="str">
        <f>"ندارد"</f>
        <v>ندارد</v>
      </c>
      <c r="U437" s="1" t="str">
        <f>"غلام نجفي سيامك‌‌‌‌‌‌(1881082)"</f>
        <v>غلام نجفي سيامك‌‌‌‌‌‌(1881082)</v>
      </c>
      <c r="V437" s="1">
        <v>966200737</v>
      </c>
      <c r="W437" s="1">
        <v>966200737</v>
      </c>
      <c r="X437" s="1" t="str">
        <f>"1396555422"</f>
        <v>1396555422</v>
      </c>
      <c r="Y437" s="1" t="str">
        <f>"96/12/26"</f>
        <v>96/12/26</v>
      </c>
      <c r="Z437" s="1" t="str">
        <f>"59447/د"</f>
        <v>59447/د</v>
      </c>
      <c r="AA437" s="1" t="str">
        <f>"بنيادمسكن انقلاب اسلامي"</f>
        <v>بنيادمسكن انقلاب اسلامي</v>
      </c>
      <c r="AB437" s="1" t="str">
        <f>"96/12/23"</f>
        <v>96/12/23</v>
      </c>
      <c r="AC437" s="1" t="str">
        <f>"كهكيلويه و بوير احمد"</f>
        <v>كهكيلويه و بوير احمد</v>
      </c>
      <c r="AD437" s="1" t="str">
        <f>"96/12/26"</f>
        <v>96/12/26</v>
      </c>
      <c r="AE437" s="1" t="str">
        <f>"اختتام"</f>
        <v>اختتام</v>
      </c>
      <c r="AF437" s="1" t="str">
        <f>""</f>
        <v/>
      </c>
      <c r="AG437" s="1" t="str">
        <f>""</f>
        <v/>
      </c>
      <c r="AH437" s="1" t="str">
        <f>""</f>
        <v/>
      </c>
      <c r="AI437" s="1" t="str">
        <f>""</f>
        <v/>
      </c>
      <c r="AJ437" s="1" t="str">
        <f>""</f>
        <v/>
      </c>
      <c r="AK437" s="1" t="str">
        <f>""</f>
        <v/>
      </c>
    </row>
    <row r="438" spans="1:37">
      <c r="A438" s="1">
        <v>80000</v>
      </c>
      <c r="B438" s="1">
        <v>966200741</v>
      </c>
      <c r="C438" s="1" t="str">
        <f>"تخليه - کهگيلويه و بويراحمد-باشت-روستاي سرآبيز-کارخانه اسفالت حسيني"</f>
        <v>تخليه - کهگيلويه و بويراحمد-باشت-روستاي سرآبيز-کارخانه اسفالت حسيني</v>
      </c>
      <c r="D438" s="1">
        <v>13350</v>
      </c>
      <c r="E438" s="1">
        <v>79700</v>
      </c>
      <c r="F438" s="1">
        <v>96</v>
      </c>
      <c r="G438" s="1">
        <v>300</v>
      </c>
      <c r="H438" s="1" t="str">
        <f>"96/12/26"</f>
        <v>96/12/26</v>
      </c>
      <c r="I438" s="1" t="str">
        <f>"كيلوگرم"</f>
        <v>كيلوگرم</v>
      </c>
      <c r="J438" s="1" t="str">
        <f>"0000000076"</f>
        <v>0000000076</v>
      </c>
      <c r="K438" s="1" t="str">
        <f>"قير 60/70 - فله"</f>
        <v>قير 60/70 - فله</v>
      </c>
      <c r="L438" s="1">
        <v>100</v>
      </c>
      <c r="M438" s="1" t="str">
        <f>"مخازن قير اصفهان"</f>
        <v>مخازن قير اصفهان</v>
      </c>
      <c r="N438" s="1">
        <v>11076</v>
      </c>
      <c r="O438" s="1">
        <v>50039102</v>
      </c>
      <c r="P438" s="1" t="str">
        <f>"  راه و ساختمان پيمان فتح جنوب"</f>
        <v xml:space="preserve">  راه و ساختمان پيمان فتح جنوب</v>
      </c>
      <c r="Q438" s="1">
        <v>62</v>
      </c>
      <c r="R438" s="1" t="str">
        <f>"فروش داخلي - سازمان بنيادمسكن انقلاب اسلامي"</f>
        <v>فروش داخلي - سازمان بنيادمسكن انقلاب اسلامي</v>
      </c>
      <c r="S438" s="1" t="str">
        <f>"قرارداد فروش"</f>
        <v>قرارداد فروش</v>
      </c>
      <c r="T438" s="1" t="str">
        <f>"ندارد"</f>
        <v>ندارد</v>
      </c>
      <c r="U438" s="1" t="str">
        <f>"غلام نجفي سيامك‌‌‌‌‌‌(1881082)"</f>
        <v>غلام نجفي سيامك‌‌‌‌‌‌(1881082)</v>
      </c>
      <c r="V438" s="1">
        <v>966200741</v>
      </c>
      <c r="W438" s="1">
        <v>966200741</v>
      </c>
      <c r="X438" s="1" t="str">
        <f>"1396555422"</f>
        <v>1396555422</v>
      </c>
      <c r="Y438" s="1" t="str">
        <f>"96/12/26"</f>
        <v>96/12/26</v>
      </c>
      <c r="Z438" s="1" t="str">
        <f>"59460/د"</f>
        <v>59460/د</v>
      </c>
      <c r="AA438" s="1" t="str">
        <f>"بنيادمسكن انقلاب اسلامي"</f>
        <v>بنيادمسكن انقلاب اسلامي</v>
      </c>
      <c r="AB438" s="1" t="str">
        <f>"96/12/23"</f>
        <v>96/12/23</v>
      </c>
      <c r="AC438" s="1" t="str">
        <f>"كهكيلويه و بوير احمد"</f>
        <v>كهكيلويه و بوير احمد</v>
      </c>
      <c r="AD438" s="1" t="str">
        <f>"96/12/26"</f>
        <v>96/12/26</v>
      </c>
      <c r="AE438" s="1" t="str">
        <f>"اختتام"</f>
        <v>اختتام</v>
      </c>
      <c r="AF438" s="1" t="str">
        <f>""</f>
        <v/>
      </c>
      <c r="AG438" s="1" t="str">
        <f>""</f>
        <v/>
      </c>
      <c r="AH438" s="1" t="str">
        <f>""</f>
        <v/>
      </c>
      <c r="AI438" s="1" t="str">
        <f>""</f>
        <v/>
      </c>
      <c r="AJ438" s="1" t="str">
        <f>""</f>
        <v/>
      </c>
      <c r="AK438" s="1" t="str">
        <f>""</f>
        <v/>
      </c>
    </row>
    <row r="439" spans="1:37">
      <c r="A439" s="1">
        <v>50000</v>
      </c>
      <c r="B439" s="1">
        <v>966200710</v>
      </c>
      <c r="C439" s="1" t="str">
        <f>"تخليه- ياسوج-روستاي دارشاهي-کارخانه آسفالت شکوهي"</f>
        <v>تخليه- ياسوج-روستاي دارشاهي-کارخانه آسفالت شکوهي</v>
      </c>
      <c r="D439" s="1">
        <v>13350</v>
      </c>
      <c r="E439" s="1">
        <v>50000</v>
      </c>
      <c r="F439" s="1">
        <v>96</v>
      </c>
      <c r="G439" s="1">
        <v>0</v>
      </c>
      <c r="H439" s="1" t="str">
        <f>"96/12/26"</f>
        <v>96/12/26</v>
      </c>
      <c r="I439" s="1" t="str">
        <f>"كيلوگرم"</f>
        <v>كيلوگرم</v>
      </c>
      <c r="J439" s="1" t="str">
        <f>"0000000076"</f>
        <v>0000000076</v>
      </c>
      <c r="K439" s="1" t="str">
        <f>"قير 60/70 - فله"</f>
        <v>قير 60/70 - فله</v>
      </c>
      <c r="L439" s="1">
        <v>100</v>
      </c>
      <c r="M439" s="1" t="str">
        <f>"مخازن قير اصفهان"</f>
        <v>مخازن قير اصفهان</v>
      </c>
      <c r="N439" s="1">
        <v>11077</v>
      </c>
      <c r="O439" s="1">
        <v>50039066</v>
      </c>
      <c r="P439" s="1" t="str">
        <f>"  امير سازه بوير"</f>
        <v xml:space="preserve">  امير سازه بوير</v>
      </c>
      <c r="Q439" s="1">
        <v>62</v>
      </c>
      <c r="R439" s="1" t="str">
        <f>"فروش داخلي - سازمان بنيادمسكن انقلاب اسلامي"</f>
        <v>فروش داخلي - سازمان بنيادمسكن انقلاب اسلامي</v>
      </c>
      <c r="S439" s="1" t="str">
        <f>"قرارداد فروش"</f>
        <v>قرارداد فروش</v>
      </c>
      <c r="T439" s="1" t="str">
        <f>"ندارد"</f>
        <v>ندارد</v>
      </c>
      <c r="U439" s="1" t="str">
        <f>"غلام نجفي سيامك‌‌‌‌‌‌(1881082)"</f>
        <v>غلام نجفي سيامك‌‌‌‌‌‌(1881082)</v>
      </c>
      <c r="V439" s="1">
        <v>966200710</v>
      </c>
      <c r="W439" s="1">
        <v>966200710</v>
      </c>
      <c r="X439" s="1" t="str">
        <f>"1396555371"</f>
        <v>1396555371</v>
      </c>
      <c r="Y439" s="1" t="str">
        <f>"96/12/26"</f>
        <v>96/12/26</v>
      </c>
      <c r="Z439" s="1" t="str">
        <f>"59380/د"</f>
        <v>59380/د</v>
      </c>
      <c r="AA439" s="1" t="str">
        <f>"بنيادمسكن انقلاب اسلامي"</f>
        <v>بنيادمسكن انقلاب اسلامي</v>
      </c>
      <c r="AB439" s="1" t="str">
        <f>"96/12/23"</f>
        <v>96/12/23</v>
      </c>
      <c r="AC439" s="1" t="str">
        <f>"كهكيلويه و بوير احمد"</f>
        <v>كهكيلويه و بوير احمد</v>
      </c>
      <c r="AD439" s="1" t="str">
        <f>"96/12/26"</f>
        <v>96/12/26</v>
      </c>
      <c r="AE439" s="1" t="str">
        <f>"اختتام"</f>
        <v>اختتام</v>
      </c>
      <c r="AF439" s="1" t="str">
        <f>""</f>
        <v/>
      </c>
      <c r="AG439" s="1" t="str">
        <f>""</f>
        <v/>
      </c>
      <c r="AH439" s="1" t="str">
        <f>""</f>
        <v/>
      </c>
      <c r="AI439" s="1" t="str">
        <f>""</f>
        <v/>
      </c>
      <c r="AJ439" s="1" t="str">
        <f>""</f>
        <v/>
      </c>
      <c r="AK439" s="1" t="str">
        <f>""</f>
        <v/>
      </c>
    </row>
    <row r="440" spans="1:37">
      <c r="A440" s="1">
        <v>50000</v>
      </c>
      <c r="B440" s="1">
        <v>961100039</v>
      </c>
      <c r="C440" s="1" t="str">
        <f>"تخليه-شهرستان آباده-روبروي کارخانه سيمان"</f>
        <v>تخليه-شهرستان آباده-روبروي کارخانه سيمان</v>
      </c>
      <c r="D440" s="1">
        <v>8704</v>
      </c>
      <c r="E440" s="1">
        <v>50000</v>
      </c>
      <c r="F440" s="1">
        <v>96</v>
      </c>
      <c r="G440" s="1">
        <v>0</v>
      </c>
      <c r="H440" s="1" t="str">
        <f>"96/04/26"</f>
        <v>96/04/26</v>
      </c>
      <c r="I440" s="1" t="str">
        <f>"كيلوگرم"</f>
        <v>كيلوگرم</v>
      </c>
      <c r="J440" s="1" t="str">
        <f>"0000000076"</f>
        <v>0000000076</v>
      </c>
      <c r="K440" s="1" t="str">
        <f>"قير 60/70 - فله"</f>
        <v>قير 60/70 - فله</v>
      </c>
      <c r="L440" s="1">
        <v>100</v>
      </c>
      <c r="M440" s="1" t="str">
        <f>"مخازن قير اصفهان"</f>
        <v>مخازن قير اصفهان</v>
      </c>
      <c r="N440" s="1">
        <v>10683</v>
      </c>
      <c r="O440" s="1">
        <v>50035246</v>
      </c>
      <c r="P440" s="1" t="str">
        <f>"  عايق اندود شرق سيصدو دو آسيا"</f>
        <v xml:space="preserve">  عايق اندود شرق سيصدو دو آسيا</v>
      </c>
      <c r="Q440" s="1">
        <v>11</v>
      </c>
      <c r="R440" s="1" t="str">
        <f>"فروش داخلي تهران - بورس"</f>
        <v>فروش داخلي تهران - بورس</v>
      </c>
      <c r="S440" s="1" t="str">
        <f>"قرارداد فروش"</f>
        <v>قرارداد فروش</v>
      </c>
      <c r="T440" s="1" t="str">
        <f>"ندارد"</f>
        <v>ندارد</v>
      </c>
      <c r="U440" s="1" t="str">
        <f>"تاج سعيد هوشنگ (1031ج 89)"</f>
        <v>تاج سعيد هوشنگ (1031ج 89)</v>
      </c>
      <c r="V440" s="1">
        <v>961100039</v>
      </c>
      <c r="W440" s="1">
        <v>961100039</v>
      </c>
      <c r="X440" s="1" t="str">
        <f>"1396496299"</f>
        <v>1396496299</v>
      </c>
      <c r="Y440" s="1" t="str">
        <f>"96/04/26"</f>
        <v>96/04/26</v>
      </c>
      <c r="Z440" s="1" t="str">
        <f>"96-35830"</f>
        <v>96-35830</v>
      </c>
      <c r="AA440" s="1" t="str">
        <f>"راه سازي"</f>
        <v>راه سازي</v>
      </c>
      <c r="AB440" s="1" t="str">
        <f>"96/04/26"</f>
        <v>96/04/26</v>
      </c>
      <c r="AC440" s="1" t="str">
        <f>"استان فارس"</f>
        <v>استان فارس</v>
      </c>
      <c r="AD440" s="1" t="str">
        <f>"96/04/21"</f>
        <v>96/04/21</v>
      </c>
      <c r="AE440" s="1" t="str">
        <f>"اختتام"</f>
        <v>اختتام</v>
      </c>
      <c r="AF440" s="1" t="str">
        <f>""</f>
        <v/>
      </c>
      <c r="AG440" s="1" t="str">
        <f>""</f>
        <v/>
      </c>
      <c r="AH440" s="1" t="str">
        <f>""</f>
        <v/>
      </c>
      <c r="AI440" s="1" t="str">
        <f>""</f>
        <v/>
      </c>
      <c r="AJ440" s="1" t="str">
        <f>""</f>
        <v/>
      </c>
      <c r="AK440" s="1" t="str">
        <f>""</f>
        <v/>
      </c>
    </row>
    <row r="441" spans="1:37">
      <c r="A441" s="1">
        <v>101385</v>
      </c>
      <c r="B441" s="1">
        <v>962000049</v>
      </c>
      <c r="C441" s="1" t="str">
        <f>"تخليه اصفهان مباركه جاده هفت تيركارخانه آسفالت مباركه"</f>
        <v>تخليه اصفهان مباركه جاده هفت تيركارخانه آسفالت مباركه</v>
      </c>
      <c r="D441" s="1">
        <v>9113</v>
      </c>
      <c r="E441" s="1">
        <v>101385</v>
      </c>
      <c r="F441" s="1">
        <v>96</v>
      </c>
      <c r="G441" s="1">
        <v>0</v>
      </c>
      <c r="H441" s="1" t="str">
        <f>"96/07/03"</f>
        <v>96/07/03</v>
      </c>
      <c r="I441" s="1" t="str">
        <f>"كيلوگرم"</f>
        <v>كيلوگرم</v>
      </c>
      <c r="J441" s="1" t="str">
        <f>"0000000076"</f>
        <v>0000000076</v>
      </c>
      <c r="K441" s="1" t="str">
        <f>"قير 60/70 - فله"</f>
        <v>قير 60/70 - فله</v>
      </c>
      <c r="L441" s="1">
        <v>100</v>
      </c>
      <c r="M441" s="1" t="str">
        <f>"مخازن قير اصفهان"</f>
        <v>مخازن قير اصفهان</v>
      </c>
      <c r="N441" s="1">
        <v>10684</v>
      </c>
      <c r="O441" s="1">
        <v>50036197</v>
      </c>
      <c r="P441" s="1" t="str">
        <f>"  شهرداري زيار"</f>
        <v xml:space="preserve">  شهرداري زيار</v>
      </c>
      <c r="Q441" s="1">
        <v>20</v>
      </c>
      <c r="R441" s="1" t="str">
        <f>"فروش داخلي - سازمان شهرداري ها و دهياري هاي كشور"</f>
        <v>فروش داخلي - سازمان شهرداري ها و دهياري هاي كشور</v>
      </c>
      <c r="S441" s="1" t="str">
        <f>"قرارداد فروش"</f>
        <v>قرارداد فروش</v>
      </c>
      <c r="T441" s="1" t="str">
        <f>"ندارد"</f>
        <v>ندارد</v>
      </c>
      <c r="U441" s="1" t="str">
        <f>"تعاوني جم گستر (1001 ج 89)"</f>
        <v>تعاوني جم گستر (1001 ج 89)</v>
      </c>
      <c r="V441" s="1">
        <v>962000049</v>
      </c>
      <c r="W441" s="1">
        <v>962000049</v>
      </c>
      <c r="X441" s="1" t="str">
        <f>"1396514467"</f>
        <v>1396514467</v>
      </c>
      <c r="Y441" s="1" t="str">
        <f>"96/07/03"</f>
        <v>96/07/03</v>
      </c>
      <c r="Z441" s="1" t="str">
        <f>"26778مرحله اول"</f>
        <v>26778مرحله اول</v>
      </c>
      <c r="AA441" s="1" t="str">
        <f>"شهرداريها"</f>
        <v>شهرداريها</v>
      </c>
      <c r="AB441" s="1" t="str">
        <f>"96/06/29"</f>
        <v>96/06/29</v>
      </c>
      <c r="AC441" s="1" t="str">
        <f>"استان اصفهان"</f>
        <v>استان اصفهان</v>
      </c>
      <c r="AD441" s="1" t="str">
        <f>"96/07/03"</f>
        <v>96/07/03</v>
      </c>
      <c r="AE441" s="1" t="str">
        <f>"اختتام"</f>
        <v>اختتام</v>
      </c>
      <c r="AF441" s="1" t="str">
        <f>""</f>
        <v/>
      </c>
      <c r="AG441" s="1" t="str">
        <f>""</f>
        <v/>
      </c>
      <c r="AH441" s="1" t="str">
        <f>""</f>
        <v/>
      </c>
      <c r="AI441" s="1" t="str">
        <f>""</f>
        <v/>
      </c>
      <c r="AJ441" s="1" t="str">
        <f>""</f>
        <v/>
      </c>
      <c r="AK441" s="1" t="str">
        <f>""</f>
        <v/>
      </c>
    </row>
    <row r="442" spans="1:37">
      <c r="A442" s="1">
        <v>108465</v>
      </c>
      <c r="B442" s="1">
        <v>962000008</v>
      </c>
      <c r="C442" s="1" t="str">
        <f>"تخليه اصفهان جاده اصفهان مباركه جنب پلي اكريل جاده چشمه باباعبدالله كارخانه آسفالت اصفهان بتن راه"</f>
        <v>تخليه اصفهان جاده اصفهان مباركه جنب پلي اكريل جاده چشمه باباعبدالله كارخانه آسفالت اصفهان بتن راه</v>
      </c>
      <c r="D442" s="1">
        <v>9113</v>
      </c>
      <c r="E442" s="1">
        <v>108465</v>
      </c>
      <c r="F442" s="1">
        <v>96</v>
      </c>
      <c r="G442" s="1">
        <v>0</v>
      </c>
      <c r="H442" s="1" t="str">
        <f>"96/07/03"</f>
        <v>96/07/03</v>
      </c>
      <c r="I442" s="1" t="str">
        <f>"كيلوگرم"</f>
        <v>كيلوگرم</v>
      </c>
      <c r="J442" s="1" t="str">
        <f>"0000000076"</f>
        <v>0000000076</v>
      </c>
      <c r="K442" s="1" t="str">
        <f>"قير 60/70 - فله"</f>
        <v>قير 60/70 - فله</v>
      </c>
      <c r="L442" s="1">
        <v>100</v>
      </c>
      <c r="M442" s="1" t="str">
        <f>"مخازن قير اصفهان"</f>
        <v>مخازن قير اصفهان</v>
      </c>
      <c r="N442" s="1">
        <v>10687</v>
      </c>
      <c r="O442" s="1">
        <v>50036147</v>
      </c>
      <c r="P442" s="1" t="str">
        <f>"  شهرداري اصغرآباد"</f>
        <v xml:space="preserve">  شهرداري اصغرآباد</v>
      </c>
      <c r="Q442" s="1">
        <v>20</v>
      </c>
      <c r="R442" s="1" t="str">
        <f>"فروش داخلي - سازمان شهرداري ها و دهياري هاي كشور"</f>
        <v>فروش داخلي - سازمان شهرداري ها و دهياري هاي كشور</v>
      </c>
      <c r="S442" s="1" t="str">
        <f>"قرارداد فروش"</f>
        <v>قرارداد فروش</v>
      </c>
      <c r="T442" s="1" t="str">
        <f>"ندارد"</f>
        <v>ندارد</v>
      </c>
      <c r="U442" s="1" t="str">
        <f>"تعاوني جم گستر (1001 ج 89)"</f>
        <v>تعاوني جم گستر (1001 ج 89)</v>
      </c>
      <c r="V442" s="1">
        <v>962000008</v>
      </c>
      <c r="W442" s="1">
        <v>962000008</v>
      </c>
      <c r="X442" s="1" t="str">
        <f>"1396514467"</f>
        <v>1396514467</v>
      </c>
      <c r="Y442" s="1" t="str">
        <f>"96/07/03"</f>
        <v>96/07/03</v>
      </c>
      <c r="Z442" s="1" t="str">
        <f>"26859مرحله اول"</f>
        <v>26859مرحله اول</v>
      </c>
      <c r="AA442" s="1" t="str">
        <f>"شهرداريها"</f>
        <v>شهرداريها</v>
      </c>
      <c r="AB442" s="1" t="str">
        <f>"96/06/29"</f>
        <v>96/06/29</v>
      </c>
      <c r="AC442" s="1" t="str">
        <f>"استان اصفهان"</f>
        <v>استان اصفهان</v>
      </c>
      <c r="AD442" s="1" t="str">
        <f>"96/07/03"</f>
        <v>96/07/03</v>
      </c>
      <c r="AE442" s="1" t="str">
        <f>"اختتام"</f>
        <v>اختتام</v>
      </c>
      <c r="AF442" s="1" t="str">
        <f>""</f>
        <v/>
      </c>
      <c r="AG442" s="1" t="str">
        <f>""</f>
        <v/>
      </c>
      <c r="AH442" s="1" t="str">
        <f>""</f>
        <v/>
      </c>
      <c r="AI442" s="1" t="str">
        <f>""</f>
        <v/>
      </c>
      <c r="AJ442" s="1" t="str">
        <f>""</f>
        <v/>
      </c>
      <c r="AK442" s="1" t="str">
        <f>""</f>
        <v/>
      </c>
    </row>
    <row r="443" spans="1:37">
      <c r="A443" s="1">
        <v>98000</v>
      </c>
      <c r="B443" s="1">
        <v>966300071</v>
      </c>
      <c r="C443" s="1" t="str">
        <f>"تخليه اصفهان اشارجان شهرك صنعتي اشترجان شركت آرادراه آژندكارخانه آسفالت راه آژند"</f>
        <v>تخليه اصفهان اشارجان شهرك صنعتي اشترجان شركت آرادراه آژندكارخانه آسفالت راه آژند</v>
      </c>
      <c r="D443" s="1">
        <v>13350</v>
      </c>
      <c r="E443" s="1">
        <v>98000</v>
      </c>
      <c r="F443" s="1">
        <v>96</v>
      </c>
      <c r="G443" s="1">
        <v>0</v>
      </c>
      <c r="H443" s="1" t="str">
        <f>"96/12/16"</f>
        <v>96/12/16</v>
      </c>
      <c r="I443" s="1" t="str">
        <f>"كيلوگرم"</f>
        <v>كيلوگرم</v>
      </c>
      <c r="J443" s="1" t="str">
        <f>"0000000076"</f>
        <v>0000000076</v>
      </c>
      <c r="K443" s="1" t="str">
        <f>"قير 60/70 - فله"</f>
        <v>قير 60/70 - فله</v>
      </c>
      <c r="L443" s="1">
        <v>100</v>
      </c>
      <c r="M443" s="1" t="str">
        <f>"مخازن قير اصفهان"</f>
        <v>مخازن قير اصفهان</v>
      </c>
      <c r="N443" s="1">
        <v>11098</v>
      </c>
      <c r="O443" s="1">
        <v>50038824</v>
      </c>
      <c r="P443" s="1" t="str">
        <f>"  اداره كل نوسازي توسعه وتجهيزمدارس استان اصفهان"</f>
        <v xml:space="preserve">  اداره كل نوسازي توسعه وتجهيزمدارس استان اصفهان</v>
      </c>
      <c r="Q443" s="1">
        <v>63</v>
      </c>
      <c r="R443" s="1" t="str">
        <f>"سازمان نوسازي،توسعه و تجهيز مدارس كشور"</f>
        <v>سازمان نوسازي،توسعه و تجهيز مدارس كشور</v>
      </c>
      <c r="S443" s="1" t="str">
        <f>"قرارداد فروش"</f>
        <v>قرارداد فروش</v>
      </c>
      <c r="T443" s="1" t="str">
        <f>"ندارد"</f>
        <v>ندارد</v>
      </c>
      <c r="U443" s="1" t="str">
        <f>"سيفي پور عبدالمجيد(1009ج89)"</f>
        <v>سيفي پور عبدالمجيد(1009ج89)</v>
      </c>
      <c r="V443" s="1">
        <v>966300071</v>
      </c>
      <c r="W443" s="1">
        <v>966300071</v>
      </c>
      <c r="X443" s="1" t="str">
        <f>"1396553446"</f>
        <v>1396553446</v>
      </c>
      <c r="Y443" s="1" t="str">
        <f>"96/12/16"</f>
        <v>96/12/16</v>
      </c>
      <c r="Z443" s="1" t="str">
        <f>"3-96/424-32940"</f>
        <v>3-96/424-32940</v>
      </c>
      <c r="AA443" s="1" t="str">
        <f>"سازمان نوسازي توسعه وتجهيزمدارس كشور"</f>
        <v>سازمان نوسازي توسعه وتجهيزمدارس كشور</v>
      </c>
      <c r="AB443" s="1" t="str">
        <f>"96/12/09"</f>
        <v>96/12/09</v>
      </c>
      <c r="AC443" s="1" t="str">
        <f>"استان اصفهان"</f>
        <v>استان اصفهان</v>
      </c>
      <c r="AD443" s="1" t="str">
        <f>"96/12/16"</f>
        <v>96/12/16</v>
      </c>
      <c r="AE443" s="1" t="str">
        <f>"اختتام"</f>
        <v>اختتام</v>
      </c>
      <c r="AF443" s="1" t="str">
        <f>""</f>
        <v/>
      </c>
      <c r="AG443" s="1" t="str">
        <f>""</f>
        <v/>
      </c>
      <c r="AH443" s="1" t="str">
        <f>""</f>
        <v/>
      </c>
      <c r="AI443" s="1" t="str">
        <f>""</f>
        <v/>
      </c>
      <c r="AJ443" s="1" t="str">
        <f>""</f>
        <v/>
      </c>
      <c r="AK443" s="1" t="str">
        <f>""</f>
        <v/>
      </c>
    </row>
    <row r="444" spans="1:37">
      <c r="A444" s="1">
        <v>10000</v>
      </c>
      <c r="B444" s="1">
        <v>966300073</v>
      </c>
      <c r="C444" s="1" t="str">
        <f>"تخليه اصفهان اشارجان شهرك صنعتي اشترجان شركت آرادراه آژندكارخانه آسفالت راه آژند"</f>
        <v>تخليه اصفهان اشارجان شهرك صنعتي اشترجان شركت آرادراه آژندكارخانه آسفالت راه آژند</v>
      </c>
      <c r="D444" s="1">
        <v>13350</v>
      </c>
      <c r="E444" s="1">
        <v>10000</v>
      </c>
      <c r="F444" s="1">
        <v>96</v>
      </c>
      <c r="G444" s="1">
        <v>0</v>
      </c>
      <c r="H444" s="1" t="str">
        <f>"96/12/16"</f>
        <v>96/12/16</v>
      </c>
      <c r="I444" s="1" t="str">
        <f>"كيلوگرم"</f>
        <v>كيلوگرم</v>
      </c>
      <c r="J444" s="1" t="str">
        <f>"0000000076"</f>
        <v>0000000076</v>
      </c>
      <c r="K444" s="1" t="str">
        <f>"قير 60/70 - فله"</f>
        <v>قير 60/70 - فله</v>
      </c>
      <c r="L444" s="1">
        <v>100</v>
      </c>
      <c r="M444" s="1" t="str">
        <f>"مخازن قير اصفهان"</f>
        <v>مخازن قير اصفهان</v>
      </c>
      <c r="N444" s="1">
        <v>11098</v>
      </c>
      <c r="O444" s="1">
        <v>50038828</v>
      </c>
      <c r="P444" s="1" t="str">
        <f>"  اداره كل نوسازي توسعه وتجهيزمدارس استان اصفهان"</f>
        <v xml:space="preserve">  اداره كل نوسازي توسعه وتجهيزمدارس استان اصفهان</v>
      </c>
      <c r="Q444" s="1">
        <v>63</v>
      </c>
      <c r="R444" s="1" t="str">
        <f>"سازمان نوسازي،توسعه و تجهيز مدارس كشور"</f>
        <v>سازمان نوسازي،توسعه و تجهيز مدارس كشور</v>
      </c>
      <c r="S444" s="1" t="str">
        <f>"قرارداد فروش"</f>
        <v>قرارداد فروش</v>
      </c>
      <c r="T444" s="1" t="str">
        <f>"ندارد"</f>
        <v>ندارد</v>
      </c>
      <c r="U444" s="1" t="str">
        <f>"سيفي پور عبدالمجيد(1009ج89)"</f>
        <v>سيفي پور عبدالمجيد(1009ج89)</v>
      </c>
      <c r="V444" s="1">
        <v>966300073</v>
      </c>
      <c r="W444" s="1">
        <v>966300073</v>
      </c>
      <c r="X444" s="1" t="str">
        <f>"1396553446"</f>
        <v>1396553446</v>
      </c>
      <c r="Y444" s="1" t="str">
        <f>"96/12/16"</f>
        <v>96/12/16</v>
      </c>
      <c r="Z444" s="1" t="str">
        <f>"3-96/424-32016"</f>
        <v>3-96/424-32016</v>
      </c>
      <c r="AA444" s="1" t="str">
        <f>"سازمان نوسازي توسعه وتجهيزمدارس كشور"</f>
        <v>سازمان نوسازي توسعه وتجهيزمدارس كشور</v>
      </c>
      <c r="AB444" s="1" t="str">
        <f>"96/11/30"</f>
        <v>96/11/30</v>
      </c>
      <c r="AC444" s="1" t="str">
        <f>"استان اصفهان"</f>
        <v>استان اصفهان</v>
      </c>
      <c r="AD444" s="1" t="str">
        <f>"96/12/16"</f>
        <v>96/12/16</v>
      </c>
      <c r="AE444" s="1" t="str">
        <f>"اختتام"</f>
        <v>اختتام</v>
      </c>
      <c r="AF444" s="1" t="str">
        <f>""</f>
        <v/>
      </c>
      <c r="AG444" s="1" t="str">
        <f>""</f>
        <v/>
      </c>
      <c r="AH444" s="1" t="str">
        <f>""</f>
        <v/>
      </c>
      <c r="AI444" s="1" t="str">
        <f>""</f>
        <v/>
      </c>
      <c r="AJ444" s="1" t="str">
        <f>""</f>
        <v/>
      </c>
      <c r="AK444" s="1" t="str">
        <f>""</f>
        <v/>
      </c>
    </row>
    <row r="445" spans="1:37">
      <c r="A445" s="1">
        <v>344000</v>
      </c>
      <c r="B445" s="1">
        <v>966200402</v>
      </c>
      <c r="C445" s="1" t="str">
        <f>"تخليه خراسان جنوبي بيرجندكيلومتر15جاده بيرجند-خوسف جنب كويرتايرابتداي جاده كات كارخانه آسفالت مسيرياب بيرجند"</f>
        <v>تخليه خراسان جنوبي بيرجندكيلومتر15جاده بيرجند-خوسف جنب كويرتايرابتداي جاده كات كارخانه آسفالت مسيرياب بيرجند</v>
      </c>
      <c r="D445" s="1">
        <v>12820</v>
      </c>
      <c r="E445" s="1">
        <v>344000</v>
      </c>
      <c r="F445" s="1">
        <v>96</v>
      </c>
      <c r="G445" s="1">
        <v>0</v>
      </c>
      <c r="H445" s="1" t="str">
        <f>"96/09/08"</f>
        <v>96/09/08</v>
      </c>
      <c r="I445" s="1" t="str">
        <f>"كيلوگرم"</f>
        <v>كيلوگرم</v>
      </c>
      <c r="J445" s="1" t="str">
        <f>"0000000076"</f>
        <v>0000000076</v>
      </c>
      <c r="K445" s="1" t="str">
        <f>"قير 60/70 - فله"</f>
        <v>قير 60/70 - فله</v>
      </c>
      <c r="L445" s="1">
        <v>100</v>
      </c>
      <c r="M445" s="1" t="str">
        <f>"مخازن قير اصفهان"</f>
        <v>مخازن قير اصفهان</v>
      </c>
      <c r="N445" s="1">
        <v>11109</v>
      </c>
      <c r="O445" s="1">
        <v>50037366</v>
      </c>
      <c r="P445" s="1" t="str">
        <f>"  راهسازي وساختمان مسيرياب بيرجند"</f>
        <v xml:space="preserve">  راهسازي وساختمان مسيرياب بيرجند</v>
      </c>
      <c r="Q445" s="1">
        <v>62</v>
      </c>
      <c r="R445" s="1" t="str">
        <f>"فروش داخلي - سازمان بنيادمسكن انقلاب اسلامي"</f>
        <v>فروش داخلي - سازمان بنيادمسكن انقلاب اسلامي</v>
      </c>
      <c r="S445" s="1" t="str">
        <f>"قرارداد فروش"</f>
        <v>قرارداد فروش</v>
      </c>
      <c r="T445" s="1" t="str">
        <f>"ندارد"</f>
        <v>ندارد</v>
      </c>
      <c r="U445" s="1" t="str">
        <f>"كاردان اسپادان راه مصطفي  (1911100)"</f>
        <v>كاردان اسپادان راه مصطفي  (1911100)</v>
      </c>
      <c r="V445" s="1">
        <v>966200402</v>
      </c>
      <c r="W445" s="1">
        <v>966200402</v>
      </c>
      <c r="X445" s="1" t="str">
        <f>"1396529172"</f>
        <v>1396529172</v>
      </c>
      <c r="Y445" s="1" t="str">
        <f>"96/09/08"</f>
        <v>96/09/08</v>
      </c>
      <c r="Z445" s="1" t="str">
        <f>"37680/د"</f>
        <v>37680/د</v>
      </c>
      <c r="AA445" s="1" t="str">
        <f>"بنيادمسكن انقلاب اسلامي"</f>
        <v>بنيادمسكن انقلاب اسلامي</v>
      </c>
      <c r="AB445" s="1" t="str">
        <f>"96/08/22"</f>
        <v>96/08/22</v>
      </c>
      <c r="AC445" s="1" t="str">
        <f>"خراسان جنوبي"</f>
        <v>خراسان جنوبي</v>
      </c>
      <c r="AD445" s="1" t="str">
        <f>"96/09/08"</f>
        <v>96/09/08</v>
      </c>
      <c r="AE445" s="1" t="str">
        <f>"اختتام"</f>
        <v>اختتام</v>
      </c>
      <c r="AF445" s="1" t="str">
        <f>""</f>
        <v/>
      </c>
      <c r="AG445" s="1" t="str">
        <f>""</f>
        <v/>
      </c>
      <c r="AH445" s="1" t="str">
        <f>""</f>
        <v/>
      </c>
      <c r="AI445" s="1" t="str">
        <f>""</f>
        <v/>
      </c>
      <c r="AJ445" s="1" t="str">
        <f>""</f>
        <v/>
      </c>
      <c r="AK445" s="1" t="str">
        <f>""</f>
        <v/>
      </c>
    </row>
    <row r="446" spans="1:37">
      <c r="A446" s="1">
        <v>61715</v>
      </c>
      <c r="B446" s="1">
        <v>962000295</v>
      </c>
      <c r="C446" s="1" t="str">
        <f>"تخليه خراسان رضوي جاده مشهدگلبهاركيلومتر12جاده محسن آبادكارخانه طوس"</f>
        <v>تخليه خراسان رضوي جاده مشهدگلبهاركيلومتر12جاده محسن آبادكارخانه طوس</v>
      </c>
      <c r="D446" s="1">
        <v>9113</v>
      </c>
      <c r="E446" s="1">
        <v>61130</v>
      </c>
      <c r="F446" s="1">
        <v>96</v>
      </c>
      <c r="G446" s="1">
        <v>585</v>
      </c>
      <c r="H446" s="1" t="str">
        <f>"96/09/13"</f>
        <v>96/09/13</v>
      </c>
      <c r="I446" s="1" t="str">
        <f>"كيلوگرم"</f>
        <v>كيلوگرم</v>
      </c>
      <c r="J446" s="1" t="str">
        <f>"0000000076"</f>
        <v>0000000076</v>
      </c>
      <c r="K446" s="1" t="str">
        <f>"قير 60/70 - فله"</f>
        <v>قير 60/70 - فله</v>
      </c>
      <c r="L446" s="1">
        <v>100</v>
      </c>
      <c r="M446" s="1" t="str">
        <f>"مخازن قير اصفهان"</f>
        <v>مخازن قير اصفهان</v>
      </c>
      <c r="N446" s="1">
        <v>11452</v>
      </c>
      <c r="O446" s="1">
        <v>50037496</v>
      </c>
      <c r="P446" s="1" t="str">
        <f>"  شهرداري گلمكان"</f>
        <v xml:space="preserve">  شهرداري گلمكان</v>
      </c>
      <c r="Q446" s="1">
        <v>20</v>
      </c>
      <c r="R446" s="1" t="str">
        <f>"فروش داخلي - سازمان شهرداري ها و دهياري هاي كشور"</f>
        <v>فروش داخلي - سازمان شهرداري ها و دهياري هاي كشور</v>
      </c>
      <c r="S446" s="1" t="str">
        <f>"قرارداد فروش"</f>
        <v>قرارداد فروش</v>
      </c>
      <c r="T446" s="1" t="str">
        <f>"ندارد"</f>
        <v>ندارد</v>
      </c>
      <c r="U446" s="1" t="str">
        <f>"تعاوني جم گستر (1001 ج 89)"</f>
        <v>تعاوني جم گستر (1001 ج 89)</v>
      </c>
      <c r="V446" s="1">
        <v>962000295</v>
      </c>
      <c r="W446" s="1">
        <v>962000295</v>
      </c>
      <c r="X446" s="1" t="str">
        <f>"1396514467"</f>
        <v>1396514467</v>
      </c>
      <c r="Y446" s="1" t="str">
        <f>"96/09/12"</f>
        <v>96/09/12</v>
      </c>
      <c r="Z446" s="1" t="str">
        <f>"37057مرحله دوم"</f>
        <v>37057مرحله دوم</v>
      </c>
      <c r="AA446" s="1" t="str">
        <f>"شهرداريها"</f>
        <v>شهرداريها</v>
      </c>
      <c r="AB446" s="1" t="str">
        <f>"96/09/04"</f>
        <v>96/09/04</v>
      </c>
      <c r="AC446" s="1" t="str">
        <f>"خراسان رضوي"</f>
        <v>خراسان رضوي</v>
      </c>
      <c r="AD446" s="1" t="str">
        <f>"96/07/03"</f>
        <v>96/07/03</v>
      </c>
      <c r="AE446" s="1" t="str">
        <f>"اختتام"</f>
        <v>اختتام</v>
      </c>
      <c r="AF446" s="1" t="str">
        <f>""</f>
        <v/>
      </c>
      <c r="AG446" s="1" t="str">
        <f>""</f>
        <v/>
      </c>
      <c r="AH446" s="1" t="str">
        <f>""</f>
        <v/>
      </c>
      <c r="AI446" s="1" t="str">
        <f>""</f>
        <v/>
      </c>
      <c r="AJ446" s="1" t="str">
        <f>""</f>
        <v/>
      </c>
      <c r="AK446" s="1" t="str">
        <f>""</f>
        <v/>
      </c>
    </row>
    <row r="447" spans="1:37">
      <c r="A447" s="1">
        <v>76000</v>
      </c>
      <c r="B447" s="1">
        <v>966200350</v>
      </c>
      <c r="C447" s="1" t="str">
        <f>"تخليه-لرستان-فيروزآباد-کارخانه آسفالت زاگرس راه نصر"</f>
        <v>تخليه-لرستان-فيروزآباد-کارخانه آسفالت زاگرس راه نصر</v>
      </c>
      <c r="D447" s="1">
        <v>9113</v>
      </c>
      <c r="E447" s="1">
        <v>75560</v>
      </c>
      <c r="F447" s="1">
        <v>96</v>
      </c>
      <c r="G447" s="1">
        <v>440</v>
      </c>
      <c r="H447" s="1" t="str">
        <f>"96/07/29"</f>
        <v>96/07/29</v>
      </c>
      <c r="I447" s="1" t="str">
        <f>"كيلوگرم"</f>
        <v>كيلوگرم</v>
      </c>
      <c r="J447" s="1" t="str">
        <f>"0000000076"</f>
        <v>0000000076</v>
      </c>
      <c r="K447" s="1" t="str">
        <f>"قير 60/70 - فله"</f>
        <v>قير 60/70 - فله</v>
      </c>
      <c r="L447" s="1">
        <v>100</v>
      </c>
      <c r="M447" s="1" t="str">
        <f>"مخازن قير اصفهان"</f>
        <v>مخازن قير اصفهان</v>
      </c>
      <c r="N447" s="1">
        <v>11482</v>
      </c>
      <c r="O447" s="1">
        <v>50036848</v>
      </c>
      <c r="P447" s="1" t="str">
        <f>"  عمران گستران کاسيت"</f>
        <v xml:space="preserve">  عمران گستران کاسيت</v>
      </c>
      <c r="Q447" s="1">
        <v>62</v>
      </c>
      <c r="R447" s="1" t="str">
        <f>"فروش داخلي - سازمان بنيادمسكن انقلاب اسلامي"</f>
        <v>فروش داخلي - سازمان بنيادمسكن انقلاب اسلامي</v>
      </c>
      <c r="S447" s="1" t="str">
        <f>"قرارداد فروش"</f>
        <v>قرارداد فروش</v>
      </c>
      <c r="T447" s="1" t="str">
        <f>"ندارد"</f>
        <v>ندارد</v>
      </c>
      <c r="U447" s="1" t="str">
        <f>"عظيمي محمد(2842015)"</f>
        <v>عظيمي محمد(2842015)</v>
      </c>
      <c r="V447" s="1">
        <v>966200350</v>
      </c>
      <c r="W447" s="1">
        <v>966200350</v>
      </c>
      <c r="X447" s="1" t="str">
        <f>"1396520117"</f>
        <v>1396520117</v>
      </c>
      <c r="Y447" s="1" t="str">
        <f>"96/07/29"</f>
        <v>96/07/29</v>
      </c>
      <c r="Z447" s="1" t="str">
        <f>"33194/د"</f>
        <v>33194/د</v>
      </c>
      <c r="AA447" s="1" t="str">
        <f>"بنيادمسكن انقلاب اسلامي"</f>
        <v>بنيادمسكن انقلاب اسلامي</v>
      </c>
      <c r="AB447" s="1" t="str">
        <f>"96/07/25"</f>
        <v>96/07/25</v>
      </c>
      <c r="AC447" s="1" t="str">
        <f>"لرستان"</f>
        <v>لرستان</v>
      </c>
      <c r="AD447" s="1" t="str">
        <f>"96/07/29"</f>
        <v>96/07/29</v>
      </c>
      <c r="AE447" s="1" t="str">
        <f>"اختتام"</f>
        <v>اختتام</v>
      </c>
      <c r="AF447" s="1" t="str">
        <f>""</f>
        <v/>
      </c>
      <c r="AG447" s="1" t="str">
        <f>""</f>
        <v/>
      </c>
      <c r="AH447" s="1" t="str">
        <f>""</f>
        <v/>
      </c>
      <c r="AI447" s="1" t="str">
        <f>""</f>
        <v/>
      </c>
      <c r="AJ447" s="1" t="str">
        <f>""</f>
        <v/>
      </c>
      <c r="AK447" s="1" t="str">
        <f>""</f>
        <v/>
      </c>
    </row>
    <row r="448" spans="1:37">
      <c r="A448" s="1">
        <v>59932</v>
      </c>
      <c r="B448" s="1">
        <v>962000303</v>
      </c>
      <c r="C448" s="1" t="str">
        <f>"تخليه خراسان رضوي 30كيلومترمانده به سبزواركارخانه آسفالت شركت رعدراه بيهق"</f>
        <v>تخليه خراسان رضوي 30كيلومترمانده به سبزواركارخانه آسفالت شركت رعدراه بيهق</v>
      </c>
      <c r="D448" s="1">
        <v>9113</v>
      </c>
      <c r="E448" s="1">
        <v>59680</v>
      </c>
      <c r="F448" s="1">
        <v>96</v>
      </c>
      <c r="G448" s="1">
        <v>252</v>
      </c>
      <c r="H448" s="1" t="str">
        <f>"96/09/13"</f>
        <v>96/09/13</v>
      </c>
      <c r="I448" s="1" t="str">
        <f>"كيلوگرم"</f>
        <v>كيلوگرم</v>
      </c>
      <c r="J448" s="1" t="str">
        <f>"0000000076"</f>
        <v>0000000076</v>
      </c>
      <c r="K448" s="1" t="str">
        <f>"قير 60/70 - فله"</f>
        <v>قير 60/70 - فله</v>
      </c>
      <c r="L448" s="1">
        <v>100</v>
      </c>
      <c r="M448" s="1" t="str">
        <f>"مخازن قير اصفهان"</f>
        <v>مخازن قير اصفهان</v>
      </c>
      <c r="N448" s="1">
        <v>11506</v>
      </c>
      <c r="O448" s="1">
        <v>50037505</v>
      </c>
      <c r="P448" s="1" t="str">
        <f>"  شهرداري سلطان آباد"</f>
        <v xml:space="preserve">  شهرداري سلطان آباد</v>
      </c>
      <c r="Q448" s="1">
        <v>20</v>
      </c>
      <c r="R448" s="1" t="str">
        <f>"فروش داخلي - سازمان شهرداري ها و دهياري هاي كشور"</f>
        <v>فروش داخلي - سازمان شهرداري ها و دهياري هاي كشور</v>
      </c>
      <c r="S448" s="1" t="str">
        <f>"قرارداد فروش"</f>
        <v>قرارداد فروش</v>
      </c>
      <c r="T448" s="1" t="str">
        <f>"ندارد"</f>
        <v>ندارد</v>
      </c>
      <c r="U448" s="1" t="str">
        <f>"تعاوني جم گستر (1001 ج 89)"</f>
        <v>تعاوني جم گستر (1001 ج 89)</v>
      </c>
      <c r="V448" s="1">
        <v>962000303</v>
      </c>
      <c r="W448" s="1">
        <v>962000303</v>
      </c>
      <c r="X448" s="1" t="str">
        <f>"1396514467"</f>
        <v>1396514467</v>
      </c>
      <c r="Y448" s="1" t="str">
        <f>"96/09/13"</f>
        <v>96/09/13</v>
      </c>
      <c r="Z448" s="1" t="str">
        <f>"37032مرحله دوم"</f>
        <v>37032مرحله دوم</v>
      </c>
      <c r="AA448" s="1" t="str">
        <f>"شهرداريها"</f>
        <v>شهرداريها</v>
      </c>
      <c r="AB448" s="1" t="str">
        <f>"96/09/04"</f>
        <v>96/09/04</v>
      </c>
      <c r="AC448" s="1" t="str">
        <f>"خراسان رضوي"</f>
        <v>خراسان رضوي</v>
      </c>
      <c r="AD448" s="1" t="str">
        <f>"96/07/03"</f>
        <v>96/07/03</v>
      </c>
      <c r="AE448" s="1" t="str">
        <f>"اختتام"</f>
        <v>اختتام</v>
      </c>
      <c r="AF448" s="1" t="str">
        <f>""</f>
        <v/>
      </c>
      <c r="AG448" s="1" t="str">
        <f>""</f>
        <v/>
      </c>
      <c r="AH448" s="1" t="str">
        <f>""</f>
        <v/>
      </c>
      <c r="AI448" s="1" t="str">
        <f>""</f>
        <v/>
      </c>
      <c r="AJ448" s="1" t="str">
        <f>""</f>
        <v/>
      </c>
      <c r="AK448" s="1" t="str">
        <f>""</f>
        <v/>
      </c>
    </row>
    <row r="449" spans="1:37">
      <c r="A449" s="1">
        <v>102000</v>
      </c>
      <c r="B449" s="1">
        <v>966200448</v>
      </c>
      <c r="C449" s="1" t="str">
        <f>"تخليه - کهگيلويه و بيراحمد-ليکک-کارخانه آسفالت دموري نژاد"</f>
        <v>تخليه - کهگيلويه و بيراحمد-ليکک-کارخانه آسفالت دموري نژاد</v>
      </c>
      <c r="D449" s="1">
        <v>12820</v>
      </c>
      <c r="E449" s="1">
        <v>102000</v>
      </c>
      <c r="F449" s="1">
        <v>96</v>
      </c>
      <c r="G449" s="1">
        <v>0</v>
      </c>
      <c r="H449" s="1" t="str">
        <f>"96/09/20"</f>
        <v>96/09/20</v>
      </c>
      <c r="I449" s="1" t="str">
        <f>"كيلوگرم"</f>
        <v>كيلوگرم</v>
      </c>
      <c r="J449" s="1" t="str">
        <f>"0000000076"</f>
        <v>0000000076</v>
      </c>
      <c r="K449" s="1" t="str">
        <f>"قير 60/70 - فله"</f>
        <v>قير 60/70 - فله</v>
      </c>
      <c r="L449" s="1">
        <v>100</v>
      </c>
      <c r="M449" s="1" t="str">
        <f>"مخازن قير اصفهان"</f>
        <v>مخازن قير اصفهان</v>
      </c>
      <c r="N449" s="1">
        <v>11521</v>
      </c>
      <c r="O449" s="1">
        <v>50037641</v>
      </c>
      <c r="P449" s="1" t="str">
        <f>"  پس باغ گستر"</f>
        <v xml:space="preserve">  پس باغ گستر</v>
      </c>
      <c r="Q449" s="1">
        <v>62</v>
      </c>
      <c r="R449" s="1" t="str">
        <f>"فروش داخلي - سازمان بنيادمسكن انقلاب اسلامي"</f>
        <v>فروش داخلي - سازمان بنيادمسكن انقلاب اسلامي</v>
      </c>
      <c r="S449" s="1" t="str">
        <f>"قرارداد فروش"</f>
        <v>قرارداد فروش</v>
      </c>
      <c r="T449" s="1" t="str">
        <f>"ندارد"</f>
        <v>ندارد</v>
      </c>
      <c r="U449" s="1" t="str">
        <f>"غلام نجفي سيامك‌‌‌‌‌‌(1881082)"</f>
        <v>غلام نجفي سيامك‌‌‌‌‌‌(1881082)</v>
      </c>
      <c r="V449" s="1">
        <v>966200448</v>
      </c>
      <c r="W449" s="1">
        <v>966200448</v>
      </c>
      <c r="X449" s="1" t="str">
        <f>"1396531357"</f>
        <v>1396531357</v>
      </c>
      <c r="Y449" s="1" t="str">
        <f>"96/09/20"</f>
        <v>96/09/20</v>
      </c>
      <c r="Z449" s="1" t="str">
        <f>"41348/د"</f>
        <v>41348/د</v>
      </c>
      <c r="AA449" s="1" t="str">
        <f>"بنيادمسكن انقلاب اسلامي"</f>
        <v>بنيادمسكن انقلاب اسلامي</v>
      </c>
      <c r="AB449" s="1" t="str">
        <f>"96/09/20"</f>
        <v>96/09/20</v>
      </c>
      <c r="AC449" s="1" t="str">
        <f>"كهكيلويه و بوير احمد"</f>
        <v>كهكيلويه و بوير احمد</v>
      </c>
      <c r="AD449" s="1" t="str">
        <f>"96/09/20"</f>
        <v>96/09/20</v>
      </c>
      <c r="AE449" s="1" t="str">
        <f>"اختتام"</f>
        <v>اختتام</v>
      </c>
      <c r="AF449" s="1" t="str">
        <f>""</f>
        <v/>
      </c>
      <c r="AG449" s="1" t="str">
        <f>""</f>
        <v/>
      </c>
      <c r="AH449" s="1" t="str">
        <f>""</f>
        <v/>
      </c>
      <c r="AI449" s="1" t="str">
        <f>""</f>
        <v/>
      </c>
      <c r="AJ449" s="1" t="str">
        <f>""</f>
        <v/>
      </c>
      <c r="AK449" s="1" t="str">
        <f>""</f>
        <v/>
      </c>
    </row>
    <row r="450" spans="1:37">
      <c r="A450" s="1">
        <v>162000</v>
      </c>
      <c r="B450" s="1">
        <v>966200543</v>
      </c>
      <c r="C450" s="1" t="str">
        <f>"تخليه - لرستان-خرم آباد-پل کشکان کيلومتر 50جاده کوهدشت-کارخانه آسفالت سعيد بهاروند"</f>
        <v>تخليه - لرستان-خرم آباد-پل کشکان کيلومتر 50جاده کوهدشت-کارخانه آسفالت سعيد بهاروند</v>
      </c>
      <c r="D450" s="1">
        <v>13200</v>
      </c>
      <c r="E450" s="1">
        <v>160020</v>
      </c>
      <c r="F450" s="1">
        <v>96</v>
      </c>
      <c r="G450" s="1">
        <v>1980</v>
      </c>
      <c r="H450" s="1" t="str">
        <f>"96/11/03"</f>
        <v>96/11/03</v>
      </c>
      <c r="I450" s="1" t="str">
        <f>"كيلوگرم"</f>
        <v>كيلوگرم</v>
      </c>
      <c r="J450" s="1" t="str">
        <f>"0000000076"</f>
        <v>0000000076</v>
      </c>
      <c r="K450" s="1" t="str">
        <f>"قير 60/70 - فله"</f>
        <v>قير 60/70 - فله</v>
      </c>
      <c r="L450" s="1">
        <v>100</v>
      </c>
      <c r="M450" s="1" t="str">
        <f>"مخازن قير اصفهان"</f>
        <v>مخازن قير اصفهان</v>
      </c>
      <c r="N450" s="1">
        <v>11529</v>
      </c>
      <c r="O450" s="1">
        <v>50038268</v>
      </c>
      <c r="P450" s="1" t="str">
        <f>"  ايمن طرح خرم"</f>
        <v xml:space="preserve">  ايمن طرح خرم</v>
      </c>
      <c r="Q450" s="1">
        <v>62</v>
      </c>
      <c r="R450" s="1" t="str">
        <f>"فروش داخلي - سازمان بنيادمسكن انقلاب اسلامي"</f>
        <v>فروش داخلي - سازمان بنيادمسكن انقلاب اسلامي</v>
      </c>
      <c r="S450" s="1" t="str">
        <f>"قرارداد فروش"</f>
        <v>قرارداد فروش</v>
      </c>
      <c r="T450" s="1" t="str">
        <f>"ندارد"</f>
        <v>ندارد</v>
      </c>
      <c r="U450" s="1" t="str">
        <f>"ريسماني حسن(1007ج89)"</f>
        <v>ريسماني حسن(1007ج89)</v>
      </c>
      <c r="V450" s="1">
        <v>966200543</v>
      </c>
      <c r="W450" s="1">
        <v>966200543</v>
      </c>
      <c r="X450" s="1" t="str">
        <f>"1396542495"</f>
        <v>1396542495</v>
      </c>
      <c r="Y450" s="1" t="str">
        <f>"96/11/03"</f>
        <v>96/11/03</v>
      </c>
      <c r="Z450" s="1" t="str">
        <f>"48753/د"</f>
        <v>48753/د</v>
      </c>
      <c r="AA450" s="1" t="str">
        <f>"بنيادمسكن انقلاب اسلامي"</f>
        <v>بنيادمسكن انقلاب اسلامي</v>
      </c>
      <c r="AB450" s="1" t="str">
        <f>"96/11/01"</f>
        <v>96/11/01</v>
      </c>
      <c r="AC450" s="1" t="str">
        <f>"لرستان"</f>
        <v>لرستان</v>
      </c>
      <c r="AD450" s="1" t="str">
        <f>"96/11/03"</f>
        <v>96/11/03</v>
      </c>
      <c r="AE450" s="1" t="str">
        <f>"اختتام"</f>
        <v>اختتام</v>
      </c>
      <c r="AF450" s="1" t="str">
        <f>""</f>
        <v/>
      </c>
      <c r="AG450" s="1" t="str">
        <f>""</f>
        <v/>
      </c>
      <c r="AH450" s="1" t="str">
        <f>""</f>
        <v/>
      </c>
      <c r="AI450" s="1" t="str">
        <f>""</f>
        <v/>
      </c>
      <c r="AJ450" s="1" t="str">
        <f>""</f>
        <v/>
      </c>
      <c r="AK450" s="1" t="str">
        <f>""</f>
        <v/>
      </c>
    </row>
    <row r="451" spans="1:37">
      <c r="A451" s="1">
        <v>157000</v>
      </c>
      <c r="B451" s="1">
        <v>966200703</v>
      </c>
      <c r="C451" s="1" t="str">
        <f>"تخليه-يزد-ابرکوه - کارخانه آسفالت شهرداري"</f>
        <v>تخليه-يزد-ابرکوه - کارخانه آسفالت شهرداري</v>
      </c>
      <c r="D451" s="1">
        <v>13350</v>
      </c>
      <c r="E451" s="1">
        <v>156800</v>
      </c>
      <c r="F451" s="1">
        <v>96</v>
      </c>
      <c r="G451" s="1">
        <v>200</v>
      </c>
      <c r="H451" s="1" t="str">
        <f>"96/12/24"</f>
        <v>96/12/24</v>
      </c>
      <c r="I451" s="1" t="str">
        <f>"كيلوگرم"</f>
        <v>كيلوگرم</v>
      </c>
      <c r="J451" s="1" t="str">
        <f>"0000000076"</f>
        <v>0000000076</v>
      </c>
      <c r="K451" s="1" t="str">
        <f>"قير 60/70 - فله"</f>
        <v>قير 60/70 - فله</v>
      </c>
      <c r="L451" s="1">
        <v>100</v>
      </c>
      <c r="M451" s="1" t="str">
        <f>"مخازن قير اصفهان"</f>
        <v>مخازن قير اصفهان</v>
      </c>
      <c r="N451" s="1">
        <v>11553</v>
      </c>
      <c r="O451" s="1">
        <v>50038979</v>
      </c>
      <c r="P451" s="1" t="str">
        <f>"  ساروج سازه سورن شرق"</f>
        <v xml:space="preserve">  ساروج سازه سورن شرق</v>
      </c>
      <c r="Q451" s="1">
        <v>62</v>
      </c>
      <c r="R451" s="1" t="str">
        <f>"فروش داخلي - سازمان بنيادمسكن انقلاب اسلامي"</f>
        <v>فروش داخلي - سازمان بنيادمسكن انقلاب اسلامي</v>
      </c>
      <c r="S451" s="1" t="str">
        <f>"قرارداد فروش"</f>
        <v>قرارداد فروش</v>
      </c>
      <c r="T451" s="1" t="str">
        <f>"ندارد"</f>
        <v>ندارد</v>
      </c>
      <c r="U451" s="1" t="str">
        <f>"قانعي محمدرضا(1011ج89)"</f>
        <v>قانعي محمدرضا(1011ج89)</v>
      </c>
      <c r="V451" s="1">
        <v>966200703</v>
      </c>
      <c r="W451" s="1">
        <v>966200703</v>
      </c>
      <c r="X451" s="1" t="str">
        <f>"1396555240"</f>
        <v>1396555240</v>
      </c>
      <c r="Y451" s="1" t="str">
        <f>"96/12/24"</f>
        <v>96/12/24</v>
      </c>
      <c r="Z451" s="1" t="str">
        <f>"59208/د"</f>
        <v>59208/د</v>
      </c>
      <c r="AA451" s="1" t="str">
        <f>"بنيادمسكن انقلاب اسلامي"</f>
        <v>بنيادمسكن انقلاب اسلامي</v>
      </c>
      <c r="AB451" s="1" t="str">
        <f>"96/12/23"</f>
        <v>96/12/23</v>
      </c>
      <c r="AC451" s="1" t="str">
        <f>"استان يزد"</f>
        <v>استان يزد</v>
      </c>
      <c r="AD451" s="1" t="str">
        <f>"96/12/23"</f>
        <v>96/12/23</v>
      </c>
      <c r="AE451" s="1" t="str">
        <f>"اختتام"</f>
        <v>اختتام</v>
      </c>
      <c r="AF451" s="1" t="str">
        <f>""</f>
        <v/>
      </c>
      <c r="AG451" s="1" t="str">
        <f>""</f>
        <v/>
      </c>
      <c r="AH451" s="1" t="str">
        <f>""</f>
        <v/>
      </c>
      <c r="AI451" s="1" t="str">
        <f>""</f>
        <v/>
      </c>
      <c r="AJ451" s="1" t="str">
        <f>""</f>
        <v/>
      </c>
      <c r="AK451" s="1" t="str">
        <f>""</f>
        <v/>
      </c>
    </row>
    <row r="452" spans="1:37">
      <c r="A452" s="1">
        <v>55000</v>
      </c>
      <c r="B452" s="1">
        <v>966200702</v>
      </c>
      <c r="C452" s="1" t="str">
        <f>"تخليه - يزد-جاده کنارگذر-کيلومتر 7 جاده يزد-تفت-کارخانه آسفالت سازمان همياري شهرداريهاي يزد"</f>
        <v>تخليه - يزد-جاده کنارگذر-کيلومتر 7 جاده يزد-تفت-کارخانه آسفالت سازمان همياري شهرداريهاي يزد</v>
      </c>
      <c r="D452" s="1">
        <v>13350</v>
      </c>
      <c r="E452" s="1">
        <v>54240</v>
      </c>
      <c r="F452" s="1">
        <v>96</v>
      </c>
      <c r="G452" s="1">
        <v>760</v>
      </c>
      <c r="H452" s="1" t="str">
        <f>"96/12/24"</f>
        <v>96/12/24</v>
      </c>
      <c r="I452" s="1" t="str">
        <f>"كيلوگرم"</f>
        <v>كيلوگرم</v>
      </c>
      <c r="J452" s="1" t="str">
        <f>"0000000076"</f>
        <v>0000000076</v>
      </c>
      <c r="K452" s="1" t="str">
        <f>"قير 60/70 - فله"</f>
        <v>قير 60/70 - فله</v>
      </c>
      <c r="L452" s="1">
        <v>100</v>
      </c>
      <c r="M452" s="1" t="str">
        <f>"مخازن قير اصفهان"</f>
        <v>مخازن قير اصفهان</v>
      </c>
      <c r="N452" s="1">
        <v>11554</v>
      </c>
      <c r="O452" s="1">
        <v>50038978</v>
      </c>
      <c r="P452" s="1" t="str">
        <f>"  عمران آژند ويرا"</f>
        <v xml:space="preserve">  عمران آژند ويرا</v>
      </c>
      <c r="Q452" s="1">
        <v>62</v>
      </c>
      <c r="R452" s="1" t="str">
        <f>"فروش داخلي - سازمان بنيادمسكن انقلاب اسلامي"</f>
        <v>فروش داخلي - سازمان بنيادمسكن انقلاب اسلامي</v>
      </c>
      <c r="S452" s="1" t="str">
        <f>"قرارداد فروش"</f>
        <v>قرارداد فروش</v>
      </c>
      <c r="T452" s="1" t="str">
        <f>"ندارد"</f>
        <v>ندارد</v>
      </c>
      <c r="U452" s="1" t="str">
        <f>"اسماعيلي پور امين (1013ج89)"</f>
        <v>اسماعيلي پور امين (1013ج89)</v>
      </c>
      <c r="V452" s="1">
        <v>966200702</v>
      </c>
      <c r="W452" s="1">
        <v>966200702</v>
      </c>
      <c r="X452" s="1" t="str">
        <f>"1396554554"</f>
        <v>1396554554</v>
      </c>
      <c r="Y452" s="1" t="str">
        <f>"96/12/24"</f>
        <v>96/12/24</v>
      </c>
      <c r="Z452" s="1" t="str">
        <f>"58761/د"</f>
        <v>58761/د</v>
      </c>
      <c r="AA452" s="1" t="str">
        <f>"بنيادمسكن انقلاب اسلامي"</f>
        <v>بنيادمسكن انقلاب اسلامي</v>
      </c>
      <c r="AB452" s="1" t="str">
        <f>"96/12/21"</f>
        <v>96/12/21</v>
      </c>
      <c r="AC452" s="1" t="str">
        <f>"استان يزد"</f>
        <v>استان يزد</v>
      </c>
      <c r="AD452" s="1" t="str">
        <f>"96/12/22"</f>
        <v>96/12/22</v>
      </c>
      <c r="AE452" s="1" t="str">
        <f>"اختتام"</f>
        <v>اختتام</v>
      </c>
      <c r="AF452" s="1" t="str">
        <f>""</f>
        <v/>
      </c>
      <c r="AG452" s="1" t="str">
        <f>""</f>
        <v/>
      </c>
      <c r="AH452" s="1" t="str">
        <f>""</f>
        <v/>
      </c>
      <c r="AI452" s="1" t="str">
        <f>""</f>
        <v/>
      </c>
      <c r="AJ452" s="1" t="str">
        <f>""</f>
        <v/>
      </c>
      <c r="AK452" s="1" t="str">
        <f>""</f>
        <v/>
      </c>
    </row>
    <row r="453" spans="1:37">
      <c r="A453" s="1">
        <v>30000</v>
      </c>
      <c r="B453" s="1">
        <v>966200604</v>
      </c>
      <c r="C453" s="1" t="str">
        <f>"تخليه- شهر لنده کارخانه-روستاي ايدنک-کارخانه آسفالت شهرداري"</f>
        <v>تخليه- شهر لنده کارخانه-روستاي ايدنک-کارخانه آسفالت شهرداري</v>
      </c>
      <c r="D453" s="1">
        <v>13350</v>
      </c>
      <c r="E453" s="1">
        <v>30000</v>
      </c>
      <c r="F453" s="1">
        <v>96</v>
      </c>
      <c r="G453" s="1">
        <v>0</v>
      </c>
      <c r="H453" s="1" t="str">
        <f>"96/12/09"</f>
        <v>96/12/09</v>
      </c>
      <c r="I453" s="1" t="str">
        <f>"كيلوگرم"</f>
        <v>كيلوگرم</v>
      </c>
      <c r="J453" s="1" t="str">
        <f>"0000000076"</f>
        <v>0000000076</v>
      </c>
      <c r="K453" s="1" t="str">
        <f>"قير 60/70 - فله"</f>
        <v>قير 60/70 - فله</v>
      </c>
      <c r="L453" s="1">
        <v>100</v>
      </c>
      <c r="M453" s="1" t="str">
        <f>"مخازن قير اصفهان"</f>
        <v>مخازن قير اصفهان</v>
      </c>
      <c r="N453" s="1">
        <v>11041</v>
      </c>
      <c r="O453" s="1">
        <v>50038663</v>
      </c>
      <c r="P453" s="1" t="str">
        <f>"  تنگ شير سازه"</f>
        <v xml:space="preserve">  تنگ شير سازه</v>
      </c>
      <c r="Q453" s="1">
        <v>62</v>
      </c>
      <c r="R453" s="1" t="str">
        <f>"فروش داخلي - سازمان بنيادمسكن انقلاب اسلامي"</f>
        <v>فروش داخلي - سازمان بنيادمسكن انقلاب اسلامي</v>
      </c>
      <c r="S453" s="1" t="str">
        <f>"قرارداد فروش"</f>
        <v>قرارداد فروش</v>
      </c>
      <c r="T453" s="1" t="str">
        <f>"ندارد"</f>
        <v>ندارد</v>
      </c>
      <c r="U453" s="1" t="str">
        <f>"غلام نجفي سيامك‌‌‌‌‌‌(1881082)"</f>
        <v>غلام نجفي سيامك‌‌‌‌‌‌(1881082)</v>
      </c>
      <c r="V453" s="1">
        <v>966200604</v>
      </c>
      <c r="W453" s="1">
        <v>966200604</v>
      </c>
      <c r="X453" s="1" t="str">
        <f>"1396551611"</f>
        <v>1396551611</v>
      </c>
      <c r="Y453" s="1" t="str">
        <f>"96/12/09"</f>
        <v>96/12/09</v>
      </c>
      <c r="Z453" s="1" t="str">
        <f>"55682/د"</f>
        <v>55682/د</v>
      </c>
      <c r="AA453" s="1" t="str">
        <f>"بنيادمسكن انقلاب اسلامي"</f>
        <v>بنيادمسكن انقلاب اسلامي</v>
      </c>
      <c r="AB453" s="1" t="str">
        <f>"96/12/08"</f>
        <v>96/12/08</v>
      </c>
      <c r="AC453" s="1" t="str">
        <f>"كهكيلويه و بوير احمد"</f>
        <v>كهكيلويه و بوير احمد</v>
      </c>
      <c r="AD453" s="1" t="str">
        <f>"96/12/09"</f>
        <v>96/12/09</v>
      </c>
      <c r="AE453" s="1" t="str">
        <f>"اختتام"</f>
        <v>اختتام</v>
      </c>
      <c r="AF453" s="1" t="str">
        <f>""</f>
        <v/>
      </c>
      <c r="AG453" s="1" t="str">
        <f>""</f>
        <v/>
      </c>
      <c r="AH453" s="1" t="str">
        <f>""</f>
        <v/>
      </c>
      <c r="AI453" s="1" t="str">
        <f>""</f>
        <v/>
      </c>
      <c r="AJ453" s="1" t="str">
        <f>""</f>
        <v/>
      </c>
      <c r="AK453" s="1" t="str">
        <f>""</f>
        <v/>
      </c>
    </row>
    <row r="454" spans="1:37">
      <c r="A454" s="1">
        <v>180000</v>
      </c>
      <c r="B454" s="1">
        <v>966200118</v>
      </c>
      <c r="C454" s="1" t="str">
        <f>"تخليه-خوانسار- سه راهي رحمت آباد-کارخانه آسفالت دهاقين"</f>
        <v>تخليه-خوانسار- سه راهي رحمت آباد-کارخانه آسفالت دهاقين</v>
      </c>
      <c r="D454" s="1">
        <v>8704</v>
      </c>
      <c r="E454" s="1">
        <v>179560</v>
      </c>
      <c r="F454" s="1">
        <v>96</v>
      </c>
      <c r="G454" s="1">
        <v>440</v>
      </c>
      <c r="H454" s="1" t="str">
        <f>"96/03/24"</f>
        <v>96/03/24</v>
      </c>
      <c r="I454" s="1" t="str">
        <f>"كيلوگرم"</f>
        <v>كيلوگرم</v>
      </c>
      <c r="J454" s="1" t="str">
        <f>"0000000076"</f>
        <v>0000000076</v>
      </c>
      <c r="K454" s="1" t="str">
        <f>"قير 60/70 - فله"</f>
        <v>قير 60/70 - فله</v>
      </c>
      <c r="L454" s="1">
        <v>100</v>
      </c>
      <c r="M454" s="1" t="str">
        <f>"مخازن قير اصفهان"</f>
        <v>مخازن قير اصفهان</v>
      </c>
      <c r="N454" s="1">
        <v>11042</v>
      </c>
      <c r="O454" s="1">
        <v>50035012</v>
      </c>
      <c r="P454" s="1" t="str">
        <f>"  صخره کاران خيرآباد"</f>
        <v xml:space="preserve">  صخره کاران خيرآباد</v>
      </c>
      <c r="Q454" s="1">
        <v>62</v>
      </c>
      <c r="R454" s="1" t="str">
        <f>"فروش داخلي - سازمان بنيادمسكن انقلاب اسلامي"</f>
        <v>فروش داخلي - سازمان بنيادمسكن انقلاب اسلامي</v>
      </c>
      <c r="S454" s="1" t="str">
        <f>"قرارداد فروش"</f>
        <v>قرارداد فروش</v>
      </c>
      <c r="T454" s="1" t="str">
        <f>"ندارد"</f>
        <v>ندارد</v>
      </c>
      <c r="U454" s="1" t="str">
        <f>"بهرام زنگنه (1038 ج 93)"</f>
        <v>بهرام زنگنه (1038 ج 93)</v>
      </c>
      <c r="V454" s="1">
        <v>966200118</v>
      </c>
      <c r="W454" s="1">
        <v>966200118</v>
      </c>
      <c r="X454" s="1" t="str">
        <f>"1396488215"</f>
        <v>1396488215</v>
      </c>
      <c r="Y454" s="1" t="str">
        <f>"96/03/24"</f>
        <v>96/03/24</v>
      </c>
      <c r="Z454" s="1" t="str">
        <f>"11294/د"</f>
        <v>11294/د</v>
      </c>
      <c r="AA454" s="1" t="str">
        <f>"بنيادمسكن انقلاب اسلامي"</f>
        <v>بنيادمسكن انقلاب اسلامي</v>
      </c>
      <c r="AB454" s="1" t="str">
        <f>"96/03/23"</f>
        <v>96/03/23</v>
      </c>
      <c r="AC454" s="1" t="str">
        <f>"استان اصفهان"</f>
        <v>استان اصفهان</v>
      </c>
      <c r="AD454" s="1" t="str">
        <f>"96/03/24"</f>
        <v>96/03/24</v>
      </c>
      <c r="AE454" s="1" t="str">
        <f>"اختتام"</f>
        <v>اختتام</v>
      </c>
      <c r="AF454" s="1" t="str">
        <f>""</f>
        <v/>
      </c>
      <c r="AG454" s="1" t="str">
        <f>""</f>
        <v/>
      </c>
      <c r="AH454" s="1" t="str">
        <f>""</f>
        <v/>
      </c>
      <c r="AI454" s="1" t="str">
        <f>""</f>
        <v/>
      </c>
      <c r="AJ454" s="1" t="str">
        <f>""</f>
        <v/>
      </c>
      <c r="AK454" s="1" t="str">
        <f>""</f>
        <v/>
      </c>
    </row>
    <row r="455" spans="1:37">
      <c r="A455" s="1">
        <v>112000</v>
      </c>
      <c r="B455" s="1">
        <v>966200443</v>
      </c>
      <c r="C455" s="1" t="str">
        <f>"تخليه-گچساران-روستاي ناصرآباد -کارخانه آسفالت روانگرد"</f>
        <v>تخليه-گچساران-روستاي ناصرآباد -کارخانه آسفالت روانگرد</v>
      </c>
      <c r="D455" s="1">
        <v>12820</v>
      </c>
      <c r="E455" s="1">
        <v>110000</v>
      </c>
      <c r="F455" s="1">
        <v>96</v>
      </c>
      <c r="G455" s="1">
        <v>2000</v>
      </c>
      <c r="H455" s="1" t="str">
        <f>"96/09/20"</f>
        <v>96/09/20</v>
      </c>
      <c r="I455" s="1" t="str">
        <f>"كيلوگرم"</f>
        <v>كيلوگرم</v>
      </c>
      <c r="J455" s="1" t="str">
        <f>"0000000076"</f>
        <v>0000000076</v>
      </c>
      <c r="K455" s="1" t="str">
        <f>"قير 60/70 - فله"</f>
        <v>قير 60/70 - فله</v>
      </c>
      <c r="L455" s="1">
        <v>100</v>
      </c>
      <c r="M455" s="1" t="str">
        <f>"مخازن قير اصفهان"</f>
        <v>مخازن قير اصفهان</v>
      </c>
      <c r="N455" s="1">
        <v>11049</v>
      </c>
      <c r="O455" s="1">
        <v>50037636</v>
      </c>
      <c r="P455" s="1" t="str">
        <f>"  آرمان احداث کوهسار"</f>
        <v xml:space="preserve">  آرمان احداث کوهسار</v>
      </c>
      <c r="Q455" s="1">
        <v>62</v>
      </c>
      <c r="R455" s="1" t="str">
        <f>"فروش داخلي - سازمان بنيادمسكن انقلاب اسلامي"</f>
        <v>فروش داخلي - سازمان بنيادمسكن انقلاب اسلامي</v>
      </c>
      <c r="S455" s="1" t="str">
        <f>"قرارداد فروش"</f>
        <v>قرارداد فروش</v>
      </c>
      <c r="T455" s="1" t="str">
        <f>"ندارد"</f>
        <v>ندارد</v>
      </c>
      <c r="U455" s="1" t="str">
        <f>"غلام نجفي سيامك‌‌‌‌‌‌(1881082)"</f>
        <v>غلام نجفي سيامك‌‌‌‌‌‌(1881082)</v>
      </c>
      <c r="V455" s="1">
        <v>966200443</v>
      </c>
      <c r="W455" s="1">
        <v>966200443</v>
      </c>
      <c r="X455" s="1" t="str">
        <f>"1396531357"</f>
        <v>1396531357</v>
      </c>
      <c r="Y455" s="1" t="str">
        <f>"96/09/20"</f>
        <v>96/09/20</v>
      </c>
      <c r="Z455" s="1" t="str">
        <f>"41341/د"</f>
        <v>41341/د</v>
      </c>
      <c r="AA455" s="1" t="str">
        <f>"بنيادمسكن انقلاب اسلامي"</f>
        <v>بنيادمسكن انقلاب اسلامي</v>
      </c>
      <c r="AB455" s="1" t="str">
        <f>"96/09/20"</f>
        <v>96/09/20</v>
      </c>
      <c r="AC455" s="1" t="str">
        <f>"كهكيلويه و بوير احمد"</f>
        <v>كهكيلويه و بوير احمد</v>
      </c>
      <c r="AD455" s="1" t="str">
        <f>"96/09/20"</f>
        <v>96/09/20</v>
      </c>
      <c r="AE455" s="1" t="str">
        <f>"اختتام"</f>
        <v>اختتام</v>
      </c>
      <c r="AF455" s="1" t="str">
        <f>""</f>
        <v/>
      </c>
      <c r="AG455" s="1" t="str">
        <f>""</f>
        <v/>
      </c>
      <c r="AH455" s="1" t="str">
        <f>""</f>
        <v/>
      </c>
      <c r="AI455" s="1" t="str">
        <f>""</f>
        <v/>
      </c>
      <c r="AJ455" s="1" t="str">
        <f>""</f>
        <v/>
      </c>
      <c r="AK455" s="1" t="str">
        <f>""</f>
        <v/>
      </c>
    </row>
    <row r="456" spans="1:37">
      <c r="A456" s="1">
        <v>51000</v>
      </c>
      <c r="B456" s="1">
        <v>966200441</v>
      </c>
      <c r="C456" s="1" t="str">
        <f>"تخليه - کهگيلويه و بويراحمد-ياسوج-پليس راه ياسوج اصفهان-کارخانه آسفالت زارع"</f>
        <v>تخليه - کهگيلويه و بويراحمد-ياسوج-پليس راه ياسوج اصفهان-کارخانه آسفالت زارع</v>
      </c>
      <c r="D456" s="1">
        <v>12820</v>
      </c>
      <c r="E456" s="1">
        <v>51000</v>
      </c>
      <c r="F456" s="1">
        <v>96</v>
      </c>
      <c r="G456" s="1">
        <v>0</v>
      </c>
      <c r="H456" s="1" t="str">
        <f>"96/09/20"</f>
        <v>96/09/20</v>
      </c>
      <c r="I456" s="1" t="str">
        <f>"كيلوگرم"</f>
        <v>كيلوگرم</v>
      </c>
      <c r="J456" s="1" t="str">
        <f>"0000000076"</f>
        <v>0000000076</v>
      </c>
      <c r="K456" s="1" t="str">
        <f>"قير 60/70 - فله"</f>
        <v>قير 60/70 - فله</v>
      </c>
      <c r="L456" s="1">
        <v>100</v>
      </c>
      <c r="M456" s="1" t="str">
        <f>"مخازن قير اصفهان"</f>
        <v>مخازن قير اصفهان</v>
      </c>
      <c r="N456" s="1">
        <v>11055</v>
      </c>
      <c r="O456" s="1">
        <v>50037633</v>
      </c>
      <c r="P456" s="1" t="str">
        <f>"  بکتاش سازه زاگرس"</f>
        <v xml:space="preserve">  بکتاش سازه زاگرس</v>
      </c>
      <c r="Q456" s="1">
        <v>62</v>
      </c>
      <c r="R456" s="1" t="str">
        <f>"فروش داخلي - سازمان بنيادمسكن انقلاب اسلامي"</f>
        <v>فروش داخلي - سازمان بنيادمسكن انقلاب اسلامي</v>
      </c>
      <c r="S456" s="1" t="str">
        <f>"قرارداد فروش"</f>
        <v>قرارداد فروش</v>
      </c>
      <c r="T456" s="1" t="str">
        <f>"ندارد"</f>
        <v>ندارد</v>
      </c>
      <c r="U456" s="1" t="str">
        <f>"غلام نجفي سيامك‌‌‌‌‌‌(1881082)"</f>
        <v>غلام نجفي سيامك‌‌‌‌‌‌(1881082)</v>
      </c>
      <c r="V456" s="1">
        <v>966200441</v>
      </c>
      <c r="W456" s="1">
        <v>966200441</v>
      </c>
      <c r="X456" s="1" t="str">
        <f>"1396531357"</f>
        <v>1396531357</v>
      </c>
      <c r="Y456" s="1" t="str">
        <f>"96/09/20"</f>
        <v>96/09/20</v>
      </c>
      <c r="Z456" s="1" t="str">
        <f>"41334/د"</f>
        <v>41334/د</v>
      </c>
      <c r="AA456" s="1" t="str">
        <f>"بنيادمسكن انقلاب اسلامي"</f>
        <v>بنيادمسكن انقلاب اسلامي</v>
      </c>
      <c r="AB456" s="1" t="str">
        <f>"96/09/20"</f>
        <v>96/09/20</v>
      </c>
      <c r="AC456" s="1" t="str">
        <f>"كهكيلويه و بوير احمد"</f>
        <v>كهكيلويه و بوير احمد</v>
      </c>
      <c r="AD456" s="1" t="str">
        <f>"96/09/20"</f>
        <v>96/09/20</v>
      </c>
      <c r="AE456" s="1" t="str">
        <f>"اختتام"</f>
        <v>اختتام</v>
      </c>
      <c r="AF456" s="1" t="str">
        <f>""</f>
        <v/>
      </c>
      <c r="AG456" s="1" t="str">
        <f>""</f>
        <v/>
      </c>
      <c r="AH456" s="1" t="str">
        <f>""</f>
        <v/>
      </c>
      <c r="AI456" s="1" t="str">
        <f>""</f>
        <v/>
      </c>
      <c r="AJ456" s="1" t="str">
        <f>""</f>
        <v/>
      </c>
      <c r="AK456" s="1" t="str">
        <f>""</f>
        <v/>
      </c>
    </row>
    <row r="457" spans="1:37">
      <c r="A457" s="1">
        <v>90000</v>
      </c>
      <c r="B457" s="1">
        <v>966200719</v>
      </c>
      <c r="C457" s="1" t="str">
        <f>"تخليه - کهگيلويه و بويراحمد-ياسوج-پليس راه ياسوج اصفهان-کارخانه آسفالت زارع"</f>
        <v>تخليه - کهگيلويه و بويراحمد-ياسوج-پليس راه ياسوج اصفهان-کارخانه آسفالت زارع</v>
      </c>
      <c r="D457" s="1">
        <v>13350</v>
      </c>
      <c r="E457" s="1">
        <v>90000</v>
      </c>
      <c r="F457" s="1">
        <v>96</v>
      </c>
      <c r="G457" s="1">
        <v>0</v>
      </c>
      <c r="H457" s="1" t="str">
        <f>"96/12/26"</f>
        <v>96/12/26</v>
      </c>
      <c r="I457" s="1" t="str">
        <f>"كيلوگرم"</f>
        <v>كيلوگرم</v>
      </c>
      <c r="J457" s="1" t="str">
        <f>"0000000076"</f>
        <v>0000000076</v>
      </c>
      <c r="K457" s="1" t="str">
        <f>"قير 60/70 - فله"</f>
        <v>قير 60/70 - فله</v>
      </c>
      <c r="L457" s="1">
        <v>100</v>
      </c>
      <c r="M457" s="1" t="str">
        <f>"مخازن قير اصفهان"</f>
        <v>مخازن قير اصفهان</v>
      </c>
      <c r="N457" s="1">
        <v>11055</v>
      </c>
      <c r="O457" s="1">
        <v>50039079</v>
      </c>
      <c r="P457" s="1" t="str">
        <f>"  بکتاش سازه زاگرس"</f>
        <v xml:space="preserve">  بکتاش سازه زاگرس</v>
      </c>
      <c r="Q457" s="1">
        <v>62</v>
      </c>
      <c r="R457" s="1" t="str">
        <f>"فروش داخلي - سازمان بنيادمسكن انقلاب اسلامي"</f>
        <v>فروش داخلي - سازمان بنيادمسكن انقلاب اسلامي</v>
      </c>
      <c r="S457" s="1" t="str">
        <f>"قرارداد فروش"</f>
        <v>قرارداد فروش</v>
      </c>
      <c r="T457" s="1" t="str">
        <f>"ندارد"</f>
        <v>ندارد</v>
      </c>
      <c r="U457" s="1" t="str">
        <f>"غلام نجفي سيامك‌‌‌‌‌‌(1881082)"</f>
        <v>غلام نجفي سيامك‌‌‌‌‌‌(1881082)</v>
      </c>
      <c r="V457" s="1">
        <v>966200719</v>
      </c>
      <c r="W457" s="1">
        <v>966200719</v>
      </c>
      <c r="X457" s="1" t="str">
        <f>"1396555371"</f>
        <v>1396555371</v>
      </c>
      <c r="Y457" s="1" t="str">
        <f>"96/12/26"</f>
        <v>96/12/26</v>
      </c>
      <c r="Z457" s="1" t="str">
        <f>"59385/د"</f>
        <v>59385/د</v>
      </c>
      <c r="AA457" s="1" t="str">
        <f>"بنيادمسكن انقلاب اسلامي"</f>
        <v>بنيادمسكن انقلاب اسلامي</v>
      </c>
      <c r="AB457" s="1" t="str">
        <f>"96/12/23"</f>
        <v>96/12/23</v>
      </c>
      <c r="AC457" s="1" t="str">
        <f>"كهكيلويه و بوير احمد"</f>
        <v>كهكيلويه و بوير احمد</v>
      </c>
      <c r="AD457" s="1" t="str">
        <f>"96/12/26"</f>
        <v>96/12/26</v>
      </c>
      <c r="AE457" s="1" t="str">
        <f>"اختتام"</f>
        <v>اختتام</v>
      </c>
      <c r="AF457" s="1" t="str">
        <f>""</f>
        <v/>
      </c>
      <c r="AG457" s="1" t="str">
        <f>""</f>
        <v/>
      </c>
      <c r="AH457" s="1" t="str">
        <f>""</f>
        <v/>
      </c>
      <c r="AI457" s="1" t="str">
        <f>""</f>
        <v/>
      </c>
      <c r="AJ457" s="1" t="str">
        <f>""</f>
        <v/>
      </c>
      <c r="AK457" s="1" t="str">
        <f>""</f>
        <v/>
      </c>
    </row>
    <row r="458" spans="1:37">
      <c r="A458" s="1">
        <v>37000</v>
      </c>
      <c r="B458" s="1">
        <v>966200748</v>
      </c>
      <c r="C458" s="1" t="str">
        <f>"تخليه -خراسان جنوبي اسفدن -كارخانه توس راديه"</f>
        <v>تخليه -خراسان جنوبي اسفدن -كارخانه توس راديه</v>
      </c>
      <c r="D458" s="1">
        <v>13350</v>
      </c>
      <c r="E458" s="1">
        <v>37000</v>
      </c>
      <c r="F458" s="1">
        <v>96</v>
      </c>
      <c r="G458" s="1">
        <v>0</v>
      </c>
      <c r="H458" s="1" t="str">
        <f>"96/12/26"</f>
        <v>96/12/26</v>
      </c>
      <c r="I458" s="1" t="str">
        <f>"كيلوگرم"</f>
        <v>كيلوگرم</v>
      </c>
      <c r="J458" s="1" t="str">
        <f>"0000000076"</f>
        <v>0000000076</v>
      </c>
      <c r="K458" s="1" t="str">
        <f>"قير 60/70 - فله"</f>
        <v>قير 60/70 - فله</v>
      </c>
      <c r="L458" s="1">
        <v>100</v>
      </c>
      <c r="M458" s="1" t="str">
        <f>"مخازن قير اصفهان"</f>
        <v>مخازن قير اصفهان</v>
      </c>
      <c r="N458" s="1">
        <v>11119</v>
      </c>
      <c r="O458" s="1">
        <v>50039109</v>
      </c>
      <c r="P458" s="1" t="str">
        <f>"  نويدگسترزهان"</f>
        <v xml:space="preserve">  نويدگسترزهان</v>
      </c>
      <c r="Q458" s="1">
        <v>62</v>
      </c>
      <c r="R458" s="1" t="str">
        <f>"فروش داخلي - سازمان بنيادمسكن انقلاب اسلامي"</f>
        <v>فروش داخلي - سازمان بنيادمسكن انقلاب اسلامي</v>
      </c>
      <c r="S458" s="1" t="str">
        <f>"قرارداد فروش"</f>
        <v>قرارداد فروش</v>
      </c>
      <c r="T458" s="1" t="str">
        <f>"ندارد"</f>
        <v>ندارد</v>
      </c>
      <c r="U458" s="1" t="str">
        <f>"آقا علي منوچهر(1016ج89)"</f>
        <v>آقا علي منوچهر(1016ج89)</v>
      </c>
      <c r="V458" s="1">
        <v>966200748</v>
      </c>
      <c r="W458" s="1">
        <v>966200748</v>
      </c>
      <c r="X458" s="1" t="str">
        <f>"1396555422"</f>
        <v>1396555422</v>
      </c>
      <c r="Y458" s="1" t="str">
        <f>"96/12/26"</f>
        <v>96/12/26</v>
      </c>
      <c r="Z458" s="1" t="str">
        <f>"59745/د"</f>
        <v>59745/د</v>
      </c>
      <c r="AA458" s="1" t="str">
        <f>"بنيادمسكن انقلاب اسلامي"</f>
        <v>بنيادمسكن انقلاب اسلامي</v>
      </c>
      <c r="AB458" s="1" t="str">
        <f>"96/12/26"</f>
        <v>96/12/26</v>
      </c>
      <c r="AC458" s="1" t="str">
        <f>"خراسان جنوبي"</f>
        <v>خراسان جنوبي</v>
      </c>
      <c r="AD458" s="1" t="str">
        <f>"96/12/26"</f>
        <v>96/12/26</v>
      </c>
      <c r="AE458" s="1" t="str">
        <f>"اختتام"</f>
        <v>اختتام</v>
      </c>
      <c r="AF458" s="1" t="str">
        <f>""</f>
        <v/>
      </c>
      <c r="AG458" s="1" t="str">
        <f>""</f>
        <v/>
      </c>
      <c r="AH458" s="1" t="str">
        <f>""</f>
        <v/>
      </c>
      <c r="AI458" s="1" t="str">
        <f>""</f>
        <v/>
      </c>
      <c r="AJ458" s="1" t="str">
        <f>""</f>
        <v/>
      </c>
      <c r="AK458" s="1" t="str">
        <f>""</f>
        <v/>
      </c>
    </row>
    <row r="459" spans="1:37">
      <c r="A459" s="1">
        <v>121371</v>
      </c>
      <c r="B459" s="1">
        <v>962000122</v>
      </c>
      <c r="C459" s="1" t="str">
        <f>"تخليه -چهارمحال وبختياري -كارخانه آسفالت گندمكار"</f>
        <v>تخليه -چهارمحال وبختياري -كارخانه آسفالت گندمكار</v>
      </c>
      <c r="D459" s="1">
        <v>9113</v>
      </c>
      <c r="E459" s="1">
        <v>121371</v>
      </c>
      <c r="F459" s="1">
        <v>96</v>
      </c>
      <c r="G459" s="1">
        <v>0</v>
      </c>
      <c r="H459" s="1" t="str">
        <f>"96/07/03"</f>
        <v>96/07/03</v>
      </c>
      <c r="I459" s="1" t="str">
        <f>"كيلوگرم"</f>
        <v>كيلوگرم</v>
      </c>
      <c r="J459" s="1" t="str">
        <f>"0000000076"</f>
        <v>0000000076</v>
      </c>
      <c r="K459" s="1" t="str">
        <f>"قير 60/70 - فله"</f>
        <v>قير 60/70 - فله</v>
      </c>
      <c r="L459" s="1">
        <v>100</v>
      </c>
      <c r="M459" s="1" t="str">
        <f>"مخازن قير اصفهان"</f>
        <v>مخازن قير اصفهان</v>
      </c>
      <c r="N459" s="1">
        <v>11158</v>
      </c>
      <c r="O459" s="1">
        <v>50036306</v>
      </c>
      <c r="P459" s="1" t="str">
        <f>"  شهرداري سرخون"</f>
        <v xml:space="preserve">  شهرداري سرخون</v>
      </c>
      <c r="Q459" s="1">
        <v>20</v>
      </c>
      <c r="R459" s="1" t="str">
        <f>"فروش داخلي - سازمان شهرداري ها و دهياري هاي كشور"</f>
        <v>فروش داخلي - سازمان شهرداري ها و دهياري هاي كشور</v>
      </c>
      <c r="S459" s="1" t="str">
        <f>"قرارداد فروش"</f>
        <v>قرارداد فروش</v>
      </c>
      <c r="T459" s="1" t="str">
        <f>"ندارد"</f>
        <v>ندارد</v>
      </c>
      <c r="U459" s="1" t="str">
        <f>"تعاوني جم گستر (1001 ج 89)"</f>
        <v>تعاوني جم گستر (1001 ج 89)</v>
      </c>
      <c r="V459" s="1">
        <v>962000122</v>
      </c>
      <c r="W459" s="1">
        <v>962000122</v>
      </c>
      <c r="X459" s="1" t="str">
        <f>"1396514467"</f>
        <v>1396514467</v>
      </c>
      <c r="Y459" s="1" t="str">
        <f>"96/07/03"</f>
        <v>96/07/03</v>
      </c>
      <c r="Z459" s="1" t="str">
        <f>"26615مرحله اول"</f>
        <v>26615مرحله اول</v>
      </c>
      <c r="AA459" s="1" t="str">
        <f>"شهرداريها"</f>
        <v>شهرداريها</v>
      </c>
      <c r="AB459" s="1" t="str">
        <f>"96/06/29"</f>
        <v>96/06/29</v>
      </c>
      <c r="AC459" s="1" t="str">
        <f>"استان چهارمحال بختياري"</f>
        <v>استان چهارمحال بختياري</v>
      </c>
      <c r="AD459" s="1" t="str">
        <f>"96/07/03"</f>
        <v>96/07/03</v>
      </c>
      <c r="AE459" s="1" t="str">
        <f>"اختتام"</f>
        <v>اختتام</v>
      </c>
      <c r="AF459" s="1" t="str">
        <f>""</f>
        <v/>
      </c>
      <c r="AG459" s="1" t="str">
        <f>""</f>
        <v/>
      </c>
      <c r="AH459" s="1" t="str">
        <f>""</f>
        <v/>
      </c>
      <c r="AI459" s="1" t="str">
        <f>""</f>
        <v/>
      </c>
      <c r="AJ459" s="1" t="str">
        <f>""</f>
        <v/>
      </c>
      <c r="AK459" s="1" t="str">
        <f>""</f>
        <v/>
      </c>
    </row>
    <row r="460" spans="1:37">
      <c r="A460" s="1">
        <v>125589</v>
      </c>
      <c r="B460" s="1">
        <v>962000083</v>
      </c>
      <c r="C460" s="1" t="str">
        <f>"تخليه اصفهان طالخونچه فلكه ورودي شهرطالخونچه بالاترازمجتمع كارگاهي اميركبيركارخانه آسفالت سپاهان"</f>
        <v>تخليه اصفهان طالخونچه فلكه ورودي شهرطالخونچه بالاترازمجتمع كارگاهي اميركبيركارخانه آسفالت سپاهان</v>
      </c>
      <c r="D460" s="1">
        <v>9113</v>
      </c>
      <c r="E460" s="1">
        <v>125589</v>
      </c>
      <c r="F460" s="1">
        <v>96</v>
      </c>
      <c r="G460" s="1">
        <v>0</v>
      </c>
      <c r="H460" s="1" t="str">
        <f>"96/07/03"</f>
        <v>96/07/03</v>
      </c>
      <c r="I460" s="1" t="str">
        <f>"كيلوگرم"</f>
        <v>كيلوگرم</v>
      </c>
      <c r="J460" s="1" t="str">
        <f>"0000000076"</f>
        <v>0000000076</v>
      </c>
      <c r="K460" s="1" t="str">
        <f>"قير 60/70 - فله"</f>
        <v>قير 60/70 - فله</v>
      </c>
      <c r="L460" s="1">
        <v>100</v>
      </c>
      <c r="M460" s="1" t="str">
        <f>"مخازن قير اصفهان"</f>
        <v>مخازن قير اصفهان</v>
      </c>
      <c r="N460" s="1">
        <v>11167</v>
      </c>
      <c r="O460" s="1">
        <v>50036253</v>
      </c>
      <c r="P460" s="1" t="str">
        <f>"  شهرداري مجلسي"</f>
        <v xml:space="preserve">  شهرداري مجلسي</v>
      </c>
      <c r="Q460" s="1">
        <v>20</v>
      </c>
      <c r="R460" s="1" t="str">
        <f>"فروش داخلي - سازمان شهرداري ها و دهياري هاي كشور"</f>
        <v>فروش داخلي - سازمان شهرداري ها و دهياري هاي كشور</v>
      </c>
      <c r="S460" s="1" t="str">
        <f>"قرارداد فروش"</f>
        <v>قرارداد فروش</v>
      </c>
      <c r="T460" s="1" t="str">
        <f>"ندارد"</f>
        <v>ندارد</v>
      </c>
      <c r="U460" s="1" t="str">
        <f>"تعاوني جم گستر (1001 ج 89)"</f>
        <v>تعاوني جم گستر (1001 ج 89)</v>
      </c>
      <c r="V460" s="1">
        <v>962000083</v>
      </c>
      <c r="W460" s="1">
        <v>962000083</v>
      </c>
      <c r="X460" s="1" t="str">
        <f>"1396514467"</f>
        <v>1396514467</v>
      </c>
      <c r="Y460" s="1" t="str">
        <f>"96/07/03"</f>
        <v>96/07/03</v>
      </c>
      <c r="Z460" s="1" t="str">
        <f>"26656مرحله اول"</f>
        <v>26656مرحله اول</v>
      </c>
      <c r="AA460" s="1" t="str">
        <f>"شهرداريها"</f>
        <v>شهرداريها</v>
      </c>
      <c r="AB460" s="1" t="str">
        <f>"96/06/29"</f>
        <v>96/06/29</v>
      </c>
      <c r="AC460" s="1" t="str">
        <f>"استان اصفهان"</f>
        <v>استان اصفهان</v>
      </c>
      <c r="AD460" s="1" t="str">
        <f>"96/07/03"</f>
        <v>96/07/03</v>
      </c>
      <c r="AE460" s="1" t="str">
        <f>"اختتام"</f>
        <v>اختتام</v>
      </c>
      <c r="AF460" s="1" t="str">
        <f>""</f>
        <v/>
      </c>
      <c r="AG460" s="1" t="str">
        <f>""</f>
        <v/>
      </c>
      <c r="AH460" s="1" t="str">
        <f>""</f>
        <v/>
      </c>
      <c r="AI460" s="1" t="str">
        <f>""</f>
        <v/>
      </c>
      <c r="AJ460" s="1" t="str">
        <f>""</f>
        <v/>
      </c>
      <c r="AK460" s="1" t="str">
        <f>""</f>
        <v/>
      </c>
    </row>
    <row r="461" spans="1:37">
      <c r="A461" s="1">
        <v>34660</v>
      </c>
      <c r="B461" s="1">
        <v>962000487</v>
      </c>
      <c r="C461" s="1" t="str">
        <f>"تخليه اصفهان نطنزكيلومتر5جاده گل آبادمقابل ايستگاه راه آهن ابيازن كارخانه آسفالت ايران مترو"</f>
        <v>تخليه اصفهان نطنزكيلومتر5جاده گل آبادمقابل ايستگاه راه آهن ابيازن كارخانه آسفالت ايران مترو</v>
      </c>
      <c r="D461" s="1">
        <v>12820</v>
      </c>
      <c r="E461" s="1">
        <v>34660</v>
      </c>
      <c r="F461" s="1">
        <v>96</v>
      </c>
      <c r="G461" s="1">
        <v>0</v>
      </c>
      <c r="H461" s="1" t="str">
        <f>"96/09/20"</f>
        <v>96/09/20</v>
      </c>
      <c r="I461" s="1" t="str">
        <f>"كيلوگرم"</f>
        <v>كيلوگرم</v>
      </c>
      <c r="J461" s="1" t="str">
        <f>"0000000076"</f>
        <v>0000000076</v>
      </c>
      <c r="K461" s="1" t="str">
        <f>"قير 60/70 - فله"</f>
        <v>قير 60/70 - فله</v>
      </c>
      <c r="L461" s="1">
        <v>100</v>
      </c>
      <c r="M461" s="1" t="str">
        <f>"مخازن قير اصفهان"</f>
        <v>مخازن قير اصفهان</v>
      </c>
      <c r="N461" s="1">
        <v>11183</v>
      </c>
      <c r="O461" s="1">
        <v>50037809</v>
      </c>
      <c r="P461" s="1" t="str">
        <f>"  شهرداري طرق رود"</f>
        <v xml:space="preserve">  شهرداري طرق رود</v>
      </c>
      <c r="Q461" s="1">
        <v>20</v>
      </c>
      <c r="R461" s="1" t="str">
        <f>"فروش داخلي - سازمان شهرداري ها و دهياري هاي كشور"</f>
        <v>فروش داخلي - سازمان شهرداري ها و دهياري هاي كشور</v>
      </c>
      <c r="S461" s="1" t="str">
        <f>"قرارداد فروش"</f>
        <v>قرارداد فروش</v>
      </c>
      <c r="T461" s="1" t="str">
        <f>"ندارد"</f>
        <v>ندارد</v>
      </c>
      <c r="U461" s="1" t="str">
        <f>"تعاوني جم گستر (1001 ج 89)"</f>
        <v>تعاوني جم گستر (1001 ج 89)</v>
      </c>
      <c r="V461" s="1">
        <v>962000487</v>
      </c>
      <c r="W461" s="1">
        <v>962000487</v>
      </c>
      <c r="X461" s="1" t="str">
        <f>"1396529711"</f>
        <v>1396529711</v>
      </c>
      <c r="Y461" s="1" t="str">
        <f>"96/09/20"</f>
        <v>96/09/20</v>
      </c>
      <c r="Z461" s="1" t="str">
        <f>"37181مرحله دوم"</f>
        <v>37181مرحله دوم</v>
      </c>
      <c r="AA461" s="1" t="str">
        <f>"شهرداريها"</f>
        <v>شهرداريها</v>
      </c>
      <c r="AB461" s="1" t="str">
        <f>"96/09/05"</f>
        <v>96/09/05</v>
      </c>
      <c r="AC461" s="1" t="str">
        <f>"استان اصفهان"</f>
        <v>استان اصفهان</v>
      </c>
      <c r="AD461" s="1" t="str">
        <f>"96/09/13"</f>
        <v>96/09/13</v>
      </c>
      <c r="AE461" s="1" t="str">
        <f>"تاييدشده"</f>
        <v>تاييدشده</v>
      </c>
      <c r="AF461" s="1" t="str">
        <f>""</f>
        <v/>
      </c>
      <c r="AG461" s="1" t="str">
        <f>""</f>
        <v/>
      </c>
      <c r="AH461" s="1" t="str">
        <f>""</f>
        <v/>
      </c>
      <c r="AI461" s="1" t="str">
        <f>""</f>
        <v/>
      </c>
      <c r="AJ461" s="1" t="str">
        <f>""</f>
        <v/>
      </c>
      <c r="AK461" s="1" t="str">
        <f>""</f>
        <v/>
      </c>
    </row>
    <row r="462" spans="1:37">
      <c r="A462" s="1">
        <v>104649</v>
      </c>
      <c r="B462" s="1">
        <v>962000042</v>
      </c>
      <c r="C462" s="1" t="str">
        <f>"تخليه -محورنجف آبادتيران پشت شهرك صنعتي تيران كارخانه آسفالت ميلادراه سپاهان"</f>
        <v>تخليه -محورنجف آبادتيران پشت شهرك صنعتي تيران كارخانه آسفالت ميلادراه سپاهان</v>
      </c>
      <c r="D462" s="1">
        <v>9113</v>
      </c>
      <c r="E462" s="1">
        <v>104649</v>
      </c>
      <c r="F462" s="1">
        <v>96</v>
      </c>
      <c r="G462" s="1">
        <v>0</v>
      </c>
      <c r="H462" s="1" t="str">
        <f>"96/07/03"</f>
        <v>96/07/03</v>
      </c>
      <c r="I462" s="1" t="str">
        <f>"كيلوگرم"</f>
        <v>كيلوگرم</v>
      </c>
      <c r="J462" s="1" t="str">
        <f>"0000000076"</f>
        <v>0000000076</v>
      </c>
      <c r="K462" s="1" t="str">
        <f>"قير 60/70 - فله"</f>
        <v>قير 60/70 - فله</v>
      </c>
      <c r="L462" s="1">
        <v>100</v>
      </c>
      <c r="M462" s="1" t="str">
        <f>"مخازن قير اصفهان"</f>
        <v>مخازن قير اصفهان</v>
      </c>
      <c r="N462" s="1">
        <v>10698</v>
      </c>
      <c r="O462" s="1">
        <v>50036188</v>
      </c>
      <c r="P462" s="1" t="str">
        <f>"  شهرداري دهق"</f>
        <v xml:space="preserve">  شهرداري دهق</v>
      </c>
      <c r="Q462" s="1">
        <v>20</v>
      </c>
      <c r="R462" s="1" t="str">
        <f>"فروش داخلي - سازمان شهرداري ها و دهياري هاي كشور"</f>
        <v>فروش داخلي - سازمان شهرداري ها و دهياري هاي كشور</v>
      </c>
      <c r="S462" s="1" t="str">
        <f>"قرارداد فروش"</f>
        <v>قرارداد فروش</v>
      </c>
      <c r="T462" s="1" t="str">
        <f>"ندارد"</f>
        <v>ندارد</v>
      </c>
      <c r="U462" s="1" t="str">
        <f>"تعاوني جم گستر (1001 ج 89)"</f>
        <v>تعاوني جم گستر (1001 ج 89)</v>
      </c>
      <c r="V462" s="1">
        <v>962000042</v>
      </c>
      <c r="W462" s="1">
        <v>962000042</v>
      </c>
      <c r="X462" s="1" t="str">
        <f>"1396514467"</f>
        <v>1396514467</v>
      </c>
      <c r="Y462" s="1" t="str">
        <f>"96/07/03"</f>
        <v>96/07/03</v>
      </c>
      <c r="Z462" s="1" t="str">
        <f>"26815مرحله اول"</f>
        <v>26815مرحله اول</v>
      </c>
      <c r="AA462" s="1" t="str">
        <f>"شهرداريها"</f>
        <v>شهرداريها</v>
      </c>
      <c r="AB462" s="1" t="str">
        <f>"96/06/29"</f>
        <v>96/06/29</v>
      </c>
      <c r="AC462" s="1" t="str">
        <f>"استان اصفهان"</f>
        <v>استان اصفهان</v>
      </c>
      <c r="AD462" s="1" t="str">
        <f>"96/07/03"</f>
        <v>96/07/03</v>
      </c>
      <c r="AE462" s="1" t="str">
        <f>"اختتام"</f>
        <v>اختتام</v>
      </c>
      <c r="AF462" s="1" t="str">
        <f>""</f>
        <v/>
      </c>
      <c r="AG462" s="1" t="str">
        <f>""</f>
        <v/>
      </c>
      <c r="AH462" s="1" t="str">
        <f>""</f>
        <v/>
      </c>
      <c r="AI462" s="1" t="str">
        <f>""</f>
        <v/>
      </c>
      <c r="AJ462" s="1" t="str">
        <f>""</f>
        <v/>
      </c>
      <c r="AK462" s="1" t="str">
        <f>""</f>
        <v/>
      </c>
    </row>
    <row r="463" spans="1:37">
      <c r="A463" s="1">
        <v>38551</v>
      </c>
      <c r="B463" s="1">
        <v>962000408</v>
      </c>
      <c r="C463" s="1" t="str">
        <f>"تخليه - اصفهان - جرقويه عليا-5کيلومتري حسن آباد جرقويه"</f>
        <v>تخليه - اصفهان - جرقويه عليا-5کيلومتري حسن آباد جرقويه</v>
      </c>
      <c r="D463" s="1">
        <v>12820</v>
      </c>
      <c r="E463" s="1">
        <v>38551</v>
      </c>
      <c r="F463" s="1">
        <v>96</v>
      </c>
      <c r="G463" s="1">
        <v>0</v>
      </c>
      <c r="H463" s="1" t="str">
        <f>"96/09/20"</f>
        <v>96/09/20</v>
      </c>
      <c r="I463" s="1" t="str">
        <f>"كيلوگرم"</f>
        <v>كيلوگرم</v>
      </c>
      <c r="J463" s="1" t="str">
        <f>"0000000076"</f>
        <v>0000000076</v>
      </c>
      <c r="K463" s="1" t="str">
        <f>"قير 60/70 - فله"</f>
        <v>قير 60/70 - فله</v>
      </c>
      <c r="L463" s="1">
        <v>100</v>
      </c>
      <c r="M463" s="1" t="str">
        <f>"مخازن قير اصفهان"</f>
        <v>مخازن قير اصفهان</v>
      </c>
      <c r="N463" s="1">
        <v>10699</v>
      </c>
      <c r="O463" s="1">
        <v>50037721</v>
      </c>
      <c r="P463" s="1" t="str">
        <f>"  شهرداري نصرآباد"</f>
        <v xml:space="preserve">  شهرداري نصرآباد</v>
      </c>
      <c r="Q463" s="1">
        <v>20</v>
      </c>
      <c r="R463" s="1" t="str">
        <f>"فروش داخلي - سازمان شهرداري ها و دهياري هاي كشور"</f>
        <v>فروش داخلي - سازمان شهرداري ها و دهياري هاي كشور</v>
      </c>
      <c r="S463" s="1" t="str">
        <f>"قرارداد فروش"</f>
        <v>قرارداد فروش</v>
      </c>
      <c r="T463" s="1" t="str">
        <f>"ندارد"</f>
        <v>ندارد</v>
      </c>
      <c r="U463" s="1" t="str">
        <f>"تعاوني جم گستر (1001 ج 89)"</f>
        <v>تعاوني جم گستر (1001 ج 89)</v>
      </c>
      <c r="V463" s="1">
        <v>962000408</v>
      </c>
      <c r="W463" s="1">
        <v>962000408</v>
      </c>
      <c r="X463" s="1" t="str">
        <f>"1396529711"</f>
        <v>1396529711</v>
      </c>
      <c r="Y463" s="1" t="str">
        <f>"96/09/20"</f>
        <v>96/09/20</v>
      </c>
      <c r="Z463" s="1" t="str">
        <f>"37272مرحله دوم"</f>
        <v>37272مرحله دوم</v>
      </c>
      <c r="AA463" s="1" t="str">
        <f>"شهرداريها"</f>
        <v>شهرداريها</v>
      </c>
      <c r="AB463" s="1" t="str">
        <f>"96/09/05"</f>
        <v>96/09/05</v>
      </c>
      <c r="AC463" s="1" t="str">
        <f>"استان اصفهان"</f>
        <v>استان اصفهان</v>
      </c>
      <c r="AD463" s="1" t="str">
        <f>"96/09/13"</f>
        <v>96/09/13</v>
      </c>
      <c r="AE463" s="1" t="str">
        <f>"تاييدشده"</f>
        <v>تاييدشده</v>
      </c>
      <c r="AF463" s="1" t="str">
        <f>""</f>
        <v/>
      </c>
      <c r="AG463" s="1" t="str">
        <f>""</f>
        <v/>
      </c>
      <c r="AH463" s="1" t="str">
        <f>""</f>
        <v/>
      </c>
      <c r="AI463" s="1" t="str">
        <f>""</f>
        <v/>
      </c>
      <c r="AJ463" s="1" t="str">
        <f>""</f>
        <v/>
      </c>
      <c r="AK463" s="1" t="str">
        <f>""</f>
        <v/>
      </c>
    </row>
    <row r="464" spans="1:37">
      <c r="A464" s="1">
        <v>538000</v>
      </c>
      <c r="B464" s="1">
        <v>966200753</v>
      </c>
      <c r="C464" s="1" t="str">
        <f>"تخليه - کرمانشاه-بيستون-ميانراهان-محورديزگران سرتخت -کارخانه آسفالت خانه زرين"</f>
        <v>تخليه - کرمانشاه-بيستون-ميانراهان-محورديزگران سرتخت -کارخانه آسفالت خانه زرين</v>
      </c>
      <c r="D464" s="1">
        <v>13350</v>
      </c>
      <c r="E464" s="1">
        <v>537840</v>
      </c>
      <c r="F464" s="1">
        <v>96</v>
      </c>
      <c r="G464" s="1">
        <v>160</v>
      </c>
      <c r="H464" s="1" t="str">
        <f>"96/12/27"</f>
        <v>96/12/27</v>
      </c>
      <c r="I464" s="1" t="str">
        <f>"كيلوگرم"</f>
        <v>كيلوگرم</v>
      </c>
      <c r="J464" s="1" t="str">
        <f>"0000000076"</f>
        <v>0000000076</v>
      </c>
      <c r="K464" s="1" t="str">
        <f>"قير 60/70 - فله"</f>
        <v>قير 60/70 - فله</v>
      </c>
      <c r="L464" s="1">
        <v>100</v>
      </c>
      <c r="M464" s="1" t="str">
        <f>"مخازن قير اصفهان"</f>
        <v>مخازن قير اصفهان</v>
      </c>
      <c r="N464" s="1">
        <v>11555</v>
      </c>
      <c r="O464" s="1">
        <v>50039118</v>
      </c>
      <c r="P464" s="1" t="str">
        <f>"  سراب بيدسازه"</f>
        <v xml:space="preserve">  سراب بيدسازه</v>
      </c>
      <c r="Q464" s="1">
        <v>62</v>
      </c>
      <c r="R464" s="1" t="str">
        <f>"فروش داخلي - سازمان بنيادمسكن انقلاب اسلامي"</f>
        <v>فروش داخلي - سازمان بنيادمسكن انقلاب اسلامي</v>
      </c>
      <c r="S464" s="1" t="str">
        <f>"قرارداد فروش"</f>
        <v>قرارداد فروش</v>
      </c>
      <c r="T464" s="1" t="str">
        <f>"ندارد"</f>
        <v>ندارد</v>
      </c>
      <c r="U464" s="1" t="str">
        <f>"عظيمي محمد(2842015)"</f>
        <v>عظيمي محمد(2842015)</v>
      </c>
      <c r="V464" s="1">
        <v>966200753</v>
      </c>
      <c r="W464" s="1">
        <v>966200753</v>
      </c>
      <c r="X464" s="1" t="str">
        <f>"1396555429"</f>
        <v>1396555429</v>
      </c>
      <c r="Y464" s="1" t="str">
        <f>"96/12/27"</f>
        <v>96/12/27</v>
      </c>
      <c r="Z464" s="1" t="str">
        <f>"59465/د"</f>
        <v>59465/د</v>
      </c>
      <c r="AA464" s="1" t="str">
        <f>"بنيادمسكن انقلاب اسلامي"</f>
        <v>بنيادمسكن انقلاب اسلامي</v>
      </c>
      <c r="AB464" s="1" t="str">
        <f>"96/12/23"</f>
        <v>96/12/23</v>
      </c>
      <c r="AC464" s="1" t="str">
        <f>"استان كرمانشاه"</f>
        <v>استان كرمانشاه</v>
      </c>
      <c r="AD464" s="1" t="str">
        <f>"96/12/26"</f>
        <v>96/12/26</v>
      </c>
      <c r="AE464" s="1" t="str">
        <f>"اختتام"</f>
        <v>اختتام</v>
      </c>
      <c r="AF464" s="1" t="str">
        <f>""</f>
        <v/>
      </c>
      <c r="AG464" s="1" t="str">
        <f>""</f>
        <v/>
      </c>
      <c r="AH464" s="1" t="str">
        <f>""</f>
        <v/>
      </c>
      <c r="AI464" s="1" t="str">
        <f>""</f>
        <v/>
      </c>
      <c r="AJ464" s="1" t="str">
        <f>""</f>
        <v/>
      </c>
      <c r="AK464" s="1" t="str">
        <f>""</f>
        <v/>
      </c>
    </row>
    <row r="465" spans="1:37">
      <c r="A465" s="1">
        <v>47000</v>
      </c>
      <c r="B465" s="1">
        <v>966200708</v>
      </c>
      <c r="C465" s="1" t="str">
        <f>"تخليه كهگيلويه گچساران روستاي سرآبيز كارخانه آسفالت آقاي حسيني"</f>
        <v>تخليه كهگيلويه گچساران روستاي سرآبيز كارخانه آسفالت آقاي حسيني</v>
      </c>
      <c r="D465" s="1">
        <v>13350</v>
      </c>
      <c r="E465" s="1">
        <v>47000</v>
      </c>
      <c r="F465" s="1">
        <v>96</v>
      </c>
      <c r="G465" s="1">
        <v>0</v>
      </c>
      <c r="H465" s="1" t="str">
        <f>"96/12/26"</f>
        <v>96/12/26</v>
      </c>
      <c r="I465" s="1" t="str">
        <f>"كيلوگرم"</f>
        <v>كيلوگرم</v>
      </c>
      <c r="J465" s="1" t="str">
        <f>"0000000076"</f>
        <v>0000000076</v>
      </c>
      <c r="K465" s="1" t="str">
        <f>"قير 60/70 - فله"</f>
        <v>قير 60/70 - فله</v>
      </c>
      <c r="L465" s="1">
        <v>100</v>
      </c>
      <c r="M465" s="1" t="str">
        <f>"مخازن قير اصفهان"</f>
        <v>مخازن قير اصفهان</v>
      </c>
      <c r="N465" s="1">
        <v>11189</v>
      </c>
      <c r="O465" s="1">
        <v>50039063</v>
      </c>
      <c r="P465" s="1" t="str">
        <f>"  ساحل عمران تنگه تنگاري"</f>
        <v xml:space="preserve">  ساحل عمران تنگه تنگاري</v>
      </c>
      <c r="Q465" s="1">
        <v>62</v>
      </c>
      <c r="R465" s="1" t="str">
        <f>"فروش داخلي - سازمان بنيادمسكن انقلاب اسلامي"</f>
        <v>فروش داخلي - سازمان بنيادمسكن انقلاب اسلامي</v>
      </c>
      <c r="S465" s="1" t="str">
        <f>"قرارداد فروش"</f>
        <v>قرارداد فروش</v>
      </c>
      <c r="T465" s="1" t="str">
        <f>"ندارد"</f>
        <v>ندارد</v>
      </c>
      <c r="U465" s="1" t="str">
        <f>"غلام نجفي سيامك‌‌‌‌‌‌(1881082)"</f>
        <v>غلام نجفي سيامك‌‌‌‌‌‌(1881082)</v>
      </c>
      <c r="V465" s="1">
        <v>966200708</v>
      </c>
      <c r="W465" s="1">
        <v>966200708</v>
      </c>
      <c r="X465" s="1" t="str">
        <f>"1396555392"</f>
        <v>1396555392</v>
      </c>
      <c r="Y465" s="1" t="str">
        <f>"96/12/26"</f>
        <v>96/12/26</v>
      </c>
      <c r="Z465" s="1" t="str">
        <f>"59440/د"</f>
        <v>59440/د</v>
      </c>
      <c r="AA465" s="1" t="str">
        <f>"بنيادمسكن انقلاب اسلامي"</f>
        <v>بنيادمسكن انقلاب اسلامي</v>
      </c>
      <c r="AB465" s="1" t="str">
        <f>"96/12/23"</f>
        <v>96/12/23</v>
      </c>
      <c r="AC465" s="1" t="str">
        <f>"كهكيلويه و بوير احمد"</f>
        <v>كهكيلويه و بوير احمد</v>
      </c>
      <c r="AD465" s="1" t="str">
        <f>"96/12/26"</f>
        <v>96/12/26</v>
      </c>
      <c r="AE465" s="1" t="str">
        <f>"اختتام"</f>
        <v>اختتام</v>
      </c>
      <c r="AF465" s="1" t="str">
        <f>""</f>
        <v/>
      </c>
      <c r="AG465" s="1" t="str">
        <f>""</f>
        <v/>
      </c>
      <c r="AH465" s="1" t="str">
        <f>""</f>
        <v/>
      </c>
      <c r="AI465" s="1" t="str">
        <f>""</f>
        <v/>
      </c>
      <c r="AJ465" s="1" t="str">
        <f>""</f>
        <v/>
      </c>
      <c r="AK465" s="1" t="str">
        <f>""</f>
        <v/>
      </c>
    </row>
    <row r="466" spans="1:37">
      <c r="A466" s="1">
        <v>107210</v>
      </c>
      <c r="B466" s="1">
        <v>962000046</v>
      </c>
      <c r="C466" s="1" t="str">
        <f>"تخليه اصفهان جنب پلي اكريل شركت اصفهان بتن راه"</f>
        <v>تخليه اصفهان جنب پلي اكريل شركت اصفهان بتن راه</v>
      </c>
      <c r="D466" s="1">
        <v>9113</v>
      </c>
      <c r="E466" s="1">
        <v>107040</v>
      </c>
      <c r="F466" s="1">
        <v>96</v>
      </c>
      <c r="G466" s="1">
        <v>170</v>
      </c>
      <c r="H466" s="1" t="str">
        <f>"96/07/03"</f>
        <v>96/07/03</v>
      </c>
      <c r="I466" s="1" t="str">
        <f>"كيلوگرم"</f>
        <v>كيلوگرم</v>
      </c>
      <c r="J466" s="1" t="str">
        <f>"0000000076"</f>
        <v>0000000076</v>
      </c>
      <c r="K466" s="1" t="str">
        <f>"قير 60/70 - فله"</f>
        <v>قير 60/70 - فله</v>
      </c>
      <c r="L466" s="1">
        <v>100</v>
      </c>
      <c r="M466" s="1" t="str">
        <f>"مخازن قير اصفهان"</f>
        <v>مخازن قير اصفهان</v>
      </c>
      <c r="N466" s="1">
        <v>11195</v>
      </c>
      <c r="O466" s="1">
        <v>50036193</v>
      </c>
      <c r="P466" s="1" t="str">
        <f>"  شهرداري زازران"</f>
        <v xml:space="preserve">  شهرداري زازران</v>
      </c>
      <c r="Q466" s="1">
        <v>20</v>
      </c>
      <c r="R466" s="1" t="str">
        <f>"فروش داخلي - سازمان شهرداري ها و دهياري هاي كشور"</f>
        <v>فروش داخلي - سازمان شهرداري ها و دهياري هاي كشور</v>
      </c>
      <c r="S466" s="1" t="str">
        <f>"قرارداد فروش"</f>
        <v>قرارداد فروش</v>
      </c>
      <c r="T466" s="1" t="str">
        <f>"ندارد"</f>
        <v>ندارد</v>
      </c>
      <c r="U466" s="1" t="str">
        <f>"تعاوني جم گستر (1001 ج 89)"</f>
        <v>تعاوني جم گستر (1001 ج 89)</v>
      </c>
      <c r="V466" s="1">
        <v>962000046</v>
      </c>
      <c r="W466" s="1">
        <v>962000046</v>
      </c>
      <c r="X466" s="1" t="str">
        <f>"1396514467"</f>
        <v>1396514467</v>
      </c>
      <c r="Y466" s="1" t="str">
        <f>"96/07/03"</f>
        <v>96/07/03</v>
      </c>
      <c r="Z466" s="1" t="str">
        <f>"26789مرحله اول"</f>
        <v>26789مرحله اول</v>
      </c>
      <c r="AA466" s="1" t="str">
        <f>"شهرداريها"</f>
        <v>شهرداريها</v>
      </c>
      <c r="AB466" s="1" t="str">
        <f>"96/06/29"</f>
        <v>96/06/29</v>
      </c>
      <c r="AC466" s="1" t="str">
        <f>"استان اصفهان"</f>
        <v>استان اصفهان</v>
      </c>
      <c r="AD466" s="1" t="str">
        <f>"96/07/03"</f>
        <v>96/07/03</v>
      </c>
      <c r="AE466" s="1" t="str">
        <f>"تاييدشده"</f>
        <v>تاييدشده</v>
      </c>
      <c r="AF466" s="1" t="str">
        <f>""</f>
        <v/>
      </c>
      <c r="AG466" s="1" t="str">
        <f>""</f>
        <v/>
      </c>
      <c r="AH466" s="1" t="str">
        <f>""</f>
        <v/>
      </c>
      <c r="AI466" s="1" t="str">
        <f>""</f>
        <v/>
      </c>
      <c r="AJ466" s="1" t="str">
        <f>""</f>
        <v/>
      </c>
      <c r="AK466" s="1" t="str">
        <f>""</f>
        <v/>
      </c>
    </row>
    <row r="467" spans="1:37">
      <c r="A467" s="1">
        <v>36159</v>
      </c>
      <c r="B467" s="1">
        <v>962000436</v>
      </c>
      <c r="C467" s="1" t="str">
        <f>"تخليه اصفهان سميرم حناكيلومتر10جاده حناپادنا- جنب كارگاه توليد شن و ماسه نظري- كارخانه آسفالت شهرداري حنا"</f>
        <v>تخليه اصفهان سميرم حناكيلومتر10جاده حناپادنا- جنب كارگاه توليد شن و ماسه نظري- كارخانه آسفالت شهرداري حنا</v>
      </c>
      <c r="D467" s="1">
        <v>12820</v>
      </c>
      <c r="E467" s="1">
        <v>35343</v>
      </c>
      <c r="F467" s="1">
        <v>96</v>
      </c>
      <c r="G467" s="1">
        <v>816</v>
      </c>
      <c r="H467" s="1" t="str">
        <f>"96/09/20"</f>
        <v>96/09/20</v>
      </c>
      <c r="I467" s="1" t="str">
        <f>"كيلوگرم"</f>
        <v>كيلوگرم</v>
      </c>
      <c r="J467" s="1" t="str">
        <f>"0000000076"</f>
        <v>0000000076</v>
      </c>
      <c r="K467" s="1" t="str">
        <f>"قير 60/70 - فله"</f>
        <v>قير 60/70 - فله</v>
      </c>
      <c r="L467" s="1">
        <v>100</v>
      </c>
      <c r="M467" s="1" t="str">
        <f>"مخازن قير اصفهان"</f>
        <v>مخازن قير اصفهان</v>
      </c>
      <c r="N467" s="1">
        <v>10716</v>
      </c>
      <c r="O467" s="1">
        <v>50037758</v>
      </c>
      <c r="P467" s="1" t="str">
        <f>"  شهرداري كمه"</f>
        <v xml:space="preserve">  شهرداري كمه</v>
      </c>
      <c r="Q467" s="1">
        <v>20</v>
      </c>
      <c r="R467" s="1" t="str">
        <f>"فروش داخلي - سازمان شهرداري ها و دهياري هاي كشور"</f>
        <v>فروش داخلي - سازمان شهرداري ها و دهياري هاي كشور</v>
      </c>
      <c r="S467" s="1" t="str">
        <f>"قرارداد فروش"</f>
        <v>قرارداد فروش</v>
      </c>
      <c r="T467" s="1" t="str">
        <f>"ندارد"</f>
        <v>ندارد</v>
      </c>
      <c r="U467" s="1" t="str">
        <f>"تعاوني جم گستر (1001 ج 89)"</f>
        <v>تعاوني جم گستر (1001 ج 89)</v>
      </c>
      <c r="V467" s="1">
        <v>962000436</v>
      </c>
      <c r="W467" s="1">
        <v>962000436</v>
      </c>
      <c r="X467" s="1" t="str">
        <f>"1396529711"</f>
        <v>1396529711</v>
      </c>
      <c r="Y467" s="1" t="str">
        <f>"96/09/20"</f>
        <v>96/09/20</v>
      </c>
      <c r="Z467" s="1" t="str">
        <f>"37208مرحله دوم"</f>
        <v>37208مرحله دوم</v>
      </c>
      <c r="AA467" s="1" t="str">
        <f>"شهرداريها"</f>
        <v>شهرداريها</v>
      </c>
      <c r="AB467" s="1" t="str">
        <f>"96/09/05"</f>
        <v>96/09/05</v>
      </c>
      <c r="AC467" s="1" t="str">
        <f>"استان اصفهان"</f>
        <v>استان اصفهان</v>
      </c>
      <c r="AD467" s="1" t="str">
        <f>"96/09/13"</f>
        <v>96/09/13</v>
      </c>
      <c r="AE467" s="1" t="str">
        <f>"تاييدشده"</f>
        <v>تاييدشده</v>
      </c>
      <c r="AF467" s="1" t="str">
        <f>""</f>
        <v/>
      </c>
      <c r="AG467" s="1" t="str">
        <f>""</f>
        <v/>
      </c>
      <c r="AH467" s="1" t="str">
        <f>""</f>
        <v/>
      </c>
      <c r="AI467" s="1" t="str">
        <f>""</f>
        <v/>
      </c>
      <c r="AJ467" s="1" t="str">
        <f>""</f>
        <v/>
      </c>
      <c r="AK467" s="1" t="str">
        <f>""</f>
        <v/>
      </c>
    </row>
    <row r="468" spans="1:37">
      <c r="A468" s="1">
        <v>121270</v>
      </c>
      <c r="B468" s="1">
        <v>962000180</v>
      </c>
      <c r="C468" s="1" t="str">
        <f>"تخليه خراسان رضوي سنگ بست جنب كارخانه گچ رحيمي كارخانه آسفالت طوفان"</f>
        <v>تخليه خراسان رضوي سنگ بست جنب كارخانه گچ رحيمي كارخانه آسفالت طوفان</v>
      </c>
      <c r="D468" s="1">
        <v>9113</v>
      </c>
      <c r="E468" s="1">
        <v>121270</v>
      </c>
      <c r="F468" s="1">
        <v>96</v>
      </c>
      <c r="G468" s="1">
        <v>0</v>
      </c>
      <c r="H468" s="1" t="str">
        <f>"96/07/03"</f>
        <v>96/07/03</v>
      </c>
      <c r="I468" s="1" t="str">
        <f>"كيلوگرم"</f>
        <v>كيلوگرم</v>
      </c>
      <c r="J468" s="1" t="str">
        <f>"0000000076"</f>
        <v>0000000076</v>
      </c>
      <c r="K468" s="1" t="str">
        <f>"قير 60/70 - فله"</f>
        <v>قير 60/70 - فله</v>
      </c>
      <c r="L468" s="1">
        <v>100</v>
      </c>
      <c r="M468" s="1" t="str">
        <f>"مخازن قير اصفهان"</f>
        <v>مخازن قير اصفهان</v>
      </c>
      <c r="N468" s="1">
        <v>10720</v>
      </c>
      <c r="O468" s="1">
        <v>50036385</v>
      </c>
      <c r="P468" s="1" t="str">
        <f>"  شهرداري فرهادگرد"</f>
        <v xml:space="preserve">  شهرداري فرهادگرد</v>
      </c>
      <c r="Q468" s="1">
        <v>20</v>
      </c>
      <c r="R468" s="1" t="str">
        <f>"فروش داخلي - سازمان شهرداري ها و دهياري هاي كشور"</f>
        <v>فروش داخلي - سازمان شهرداري ها و دهياري هاي كشور</v>
      </c>
      <c r="S468" s="1" t="str">
        <f>"قرارداد فروش"</f>
        <v>قرارداد فروش</v>
      </c>
      <c r="T468" s="1" t="str">
        <f>"ندارد"</f>
        <v>ندارد</v>
      </c>
      <c r="U468" s="1" t="str">
        <f>"تعاوني جم گستر (1001 ج 89)"</f>
        <v>تعاوني جم گستر (1001 ج 89)</v>
      </c>
      <c r="V468" s="1">
        <v>962000180</v>
      </c>
      <c r="W468" s="1">
        <v>962000180</v>
      </c>
      <c r="X468" s="1" t="str">
        <f>"1396514467"</f>
        <v>1396514467</v>
      </c>
      <c r="Y468" s="1" t="str">
        <f>"96/07/03"</f>
        <v>96/07/03</v>
      </c>
      <c r="Z468" s="1" t="str">
        <f>"26757مرحله اول"</f>
        <v>26757مرحله اول</v>
      </c>
      <c r="AA468" s="1" t="str">
        <f>"شهرداريها"</f>
        <v>شهرداريها</v>
      </c>
      <c r="AB468" s="1" t="str">
        <f>"96/06/29"</f>
        <v>96/06/29</v>
      </c>
      <c r="AC468" s="1" t="str">
        <f>"خراسان رضوي"</f>
        <v>خراسان رضوي</v>
      </c>
      <c r="AD468" s="1" t="str">
        <f>"96/07/03"</f>
        <v>96/07/03</v>
      </c>
      <c r="AE468" s="1" t="str">
        <f>"اختتام"</f>
        <v>اختتام</v>
      </c>
      <c r="AF468" s="1" t="str">
        <f>""</f>
        <v/>
      </c>
      <c r="AG468" s="1" t="str">
        <f>""</f>
        <v/>
      </c>
      <c r="AH468" s="1" t="str">
        <f>""</f>
        <v/>
      </c>
      <c r="AI468" s="1" t="str">
        <f>""</f>
        <v/>
      </c>
      <c r="AJ468" s="1" t="str">
        <f>""</f>
        <v/>
      </c>
      <c r="AK468" s="1" t="str">
        <f>""</f>
        <v/>
      </c>
    </row>
    <row r="469" spans="1:37">
      <c r="A469" s="1">
        <v>15000</v>
      </c>
      <c r="B469" s="1">
        <v>966200611</v>
      </c>
      <c r="C469" s="1" t="str">
        <f>"تخليه- ياسوج-روستاي دارشاهي-کارخانه آسفالت شکوهي"</f>
        <v>تخليه- ياسوج-روستاي دارشاهي-کارخانه آسفالت شکوهي</v>
      </c>
      <c r="D469" s="1">
        <v>13350</v>
      </c>
      <c r="E469" s="1">
        <v>15000</v>
      </c>
      <c r="F469" s="1">
        <v>96</v>
      </c>
      <c r="G469" s="1">
        <v>0</v>
      </c>
      <c r="H469" s="1" t="str">
        <f>"96/12/09"</f>
        <v>96/12/09</v>
      </c>
      <c r="I469" s="1" t="str">
        <f>"كيلوگرم"</f>
        <v>كيلوگرم</v>
      </c>
      <c r="J469" s="1" t="str">
        <f>"0000000076"</f>
        <v>0000000076</v>
      </c>
      <c r="K469" s="1" t="str">
        <f>"قير 60/70 - فله"</f>
        <v>قير 60/70 - فله</v>
      </c>
      <c r="L469" s="1">
        <v>100</v>
      </c>
      <c r="M469" s="1" t="str">
        <f>"مخازن قير اصفهان"</f>
        <v>مخازن قير اصفهان</v>
      </c>
      <c r="N469" s="1">
        <v>11077</v>
      </c>
      <c r="O469" s="1">
        <v>50038670</v>
      </c>
      <c r="P469" s="1" t="str">
        <f>"  امير سازه بوير"</f>
        <v xml:space="preserve">  امير سازه بوير</v>
      </c>
      <c r="Q469" s="1">
        <v>62</v>
      </c>
      <c r="R469" s="1" t="str">
        <f>"فروش داخلي - سازمان بنيادمسكن انقلاب اسلامي"</f>
        <v>فروش داخلي - سازمان بنيادمسكن انقلاب اسلامي</v>
      </c>
      <c r="S469" s="1" t="str">
        <f>"قرارداد فروش"</f>
        <v>قرارداد فروش</v>
      </c>
      <c r="T469" s="1" t="str">
        <f>"ندارد"</f>
        <v>ندارد</v>
      </c>
      <c r="U469" s="1" t="str">
        <f>"غلام نجفي سيامك‌‌‌‌‌‌(1881082)"</f>
        <v>غلام نجفي سيامك‌‌‌‌‌‌(1881082)</v>
      </c>
      <c r="V469" s="1">
        <v>966200611</v>
      </c>
      <c r="W469" s="1">
        <v>966200611</v>
      </c>
      <c r="X469" s="1" t="str">
        <f>"1396551611"</f>
        <v>1396551611</v>
      </c>
      <c r="Y469" s="1" t="str">
        <f>"96/12/09"</f>
        <v>96/12/09</v>
      </c>
      <c r="Z469" s="1" t="str">
        <f>"55766/د"</f>
        <v>55766/د</v>
      </c>
      <c r="AA469" s="1" t="str">
        <f>"بنيادمسكن انقلاب اسلامي"</f>
        <v>بنيادمسكن انقلاب اسلامي</v>
      </c>
      <c r="AB469" s="1" t="str">
        <f>"96/12/08"</f>
        <v>96/12/08</v>
      </c>
      <c r="AC469" s="1" t="str">
        <f>"كهكيلويه و بوير احمد"</f>
        <v>كهكيلويه و بوير احمد</v>
      </c>
      <c r="AD469" s="1" t="str">
        <f>"96/12/09"</f>
        <v>96/12/09</v>
      </c>
      <c r="AE469" s="1" t="str">
        <f>"اختتام"</f>
        <v>اختتام</v>
      </c>
      <c r="AF469" s="1" t="str">
        <f>""</f>
        <v/>
      </c>
      <c r="AG469" s="1" t="str">
        <f>""</f>
        <v/>
      </c>
      <c r="AH469" s="1" t="str">
        <f>""</f>
        <v/>
      </c>
      <c r="AI469" s="1" t="str">
        <f>""</f>
        <v/>
      </c>
      <c r="AJ469" s="1" t="str">
        <f>""</f>
        <v/>
      </c>
      <c r="AK469" s="1" t="str">
        <f>""</f>
        <v/>
      </c>
    </row>
    <row r="470" spans="1:37">
      <c r="A470" s="1">
        <v>175000</v>
      </c>
      <c r="B470" s="1">
        <v>966300004</v>
      </c>
      <c r="C470" s="1" t="str">
        <f>"تخليه اصفهان جاده علويجه كيلومتر12كارخانه آسفالت افق راه ماندگار"</f>
        <v>تخليه اصفهان جاده علويجه كيلومتر12كارخانه آسفالت افق راه ماندگار</v>
      </c>
      <c r="D470" s="1">
        <v>9113</v>
      </c>
      <c r="E470" s="1">
        <v>174400</v>
      </c>
      <c r="F470" s="1">
        <v>96</v>
      </c>
      <c r="G470" s="1">
        <v>600</v>
      </c>
      <c r="H470" s="1" t="str">
        <f>"96/07/24"</f>
        <v>96/07/24</v>
      </c>
      <c r="I470" s="1" t="str">
        <f>"كيلوگرم"</f>
        <v>كيلوگرم</v>
      </c>
      <c r="J470" s="1" t="str">
        <f>"0000000076"</f>
        <v>0000000076</v>
      </c>
      <c r="K470" s="1" t="str">
        <f>"قير 60/70 - فله"</f>
        <v>قير 60/70 - فله</v>
      </c>
      <c r="L470" s="1">
        <v>100</v>
      </c>
      <c r="M470" s="1" t="str">
        <f>"مخازن قير اصفهان"</f>
        <v>مخازن قير اصفهان</v>
      </c>
      <c r="N470" s="1">
        <v>11098</v>
      </c>
      <c r="O470" s="1">
        <v>50036736</v>
      </c>
      <c r="P470" s="1" t="str">
        <f>"  اداره كل نوسازي توسعه وتجهيزمدارس استان اصفهان"</f>
        <v xml:space="preserve">  اداره كل نوسازي توسعه وتجهيزمدارس استان اصفهان</v>
      </c>
      <c r="Q470" s="1">
        <v>63</v>
      </c>
      <c r="R470" s="1" t="str">
        <f>"سازمان نوسازي،توسعه و تجهيز مدارس كشور"</f>
        <v>سازمان نوسازي،توسعه و تجهيز مدارس كشور</v>
      </c>
      <c r="S470" s="1" t="str">
        <f>"قرارداد فروش"</f>
        <v>قرارداد فروش</v>
      </c>
      <c r="T470" s="1" t="str">
        <f>"ندارد"</f>
        <v>ندارد</v>
      </c>
      <c r="U470" s="1" t="str">
        <f>"عزيزي صفر(1006ج 89)"</f>
        <v>عزيزي صفر(1006ج 89)</v>
      </c>
      <c r="V470" s="1">
        <v>966300004</v>
      </c>
      <c r="W470" s="1">
        <v>966300004</v>
      </c>
      <c r="X470" s="1" t="str">
        <f>"1396518903"</f>
        <v>1396518903</v>
      </c>
      <c r="Y470" s="1" t="str">
        <f>"96/07/24"</f>
        <v>96/07/24</v>
      </c>
      <c r="Z470" s="1" t="str">
        <f>"3-96/424-18870"</f>
        <v>3-96/424-18870</v>
      </c>
      <c r="AA470" s="1" t="str">
        <f>"سازمان نوسازي توسعه وتجهيزمدارس كشور"</f>
        <v>سازمان نوسازي توسعه وتجهيزمدارس كشور</v>
      </c>
      <c r="AB470" s="1" t="str">
        <f>"96/07/17"</f>
        <v>96/07/17</v>
      </c>
      <c r="AC470" s="1" t="str">
        <f>"استان اصفهان"</f>
        <v>استان اصفهان</v>
      </c>
      <c r="AD470" s="1" t="str">
        <f>"96/07/24"</f>
        <v>96/07/24</v>
      </c>
      <c r="AE470" s="1" t="str">
        <f>"اختتام"</f>
        <v>اختتام</v>
      </c>
      <c r="AF470" s="1" t="str">
        <f>""</f>
        <v/>
      </c>
      <c r="AG470" s="1" t="str">
        <f>""</f>
        <v/>
      </c>
      <c r="AH470" s="1" t="str">
        <f>""</f>
        <v/>
      </c>
      <c r="AI470" s="1" t="str">
        <f>""</f>
        <v/>
      </c>
      <c r="AJ470" s="1" t="str">
        <f>""</f>
        <v/>
      </c>
      <c r="AK470" s="1" t="str">
        <f>""</f>
        <v/>
      </c>
    </row>
    <row r="471" spans="1:37">
      <c r="A471" s="1">
        <v>145000</v>
      </c>
      <c r="B471" s="1">
        <v>966300007</v>
      </c>
      <c r="C471" s="1" t="str">
        <f>"تخليه اصفهان جاده سيمان سپاهان خيابان 11منطقه صنعتي شركت مقاوم راه زاينده رودكارخانه آسفالت راه آژند"</f>
        <v>تخليه اصفهان جاده سيمان سپاهان خيابان 11منطقه صنعتي شركت مقاوم راه زاينده رودكارخانه آسفالت راه آژند</v>
      </c>
      <c r="D471" s="1">
        <v>9416</v>
      </c>
      <c r="E471" s="1">
        <v>145000</v>
      </c>
      <c r="F471" s="1">
        <v>96</v>
      </c>
      <c r="G471" s="1">
        <v>0</v>
      </c>
      <c r="H471" s="1" t="str">
        <f>"96/08/03"</f>
        <v>96/08/03</v>
      </c>
      <c r="I471" s="1" t="str">
        <f>"كيلوگرم"</f>
        <v>كيلوگرم</v>
      </c>
      <c r="J471" s="1" t="str">
        <f>"0000000076"</f>
        <v>0000000076</v>
      </c>
      <c r="K471" s="1" t="str">
        <f>"قير 60/70 - فله"</f>
        <v>قير 60/70 - فله</v>
      </c>
      <c r="L471" s="1">
        <v>100</v>
      </c>
      <c r="M471" s="1" t="str">
        <f>"مخازن قير اصفهان"</f>
        <v>مخازن قير اصفهان</v>
      </c>
      <c r="N471" s="1">
        <v>11098</v>
      </c>
      <c r="O471" s="1">
        <v>50036890</v>
      </c>
      <c r="P471" s="1" t="str">
        <f>"  اداره كل نوسازي توسعه وتجهيزمدارس استان اصفهان"</f>
        <v xml:space="preserve">  اداره كل نوسازي توسعه وتجهيزمدارس استان اصفهان</v>
      </c>
      <c r="Q471" s="1">
        <v>63</v>
      </c>
      <c r="R471" s="1" t="str">
        <f>"سازمان نوسازي،توسعه و تجهيز مدارس كشور"</f>
        <v>سازمان نوسازي،توسعه و تجهيز مدارس كشور</v>
      </c>
      <c r="S471" s="1" t="str">
        <f>"قرارداد فروش"</f>
        <v>قرارداد فروش</v>
      </c>
      <c r="T471" s="1" t="str">
        <f>"ندارد"</f>
        <v>ندارد</v>
      </c>
      <c r="U471" s="1" t="str">
        <f>"سيفي پور عبدالمجيد(1009ج89)"</f>
        <v>سيفي پور عبدالمجيد(1009ج89)</v>
      </c>
      <c r="V471" s="1">
        <v>966300007</v>
      </c>
      <c r="W471" s="1">
        <v>966300007</v>
      </c>
      <c r="X471" s="1" t="str">
        <f>"1396521741"</f>
        <v>1396521741</v>
      </c>
      <c r="Y471" s="1" t="str">
        <f>"96/08/03"</f>
        <v>96/08/03</v>
      </c>
      <c r="Z471" s="1" t="str">
        <f>"3-96/422-20485"</f>
        <v>3-96/422-20485</v>
      </c>
      <c r="AA471" s="1" t="str">
        <f>"شهرداريها"</f>
        <v>شهرداريها</v>
      </c>
      <c r="AB471" s="1" t="str">
        <f>"96/08/02"</f>
        <v>96/08/02</v>
      </c>
      <c r="AC471" s="1" t="str">
        <f>"استان اصفهان"</f>
        <v>استان اصفهان</v>
      </c>
      <c r="AD471" s="1" t="str">
        <f>"96/08/03"</f>
        <v>96/08/03</v>
      </c>
      <c r="AE471" s="1" t="str">
        <f>"اختتام"</f>
        <v>اختتام</v>
      </c>
      <c r="AF471" s="1" t="str">
        <f>""</f>
        <v/>
      </c>
      <c r="AG471" s="1" t="str">
        <f>""</f>
        <v/>
      </c>
      <c r="AH471" s="1" t="str">
        <f>""</f>
        <v/>
      </c>
      <c r="AI471" s="1" t="str">
        <f>""</f>
        <v/>
      </c>
      <c r="AJ471" s="1" t="str">
        <f>""</f>
        <v/>
      </c>
      <c r="AK471" s="1" t="str">
        <f>""</f>
        <v/>
      </c>
    </row>
    <row r="472" spans="1:37">
      <c r="A472" s="1">
        <v>48000</v>
      </c>
      <c r="B472" s="1">
        <v>966300010</v>
      </c>
      <c r="C472" s="1" t="str">
        <f>"تخليه اصفهان جاده سيمان سپاهان خيابان 11منطقه صنعتي شركت مقاوم راه زاينده رودكارخانه آسفالت راه آژند"</f>
        <v>تخليه اصفهان جاده سيمان سپاهان خيابان 11منطقه صنعتي شركت مقاوم راه زاينده رودكارخانه آسفالت راه آژند</v>
      </c>
      <c r="D472" s="1">
        <v>9416</v>
      </c>
      <c r="E472" s="1">
        <v>46180</v>
      </c>
      <c r="F472" s="1">
        <v>96</v>
      </c>
      <c r="G472" s="1">
        <v>1820</v>
      </c>
      <c r="H472" s="1" t="str">
        <f>"96/08/13"</f>
        <v>96/08/13</v>
      </c>
      <c r="I472" s="1" t="str">
        <f>"كيلوگرم"</f>
        <v>كيلوگرم</v>
      </c>
      <c r="J472" s="1" t="str">
        <f>"0000000076"</f>
        <v>0000000076</v>
      </c>
      <c r="K472" s="1" t="str">
        <f>"قير 60/70 - فله"</f>
        <v>قير 60/70 - فله</v>
      </c>
      <c r="L472" s="1">
        <v>100</v>
      </c>
      <c r="M472" s="1" t="str">
        <f>"مخازن قير اصفهان"</f>
        <v>مخازن قير اصفهان</v>
      </c>
      <c r="N472" s="1">
        <v>11098</v>
      </c>
      <c r="O472" s="1">
        <v>50037026</v>
      </c>
      <c r="P472" s="1" t="str">
        <f>"  اداره كل نوسازي توسعه وتجهيزمدارس استان اصفهان"</f>
        <v xml:space="preserve">  اداره كل نوسازي توسعه وتجهيزمدارس استان اصفهان</v>
      </c>
      <c r="Q472" s="1">
        <v>63</v>
      </c>
      <c r="R472" s="1" t="str">
        <f>"سازمان نوسازي،توسعه و تجهيز مدارس كشور"</f>
        <v>سازمان نوسازي،توسعه و تجهيز مدارس كشور</v>
      </c>
      <c r="S472" s="1" t="str">
        <f>"قرارداد فروش"</f>
        <v>قرارداد فروش</v>
      </c>
      <c r="T472" s="1" t="str">
        <f>"ندارد"</f>
        <v>ندارد</v>
      </c>
      <c r="U472" s="1" t="str">
        <f>"سيفي پور عبدالمجيد(1009ج89)"</f>
        <v>سيفي پور عبدالمجيد(1009ج89)</v>
      </c>
      <c r="V472" s="1">
        <v>966300010</v>
      </c>
      <c r="W472" s="1">
        <v>966300010</v>
      </c>
      <c r="X472" s="1" t="str">
        <f>"1396523520"</f>
        <v>1396523520</v>
      </c>
      <c r="Y472" s="1" t="str">
        <f>"96/08/13"</f>
        <v>96/08/13</v>
      </c>
      <c r="Z472" s="1" t="str">
        <f>"3-96/422-21102"</f>
        <v>3-96/422-21102</v>
      </c>
      <c r="AA472" s="1" t="str">
        <f>"سازمان نوسازي توسعه وتجهيزمدارس كشور"</f>
        <v>سازمان نوسازي توسعه وتجهيزمدارس كشور</v>
      </c>
      <c r="AB472" s="1" t="str">
        <f>"96/08/09"</f>
        <v>96/08/09</v>
      </c>
      <c r="AC472" s="1" t="str">
        <f>"استان اصفهان"</f>
        <v>استان اصفهان</v>
      </c>
      <c r="AD472" s="1" t="str">
        <f>"96/08/13"</f>
        <v>96/08/13</v>
      </c>
      <c r="AE472" s="1" t="str">
        <f>"اختتام"</f>
        <v>اختتام</v>
      </c>
      <c r="AF472" s="1" t="str">
        <f>""</f>
        <v/>
      </c>
      <c r="AG472" s="1" t="str">
        <f>""</f>
        <v/>
      </c>
      <c r="AH472" s="1" t="str">
        <f>""</f>
        <v/>
      </c>
      <c r="AI472" s="1" t="str">
        <f>""</f>
        <v/>
      </c>
      <c r="AJ472" s="1" t="str">
        <f>""</f>
        <v/>
      </c>
      <c r="AK472" s="1" t="str">
        <f>""</f>
        <v/>
      </c>
    </row>
    <row r="473" spans="1:37">
      <c r="A473" s="1">
        <v>71000</v>
      </c>
      <c r="B473" s="1">
        <v>966300031</v>
      </c>
      <c r="C473" s="1" t="str">
        <f>"تخليه اصفهان اشترجان شهرك صنعتي اشترجان كارخانه آسفالت راه آژند-محمدعلي كمالي"</f>
        <v>تخليه اصفهان اشترجان شهرك صنعتي اشترجان كارخانه آسفالت راه آژند-محمدعلي كمالي</v>
      </c>
      <c r="D473" s="1">
        <v>12820</v>
      </c>
      <c r="E473" s="1">
        <v>70940</v>
      </c>
      <c r="F473" s="1">
        <v>96</v>
      </c>
      <c r="G473" s="1">
        <v>60</v>
      </c>
      <c r="H473" s="1" t="str">
        <f>"96/09/12"</f>
        <v>96/09/12</v>
      </c>
      <c r="I473" s="1" t="str">
        <f>"كيلوگرم"</f>
        <v>كيلوگرم</v>
      </c>
      <c r="J473" s="1" t="str">
        <f>"0000000076"</f>
        <v>0000000076</v>
      </c>
      <c r="K473" s="1" t="str">
        <f>"قير 60/70 - فله"</f>
        <v>قير 60/70 - فله</v>
      </c>
      <c r="L473" s="1">
        <v>100</v>
      </c>
      <c r="M473" s="1" t="str">
        <f>"مخازن قير اصفهان"</f>
        <v>مخازن قير اصفهان</v>
      </c>
      <c r="N473" s="1">
        <v>11098</v>
      </c>
      <c r="O473" s="1">
        <v>50037416</v>
      </c>
      <c r="P473" s="1" t="str">
        <f>"  اداره كل نوسازي توسعه وتجهيزمدارس استان اصفهان"</f>
        <v xml:space="preserve">  اداره كل نوسازي توسعه وتجهيزمدارس استان اصفهان</v>
      </c>
      <c r="Q473" s="1">
        <v>63</v>
      </c>
      <c r="R473" s="1" t="str">
        <f>"سازمان نوسازي،توسعه و تجهيز مدارس كشور"</f>
        <v>سازمان نوسازي،توسعه و تجهيز مدارس كشور</v>
      </c>
      <c r="S473" s="1" t="str">
        <f>"قرارداد فروش"</f>
        <v>قرارداد فروش</v>
      </c>
      <c r="T473" s="1" t="str">
        <f>"ندارد"</f>
        <v>ندارد</v>
      </c>
      <c r="U473" s="1" t="str">
        <f>"سيفي پور عبدالمجيد(1009ج89)"</f>
        <v>سيفي پور عبدالمجيد(1009ج89)</v>
      </c>
      <c r="V473" s="1">
        <v>966300031</v>
      </c>
      <c r="W473" s="1">
        <v>966300031</v>
      </c>
      <c r="X473" s="1" t="str">
        <f>"1396529404"</f>
        <v>1396529404</v>
      </c>
      <c r="Y473" s="1" t="str">
        <f>"96/09/12"</f>
        <v>96/09/12</v>
      </c>
      <c r="Z473" s="1" t="str">
        <f>"3-96/424-23321"</f>
        <v>3-96/424-23321</v>
      </c>
      <c r="AA473" s="1" t="str">
        <f>"سازمان نوسازي توسعه وتجهيزمدارس كشور"</f>
        <v>سازمان نوسازي توسعه وتجهيزمدارس كشور</v>
      </c>
      <c r="AB473" s="1" t="str">
        <f>"96/09/07"</f>
        <v>96/09/07</v>
      </c>
      <c r="AC473" s="1" t="str">
        <f>"استان اصفهان"</f>
        <v>استان اصفهان</v>
      </c>
      <c r="AD473" s="1" t="str">
        <f>"96/09/11"</f>
        <v>96/09/11</v>
      </c>
      <c r="AE473" s="1" t="str">
        <f>"اختتام"</f>
        <v>اختتام</v>
      </c>
      <c r="AF473" s="1" t="str">
        <f>""</f>
        <v/>
      </c>
      <c r="AG473" s="1" t="str">
        <f>""</f>
        <v/>
      </c>
      <c r="AH473" s="1" t="str">
        <f>""</f>
        <v/>
      </c>
      <c r="AI473" s="1" t="str">
        <f>""</f>
        <v/>
      </c>
      <c r="AJ473" s="1" t="str">
        <f>""</f>
        <v/>
      </c>
      <c r="AK473" s="1" t="str">
        <f>""</f>
        <v/>
      </c>
    </row>
    <row r="474" spans="1:37">
      <c r="A474" s="1">
        <v>47000</v>
      </c>
      <c r="B474" s="1">
        <v>966300043</v>
      </c>
      <c r="C474" s="1" t="str">
        <f>"تخليه اصفهان اشترجان شهرك صنعتي اشترجان شركت افروزشهركردكارخانه آسفالت راه آژند"</f>
        <v>تخليه اصفهان اشترجان شهرك صنعتي اشترجان شركت افروزشهركردكارخانه آسفالت راه آژند</v>
      </c>
      <c r="D474" s="1">
        <v>12820</v>
      </c>
      <c r="E474" s="1">
        <v>46540</v>
      </c>
      <c r="F474" s="1">
        <v>96</v>
      </c>
      <c r="G474" s="1">
        <v>460</v>
      </c>
      <c r="H474" s="1" t="str">
        <f>"96/09/26"</f>
        <v>96/09/26</v>
      </c>
      <c r="I474" s="1" t="str">
        <f>"كيلوگرم"</f>
        <v>كيلوگرم</v>
      </c>
      <c r="J474" s="1" t="str">
        <f>"0000000076"</f>
        <v>0000000076</v>
      </c>
      <c r="K474" s="1" t="str">
        <f>"قير 60/70 - فله"</f>
        <v>قير 60/70 - فله</v>
      </c>
      <c r="L474" s="1">
        <v>100</v>
      </c>
      <c r="M474" s="1" t="str">
        <f>"مخازن قير اصفهان"</f>
        <v>مخازن قير اصفهان</v>
      </c>
      <c r="N474" s="1">
        <v>11098</v>
      </c>
      <c r="O474" s="1">
        <v>50037889</v>
      </c>
      <c r="P474" s="1" t="str">
        <f>"  اداره كل نوسازي توسعه وتجهيزمدارس استان اصفهان"</f>
        <v xml:space="preserve">  اداره كل نوسازي توسعه وتجهيزمدارس استان اصفهان</v>
      </c>
      <c r="Q474" s="1">
        <v>63</v>
      </c>
      <c r="R474" s="1" t="str">
        <f>"سازمان نوسازي،توسعه و تجهيز مدارس كشور"</f>
        <v>سازمان نوسازي،توسعه و تجهيز مدارس كشور</v>
      </c>
      <c r="S474" s="1" t="str">
        <f>"قرارداد فروش"</f>
        <v>قرارداد فروش</v>
      </c>
      <c r="T474" s="1" t="str">
        <f>"ندارد"</f>
        <v>ندارد</v>
      </c>
      <c r="U474" s="1" t="str">
        <f>"سيفي پور عبدالمجيد(1009ج89)"</f>
        <v>سيفي پور عبدالمجيد(1009ج89)</v>
      </c>
      <c r="V474" s="1">
        <v>966300043</v>
      </c>
      <c r="W474" s="1">
        <v>966300043</v>
      </c>
      <c r="X474" s="1" t="str">
        <f>"1396532935"</f>
        <v>1396532935</v>
      </c>
      <c r="Y474" s="1" t="str">
        <f>"96/09/26"</f>
        <v>96/09/26</v>
      </c>
      <c r="Z474" s="1" t="str">
        <f>"3-96/424-24754"</f>
        <v>3-96/424-24754</v>
      </c>
      <c r="AA474" s="1" t="str">
        <f>"سازمان نوسازي توسعه وتجهيزمدارس كشور"</f>
        <v>سازمان نوسازي توسعه وتجهيزمدارس كشور</v>
      </c>
      <c r="AB474" s="1" t="str">
        <f>"96/09/21"</f>
        <v>96/09/21</v>
      </c>
      <c r="AC474" s="1" t="str">
        <f>"استان اصفهان"</f>
        <v>استان اصفهان</v>
      </c>
      <c r="AD474" s="1" t="str">
        <f>"96/09/26"</f>
        <v>96/09/26</v>
      </c>
      <c r="AE474" s="1" t="str">
        <f>"اختتام"</f>
        <v>اختتام</v>
      </c>
      <c r="AF474" s="1" t="str">
        <f>""</f>
        <v/>
      </c>
      <c r="AG474" s="1" t="str">
        <f>""</f>
        <v/>
      </c>
      <c r="AH474" s="1" t="str">
        <f>""</f>
        <v/>
      </c>
      <c r="AI474" s="1" t="str">
        <f>""</f>
        <v/>
      </c>
      <c r="AJ474" s="1" t="str">
        <f>""</f>
        <v/>
      </c>
      <c r="AK474" s="1" t="str">
        <f>""</f>
        <v/>
      </c>
    </row>
    <row r="475" spans="1:37">
      <c r="A475" s="1">
        <v>42000</v>
      </c>
      <c r="B475" s="1">
        <v>966300047</v>
      </c>
      <c r="C475" s="1" t="str">
        <f>"تخليه اصفهان منطقه صنعتي اشترجان خيابان 11شركت آرشيت عمران پارس كارخانه آسفالت راه آژند"</f>
        <v>تخليه اصفهان منطقه صنعتي اشترجان خيابان 11شركت آرشيت عمران پارس كارخانه آسفالت راه آژند</v>
      </c>
      <c r="D475" s="1">
        <v>12850</v>
      </c>
      <c r="E475" s="1">
        <v>42000</v>
      </c>
      <c r="F475" s="1">
        <v>96</v>
      </c>
      <c r="G475" s="1">
        <v>0</v>
      </c>
      <c r="H475" s="1" t="str">
        <f>"96/10/05"</f>
        <v>96/10/05</v>
      </c>
      <c r="I475" s="1" t="str">
        <f>"كيلوگرم"</f>
        <v>كيلوگرم</v>
      </c>
      <c r="J475" s="1" t="str">
        <f>"0000000076"</f>
        <v>0000000076</v>
      </c>
      <c r="K475" s="1" t="str">
        <f>"قير 60/70 - فله"</f>
        <v>قير 60/70 - فله</v>
      </c>
      <c r="L475" s="1">
        <v>100</v>
      </c>
      <c r="M475" s="1" t="str">
        <f>"مخازن قير اصفهان"</f>
        <v>مخازن قير اصفهان</v>
      </c>
      <c r="N475" s="1">
        <v>11098</v>
      </c>
      <c r="O475" s="1">
        <v>50037977</v>
      </c>
      <c r="P475" s="1" t="str">
        <f>"  اداره كل نوسازي توسعه وتجهيزمدارس استان اصفهان"</f>
        <v xml:space="preserve">  اداره كل نوسازي توسعه وتجهيزمدارس استان اصفهان</v>
      </c>
      <c r="Q475" s="1">
        <v>63</v>
      </c>
      <c r="R475" s="1" t="str">
        <f>"سازمان نوسازي،توسعه و تجهيز مدارس كشور"</f>
        <v>سازمان نوسازي،توسعه و تجهيز مدارس كشور</v>
      </c>
      <c r="S475" s="1" t="str">
        <f>"قرارداد فروش"</f>
        <v>قرارداد فروش</v>
      </c>
      <c r="T475" s="1" t="str">
        <f>"ندارد"</f>
        <v>ندارد</v>
      </c>
      <c r="U475" s="1" t="str">
        <f>"سيفي پور عبدالمجيد(1009ج89)"</f>
        <v>سيفي پور عبدالمجيد(1009ج89)</v>
      </c>
      <c r="V475" s="1">
        <v>966300047</v>
      </c>
      <c r="W475" s="1">
        <v>966300047</v>
      </c>
      <c r="X475" s="1" t="str">
        <f>"1396535052"</f>
        <v>1396535052</v>
      </c>
      <c r="Y475" s="1" t="str">
        <f>"96/10/05"</f>
        <v>96/10/05</v>
      </c>
      <c r="Z475" s="1" t="str">
        <f>"3-96/424-25868"</f>
        <v>3-96/424-25868</v>
      </c>
      <c r="AA475" s="1" t="str">
        <f>"سازمان نوسازي توسعه وتجهيزمدارس كشور"</f>
        <v>سازمان نوسازي توسعه وتجهيزمدارس كشور</v>
      </c>
      <c r="AB475" s="1" t="str">
        <f>"96/09/29"</f>
        <v>96/09/29</v>
      </c>
      <c r="AC475" s="1" t="str">
        <f>"استان اصفهان"</f>
        <v>استان اصفهان</v>
      </c>
      <c r="AD475" s="1" t="str">
        <f>"96/10/05"</f>
        <v>96/10/05</v>
      </c>
      <c r="AE475" s="1" t="str">
        <f>"اختتام"</f>
        <v>اختتام</v>
      </c>
      <c r="AF475" s="1" t="str">
        <f>""</f>
        <v/>
      </c>
      <c r="AG475" s="1" t="str">
        <f>""</f>
        <v/>
      </c>
      <c r="AH475" s="1" t="str">
        <f>""</f>
        <v/>
      </c>
      <c r="AI475" s="1" t="str">
        <f>""</f>
        <v/>
      </c>
      <c r="AJ475" s="1" t="str">
        <f>""</f>
        <v/>
      </c>
      <c r="AK475" s="1" t="str">
        <f>""</f>
        <v/>
      </c>
    </row>
    <row r="476" spans="1:37">
      <c r="A476" s="1">
        <v>15000</v>
      </c>
      <c r="B476" s="1">
        <v>966200617</v>
      </c>
      <c r="C476" s="1" t="str">
        <f>"تخليه - کهگيلويه - بهبهان-روستاي خيرآباد-کارخانه آسفالت مظفر"</f>
        <v>تخليه - کهگيلويه - بهبهان-روستاي خيرآباد-کارخانه آسفالت مظفر</v>
      </c>
      <c r="D476" s="1">
        <v>13350</v>
      </c>
      <c r="E476" s="1">
        <v>14580</v>
      </c>
      <c r="F476" s="1">
        <v>96</v>
      </c>
      <c r="G476" s="1">
        <v>420</v>
      </c>
      <c r="H476" s="1" t="str">
        <f>"96/12/09"</f>
        <v>96/12/09</v>
      </c>
      <c r="I476" s="1" t="str">
        <f>"كيلوگرم"</f>
        <v>كيلوگرم</v>
      </c>
      <c r="J476" s="1" t="str">
        <f>"0000000076"</f>
        <v>0000000076</v>
      </c>
      <c r="K476" s="1" t="str">
        <f>"قير 60/70 - فله"</f>
        <v>قير 60/70 - فله</v>
      </c>
      <c r="L476" s="1">
        <v>100</v>
      </c>
      <c r="M476" s="1" t="str">
        <f>"مخازن قير اصفهان"</f>
        <v>مخازن قير اصفهان</v>
      </c>
      <c r="N476" s="1">
        <v>11199</v>
      </c>
      <c r="O476" s="1">
        <v>50038676</v>
      </c>
      <c r="P476" s="1" t="str">
        <f>"  ماهان گذر ارجان"</f>
        <v xml:space="preserve">  ماهان گذر ارجان</v>
      </c>
      <c r="Q476" s="1">
        <v>62</v>
      </c>
      <c r="R476" s="1" t="str">
        <f>"فروش داخلي - سازمان بنيادمسكن انقلاب اسلامي"</f>
        <v>فروش داخلي - سازمان بنيادمسكن انقلاب اسلامي</v>
      </c>
      <c r="S476" s="1" t="str">
        <f>"قرارداد فروش"</f>
        <v>قرارداد فروش</v>
      </c>
      <c r="T476" s="1" t="str">
        <f>"ندارد"</f>
        <v>ندارد</v>
      </c>
      <c r="U476" s="1" t="str">
        <f>"غلام نجفي سيامك‌‌‌‌‌‌(1881082)"</f>
        <v>غلام نجفي سيامك‌‌‌‌‌‌(1881082)</v>
      </c>
      <c r="V476" s="1">
        <v>966200617</v>
      </c>
      <c r="W476" s="1">
        <v>966200617</v>
      </c>
      <c r="X476" s="1" t="str">
        <f>"1396551611"</f>
        <v>1396551611</v>
      </c>
      <c r="Y476" s="1" t="str">
        <f>"96/12/09"</f>
        <v>96/12/09</v>
      </c>
      <c r="Z476" s="1" t="str">
        <f>"55774/د"</f>
        <v>55774/د</v>
      </c>
      <c r="AA476" s="1" t="str">
        <f>"بنيادمسكن انقلاب اسلامي"</f>
        <v>بنيادمسكن انقلاب اسلامي</v>
      </c>
      <c r="AB476" s="1" t="str">
        <f>"96/12/08"</f>
        <v>96/12/08</v>
      </c>
      <c r="AC476" s="1" t="str">
        <f>"كهكيلويه و بوير احمد"</f>
        <v>كهكيلويه و بوير احمد</v>
      </c>
      <c r="AD476" s="1" t="str">
        <f>"96/12/09"</f>
        <v>96/12/09</v>
      </c>
      <c r="AE476" s="1" t="str">
        <f>"اختتام"</f>
        <v>اختتام</v>
      </c>
      <c r="AF476" s="1" t="str">
        <f>""</f>
        <v/>
      </c>
      <c r="AG476" s="1" t="str">
        <f>""</f>
        <v/>
      </c>
      <c r="AH476" s="1" t="str">
        <f>""</f>
        <v/>
      </c>
      <c r="AI476" s="1" t="str">
        <f>""</f>
        <v/>
      </c>
      <c r="AJ476" s="1" t="str">
        <f>""</f>
        <v/>
      </c>
      <c r="AK476" s="1" t="str">
        <f>""</f>
        <v/>
      </c>
    </row>
    <row r="477" spans="1:37">
      <c r="A477" s="1">
        <v>67232</v>
      </c>
      <c r="B477" s="1">
        <v>962000495</v>
      </c>
      <c r="C477" s="1" t="str">
        <f>"تخليه: كهگيلويه و بويراحمد-چرام -كارخانه آسفالت شهرداري چرام"</f>
        <v>تخليه: كهگيلويه و بويراحمد-چرام -كارخانه آسفالت شهرداري چرام</v>
      </c>
      <c r="D477" s="1">
        <v>12820</v>
      </c>
      <c r="E477" s="1">
        <v>67232</v>
      </c>
      <c r="F477" s="1">
        <v>96</v>
      </c>
      <c r="G477" s="1">
        <v>0</v>
      </c>
      <c r="H477" s="1" t="str">
        <f>"96/09/20"</f>
        <v>96/09/20</v>
      </c>
      <c r="I477" s="1" t="str">
        <f>"كيلوگرم"</f>
        <v>كيلوگرم</v>
      </c>
      <c r="J477" s="1" t="str">
        <f>"0000000076"</f>
        <v>0000000076</v>
      </c>
      <c r="K477" s="1" t="str">
        <f>"قير 60/70 - فله"</f>
        <v>قير 60/70 - فله</v>
      </c>
      <c r="L477" s="1">
        <v>100</v>
      </c>
      <c r="M477" s="1" t="str">
        <f>"مخازن قير اصفهان"</f>
        <v>مخازن قير اصفهان</v>
      </c>
      <c r="N477" s="1">
        <v>11204</v>
      </c>
      <c r="O477" s="1">
        <v>50037872</v>
      </c>
      <c r="P477" s="1" t="str">
        <f>"  شهرداري چرام"</f>
        <v xml:space="preserve">  شهرداري چرام</v>
      </c>
      <c r="Q477" s="1">
        <v>20</v>
      </c>
      <c r="R477" s="1" t="str">
        <f>"فروش داخلي - سازمان شهرداري ها و دهياري هاي كشور"</f>
        <v>فروش داخلي - سازمان شهرداري ها و دهياري هاي كشور</v>
      </c>
      <c r="S477" s="1" t="str">
        <f>"قرارداد فروش"</f>
        <v>قرارداد فروش</v>
      </c>
      <c r="T477" s="1" t="str">
        <f>"ندارد"</f>
        <v>ندارد</v>
      </c>
      <c r="U477" s="1" t="str">
        <f>"تعاوني جم گستر (1001 ج 89)"</f>
        <v>تعاوني جم گستر (1001 ج 89)</v>
      </c>
      <c r="V477" s="1">
        <v>962000495</v>
      </c>
      <c r="W477" s="1">
        <v>962000495</v>
      </c>
      <c r="X477" s="1" t="str">
        <f>"1396529711"</f>
        <v>1396529711</v>
      </c>
      <c r="Y477" s="1" t="str">
        <f>"96/09/20"</f>
        <v>96/09/20</v>
      </c>
      <c r="Z477" s="1" t="str">
        <f>"38282مرحله دوم"</f>
        <v>38282مرحله دوم</v>
      </c>
      <c r="AA477" s="1" t="str">
        <f>"شهرداريها"</f>
        <v>شهرداريها</v>
      </c>
      <c r="AB477" s="1" t="str">
        <f>"96/09/11"</f>
        <v>96/09/11</v>
      </c>
      <c r="AC477" s="1" t="str">
        <f>"كهكيلويه و بوير احمد"</f>
        <v>كهكيلويه و بوير احمد</v>
      </c>
      <c r="AD477" s="1" t="str">
        <f>"96/09/13"</f>
        <v>96/09/13</v>
      </c>
      <c r="AE477" s="1" t="str">
        <f>"اختتام"</f>
        <v>اختتام</v>
      </c>
      <c r="AF477" s="1" t="str">
        <f>""</f>
        <v/>
      </c>
      <c r="AG477" s="1" t="str">
        <f>""</f>
        <v/>
      </c>
      <c r="AH477" s="1" t="str">
        <f>""</f>
        <v/>
      </c>
      <c r="AI477" s="1" t="str">
        <f>""</f>
        <v/>
      </c>
      <c r="AJ477" s="1" t="str">
        <f>""</f>
        <v/>
      </c>
      <c r="AK477" s="1" t="str">
        <f>""</f>
        <v/>
      </c>
    </row>
    <row r="478" spans="1:37">
      <c r="A478" s="1">
        <v>122827</v>
      </c>
      <c r="B478" s="1">
        <v>962000209</v>
      </c>
      <c r="C478" s="1" t="str">
        <f>"تخليه - کهگيلويه و بويراحمد-ياسوج-دارشاهي-کارخانه آسفالت رحمان آشنا"</f>
        <v>تخليه - کهگيلويه و بويراحمد-ياسوج-دارشاهي-کارخانه آسفالت رحمان آشنا</v>
      </c>
      <c r="D478" s="1">
        <v>9113</v>
      </c>
      <c r="E478" s="1">
        <v>122827</v>
      </c>
      <c r="F478" s="1">
        <v>96</v>
      </c>
      <c r="G478" s="1">
        <v>0</v>
      </c>
      <c r="H478" s="1" t="str">
        <f>"96/07/03"</f>
        <v>96/07/03</v>
      </c>
      <c r="I478" s="1" t="str">
        <f>"كيلوگرم"</f>
        <v>كيلوگرم</v>
      </c>
      <c r="J478" s="1" t="str">
        <f>"0000000076"</f>
        <v>0000000076</v>
      </c>
      <c r="K478" s="1" t="str">
        <f>"قير 60/70 - فله"</f>
        <v>قير 60/70 - فله</v>
      </c>
      <c r="L478" s="1">
        <v>100</v>
      </c>
      <c r="M478" s="1" t="str">
        <f>"مخازن قير اصفهان"</f>
        <v>مخازن قير اصفهان</v>
      </c>
      <c r="N478" s="1">
        <v>11208</v>
      </c>
      <c r="O478" s="1">
        <v>50036445</v>
      </c>
      <c r="P478" s="1" t="str">
        <f>"  شهرداري چيتاب"</f>
        <v xml:space="preserve">  شهرداري چيتاب</v>
      </c>
      <c r="Q478" s="1">
        <v>20</v>
      </c>
      <c r="R478" s="1" t="str">
        <f>"فروش داخلي - سازمان شهرداري ها و دهياري هاي كشور"</f>
        <v>فروش داخلي - سازمان شهرداري ها و دهياري هاي كشور</v>
      </c>
      <c r="S478" s="1" t="str">
        <f>"قرارداد فروش"</f>
        <v>قرارداد فروش</v>
      </c>
      <c r="T478" s="1" t="str">
        <f>"ندارد"</f>
        <v>ندارد</v>
      </c>
      <c r="U478" s="1" t="str">
        <f>"تعاوني جم گستر (1001 ج 89)"</f>
        <v>تعاوني جم گستر (1001 ج 89)</v>
      </c>
      <c r="V478" s="1">
        <v>962000209</v>
      </c>
      <c r="W478" s="1">
        <v>962000209</v>
      </c>
      <c r="X478" s="1" t="str">
        <f>"1396514467"</f>
        <v>1396514467</v>
      </c>
      <c r="Y478" s="1" t="str">
        <f>"96/07/03"</f>
        <v>96/07/03</v>
      </c>
      <c r="Z478" s="1" t="str">
        <f>"26748مرحله اول"</f>
        <v>26748مرحله اول</v>
      </c>
      <c r="AA478" s="1" t="str">
        <f>"شهرداريها"</f>
        <v>شهرداريها</v>
      </c>
      <c r="AB478" s="1" t="str">
        <f>"96/06/29"</f>
        <v>96/06/29</v>
      </c>
      <c r="AC478" s="1" t="str">
        <f>"كهكيلويه و بوير احمد"</f>
        <v>كهكيلويه و بوير احمد</v>
      </c>
      <c r="AD478" s="1" t="str">
        <f>"96/07/03"</f>
        <v>96/07/03</v>
      </c>
      <c r="AE478" s="1" t="str">
        <f>"اختتام"</f>
        <v>اختتام</v>
      </c>
      <c r="AF478" s="1" t="str">
        <f>""</f>
        <v/>
      </c>
      <c r="AG478" s="1" t="str">
        <f>""</f>
        <v/>
      </c>
      <c r="AH478" s="1" t="str">
        <f>""</f>
        <v/>
      </c>
      <c r="AI478" s="1" t="str">
        <f>""</f>
        <v/>
      </c>
      <c r="AJ478" s="1" t="str">
        <f>""</f>
        <v/>
      </c>
      <c r="AK478" s="1" t="str">
        <f>""</f>
        <v/>
      </c>
    </row>
    <row r="479" spans="1:37">
      <c r="A479" s="1">
        <v>43655</v>
      </c>
      <c r="B479" s="1">
        <v>962000490</v>
      </c>
      <c r="C479" s="1" t="str">
        <f>"تخليه - کهگيلويه و بويراحمد-ياسوج-دارشاهي-کارخانه آسفالت رحمان آشنا"</f>
        <v>تخليه - کهگيلويه و بويراحمد-ياسوج-دارشاهي-کارخانه آسفالت رحمان آشنا</v>
      </c>
      <c r="D479" s="1">
        <v>12820</v>
      </c>
      <c r="E479" s="1">
        <v>42353</v>
      </c>
      <c r="F479" s="1">
        <v>96</v>
      </c>
      <c r="G479" s="1">
        <v>1302</v>
      </c>
      <c r="H479" s="1" t="str">
        <f>"96/09/20"</f>
        <v>96/09/20</v>
      </c>
      <c r="I479" s="1" t="str">
        <f>"كيلوگرم"</f>
        <v>كيلوگرم</v>
      </c>
      <c r="J479" s="1" t="str">
        <f>"0000000076"</f>
        <v>0000000076</v>
      </c>
      <c r="K479" s="1" t="str">
        <f>"قير 60/70 - فله"</f>
        <v>قير 60/70 - فله</v>
      </c>
      <c r="L479" s="1">
        <v>100</v>
      </c>
      <c r="M479" s="1" t="str">
        <f>"مخازن قير اصفهان"</f>
        <v>مخازن قير اصفهان</v>
      </c>
      <c r="N479" s="1">
        <v>11208</v>
      </c>
      <c r="O479" s="1">
        <v>50037865</v>
      </c>
      <c r="P479" s="1" t="str">
        <f>"  شهرداري چيتاب"</f>
        <v xml:space="preserve">  شهرداري چيتاب</v>
      </c>
      <c r="Q479" s="1">
        <v>20</v>
      </c>
      <c r="R479" s="1" t="str">
        <f>"فروش داخلي - سازمان شهرداري ها و دهياري هاي كشور"</f>
        <v>فروش داخلي - سازمان شهرداري ها و دهياري هاي كشور</v>
      </c>
      <c r="S479" s="1" t="str">
        <f>"قرارداد فروش"</f>
        <v>قرارداد فروش</v>
      </c>
      <c r="T479" s="1" t="str">
        <f>"ندارد"</f>
        <v>ندارد</v>
      </c>
      <c r="U479" s="1" t="str">
        <f>"تعاوني جم گستر (1001 ج 89)"</f>
        <v>تعاوني جم گستر (1001 ج 89)</v>
      </c>
      <c r="V479" s="1">
        <v>962000490</v>
      </c>
      <c r="W479" s="1">
        <v>962000490</v>
      </c>
      <c r="X479" s="1" t="str">
        <f>"1396529711"</f>
        <v>1396529711</v>
      </c>
      <c r="Y479" s="1" t="str">
        <f>"96/09/20"</f>
        <v>96/09/20</v>
      </c>
      <c r="Z479" s="1" t="str">
        <f>"38299مرحله دوم"</f>
        <v>38299مرحله دوم</v>
      </c>
      <c r="AA479" s="1" t="str">
        <f>"شهرداريها"</f>
        <v>شهرداريها</v>
      </c>
      <c r="AB479" s="1" t="str">
        <f>"96/09/11"</f>
        <v>96/09/11</v>
      </c>
      <c r="AC479" s="1" t="str">
        <f>"كهكيلويه و بوير احمد"</f>
        <v>كهكيلويه و بوير احمد</v>
      </c>
      <c r="AD479" s="1" t="str">
        <f>"96/09/13"</f>
        <v>96/09/13</v>
      </c>
      <c r="AE479" s="1" t="str">
        <f>"تاييدشده"</f>
        <v>تاييدشده</v>
      </c>
      <c r="AF479" s="1" t="str">
        <f>""</f>
        <v/>
      </c>
      <c r="AG479" s="1" t="str">
        <f>""</f>
        <v/>
      </c>
      <c r="AH479" s="1" t="str">
        <f>""</f>
        <v/>
      </c>
      <c r="AI479" s="1" t="str">
        <f>""</f>
        <v/>
      </c>
      <c r="AJ479" s="1" t="str">
        <f>""</f>
        <v/>
      </c>
      <c r="AK479" s="1" t="str">
        <f>""</f>
        <v/>
      </c>
    </row>
    <row r="480" spans="1:37">
      <c r="A480" s="1">
        <v>42000</v>
      </c>
      <c r="B480" s="1">
        <v>966300050</v>
      </c>
      <c r="C480" s="1" t="str">
        <f>"تخليه اصفهان اشترجان شهرك صنعتي اشترجان شركت بناراه شمس كارخانه آسفالت راه آژند"</f>
        <v>تخليه اصفهان اشترجان شهرك صنعتي اشترجان شركت بناراه شمس كارخانه آسفالت راه آژند</v>
      </c>
      <c r="D480" s="1">
        <v>12850</v>
      </c>
      <c r="E480" s="1">
        <v>41660</v>
      </c>
      <c r="F480" s="1">
        <v>96</v>
      </c>
      <c r="G480" s="1">
        <v>340</v>
      </c>
      <c r="H480" s="1" t="str">
        <f>"96/10/11"</f>
        <v>96/10/11</v>
      </c>
      <c r="I480" s="1" t="str">
        <f>"كيلوگرم"</f>
        <v>كيلوگرم</v>
      </c>
      <c r="J480" s="1" t="str">
        <f>"0000000076"</f>
        <v>0000000076</v>
      </c>
      <c r="K480" s="1" t="str">
        <f>"قير 60/70 - فله"</f>
        <v>قير 60/70 - فله</v>
      </c>
      <c r="L480" s="1">
        <v>100</v>
      </c>
      <c r="M480" s="1" t="str">
        <f>"مخازن قير اصفهان"</f>
        <v>مخازن قير اصفهان</v>
      </c>
      <c r="N480" s="1">
        <v>11098</v>
      </c>
      <c r="O480" s="1">
        <v>50038023</v>
      </c>
      <c r="P480" s="1" t="str">
        <f>"  اداره كل نوسازي توسعه وتجهيزمدارس استان اصفهان"</f>
        <v xml:space="preserve">  اداره كل نوسازي توسعه وتجهيزمدارس استان اصفهان</v>
      </c>
      <c r="Q480" s="1">
        <v>63</v>
      </c>
      <c r="R480" s="1" t="str">
        <f>"سازمان نوسازي،توسعه و تجهيز مدارس كشور"</f>
        <v>سازمان نوسازي،توسعه و تجهيز مدارس كشور</v>
      </c>
      <c r="S480" s="1" t="str">
        <f>"قرارداد فروش"</f>
        <v>قرارداد فروش</v>
      </c>
      <c r="T480" s="1" t="str">
        <f>"ندارد"</f>
        <v>ندارد</v>
      </c>
      <c r="U480" s="1" t="str">
        <f>"سيفي پور عبدالمجيد(1009ج89)"</f>
        <v>سيفي پور عبدالمجيد(1009ج89)</v>
      </c>
      <c r="V480" s="1">
        <v>966300050</v>
      </c>
      <c r="W480" s="1">
        <v>966300050</v>
      </c>
      <c r="X480" s="1" t="str">
        <f>"1396536458"</f>
        <v>1396536458</v>
      </c>
      <c r="Y480" s="1" t="str">
        <f>"96/10/11"</f>
        <v>96/10/11</v>
      </c>
      <c r="Z480" s="1" t="str">
        <f>"3-96/424-27205"</f>
        <v>3-96/424-27205</v>
      </c>
      <c r="AA480" s="1" t="str">
        <f>"سازمان نوسازي توسعه وتجهيزمدارس كشور"</f>
        <v>سازمان نوسازي توسعه وتجهيزمدارس كشور</v>
      </c>
      <c r="AB480" s="1" t="str">
        <f>"96/10/10"</f>
        <v>96/10/10</v>
      </c>
      <c r="AC480" s="1" t="str">
        <f>"استان اصفهان"</f>
        <v>استان اصفهان</v>
      </c>
      <c r="AD480" s="1" t="str">
        <f>"96/10/11"</f>
        <v>96/10/11</v>
      </c>
      <c r="AE480" s="1" t="str">
        <f>"اختتام"</f>
        <v>اختتام</v>
      </c>
      <c r="AF480" s="1" t="str">
        <f>""</f>
        <v/>
      </c>
      <c r="AG480" s="1" t="str">
        <f>""</f>
        <v/>
      </c>
      <c r="AH480" s="1" t="str">
        <f>""</f>
        <v/>
      </c>
      <c r="AI480" s="1" t="str">
        <f>""</f>
        <v/>
      </c>
      <c r="AJ480" s="1" t="str">
        <f>""</f>
        <v/>
      </c>
      <c r="AK480" s="1" t="str">
        <f>""</f>
        <v/>
      </c>
    </row>
    <row r="481" spans="1:37">
      <c r="A481" s="1">
        <v>120000</v>
      </c>
      <c r="B481" s="1">
        <v>966300085</v>
      </c>
      <c r="C481" s="1" t="str">
        <f>"تخليه اصفهان اشترجان شهرك صنعتي اشترجان احسان شمسي ارمندي كارخانه آسفالت راه آژند"</f>
        <v>تخليه اصفهان اشترجان شهرك صنعتي اشترجان احسان شمسي ارمندي كارخانه آسفالت راه آژند</v>
      </c>
      <c r="D481" s="1">
        <v>13350</v>
      </c>
      <c r="E481" s="1">
        <v>118700</v>
      </c>
      <c r="F481" s="1">
        <v>96</v>
      </c>
      <c r="G481" s="1">
        <v>1300</v>
      </c>
      <c r="H481" s="1" t="str">
        <f>"96/12/26"</f>
        <v>96/12/26</v>
      </c>
      <c r="I481" s="1" t="str">
        <f>"كيلوگرم"</f>
        <v>كيلوگرم</v>
      </c>
      <c r="J481" s="1" t="str">
        <f>"0000000076"</f>
        <v>0000000076</v>
      </c>
      <c r="K481" s="1" t="str">
        <f>"قير 60/70 - فله"</f>
        <v>قير 60/70 - فله</v>
      </c>
      <c r="L481" s="1">
        <v>100</v>
      </c>
      <c r="M481" s="1" t="str">
        <f>"مخازن قير اصفهان"</f>
        <v>مخازن قير اصفهان</v>
      </c>
      <c r="N481" s="1">
        <v>11098</v>
      </c>
      <c r="O481" s="1">
        <v>50039039</v>
      </c>
      <c r="P481" s="1" t="str">
        <f>"  اداره كل نوسازي توسعه وتجهيزمدارس استان اصفهان"</f>
        <v xml:space="preserve">  اداره كل نوسازي توسعه وتجهيزمدارس استان اصفهان</v>
      </c>
      <c r="Q481" s="1">
        <v>63</v>
      </c>
      <c r="R481" s="1" t="str">
        <f>"سازمان نوسازي،توسعه و تجهيز مدارس كشور"</f>
        <v>سازمان نوسازي،توسعه و تجهيز مدارس كشور</v>
      </c>
      <c r="S481" s="1" t="str">
        <f>"قرارداد فروش"</f>
        <v>قرارداد فروش</v>
      </c>
      <c r="T481" s="1" t="str">
        <f>"ندارد"</f>
        <v>ندارد</v>
      </c>
      <c r="U481" s="1" t="str">
        <f>"سيفي پور عبدالمجيد(1009ج89)"</f>
        <v>سيفي پور عبدالمجيد(1009ج89)</v>
      </c>
      <c r="V481" s="1">
        <v>966300085</v>
      </c>
      <c r="W481" s="1">
        <v>966300085</v>
      </c>
      <c r="X481" s="1" t="str">
        <f>"1396555236"</f>
        <v>1396555236</v>
      </c>
      <c r="Y481" s="1" t="str">
        <f>"96/12/26"</f>
        <v>96/12/26</v>
      </c>
      <c r="Z481" s="1" t="str">
        <f>"3-96/422-34087"</f>
        <v>3-96/422-34087</v>
      </c>
      <c r="AA481" s="1" t="str">
        <f>"سازمان نوسازي توسعه وتجهيزمدارس كشور"</f>
        <v>سازمان نوسازي توسعه وتجهيزمدارس كشور</v>
      </c>
      <c r="AB481" s="1" t="str">
        <f>"96/12/21"</f>
        <v>96/12/21</v>
      </c>
      <c r="AC481" s="1" t="str">
        <f>"استان اصفهان"</f>
        <v>استان اصفهان</v>
      </c>
      <c r="AD481" s="1" t="str">
        <f>"96/12/23"</f>
        <v>96/12/23</v>
      </c>
      <c r="AE481" s="1" t="str">
        <f>"اختتام"</f>
        <v>اختتام</v>
      </c>
      <c r="AF481" s="1" t="str">
        <f>""</f>
        <v/>
      </c>
      <c r="AG481" s="1" t="str">
        <f>""</f>
        <v/>
      </c>
      <c r="AH481" s="1" t="str">
        <f>""</f>
        <v/>
      </c>
      <c r="AI481" s="1" t="str">
        <f>""</f>
        <v/>
      </c>
      <c r="AJ481" s="1" t="str">
        <f>""</f>
        <v/>
      </c>
      <c r="AK481" s="1" t="str">
        <f>""</f>
        <v/>
      </c>
    </row>
    <row r="482" spans="1:37">
      <c r="A482" s="1">
        <v>100000</v>
      </c>
      <c r="B482" s="1">
        <v>966200576</v>
      </c>
      <c r="C482" s="1" t="str">
        <f>"تخليه -خراسان جنوبي اسفدن -كارخانه توس راديه"</f>
        <v>تخليه -خراسان جنوبي اسفدن -كارخانه توس راديه</v>
      </c>
      <c r="D482" s="1">
        <v>13200</v>
      </c>
      <c r="E482" s="1">
        <v>100000</v>
      </c>
      <c r="F482" s="1">
        <v>96</v>
      </c>
      <c r="G482" s="1">
        <v>0</v>
      </c>
      <c r="H482" s="1" t="str">
        <f>"96/11/24"</f>
        <v>96/11/24</v>
      </c>
      <c r="I482" s="1" t="str">
        <f>"كيلوگرم"</f>
        <v>كيلوگرم</v>
      </c>
      <c r="J482" s="1" t="str">
        <f>"0000000076"</f>
        <v>0000000076</v>
      </c>
      <c r="K482" s="1" t="str">
        <f>"قير 60/70 - فله"</f>
        <v>قير 60/70 - فله</v>
      </c>
      <c r="L482" s="1">
        <v>100</v>
      </c>
      <c r="M482" s="1" t="str">
        <f>"مخازن قير اصفهان"</f>
        <v>مخازن قير اصفهان</v>
      </c>
      <c r="N482" s="1">
        <v>11119</v>
      </c>
      <c r="O482" s="1">
        <v>50038504</v>
      </c>
      <c r="P482" s="1" t="str">
        <f>"  نويدگسترزهان"</f>
        <v xml:space="preserve">  نويدگسترزهان</v>
      </c>
      <c r="Q482" s="1">
        <v>62</v>
      </c>
      <c r="R482" s="1" t="str">
        <f>"فروش داخلي - سازمان بنيادمسكن انقلاب اسلامي"</f>
        <v>فروش داخلي - سازمان بنيادمسكن انقلاب اسلامي</v>
      </c>
      <c r="S482" s="1" t="str">
        <f>"قرارداد فروش"</f>
        <v>قرارداد فروش</v>
      </c>
      <c r="T482" s="1" t="str">
        <f>"ندارد"</f>
        <v>ندارد</v>
      </c>
      <c r="U482" s="1" t="str">
        <f>"آقا علي منوچهر(1016ج89)"</f>
        <v>آقا علي منوچهر(1016ج89)</v>
      </c>
      <c r="V482" s="1">
        <v>966200576</v>
      </c>
      <c r="W482" s="1">
        <v>966200576</v>
      </c>
      <c r="X482" s="1" t="str">
        <f>"1396547682"</f>
        <v>1396547682</v>
      </c>
      <c r="Y482" s="1" t="str">
        <f>"96/11/24"</f>
        <v>96/11/24</v>
      </c>
      <c r="Z482" s="1" t="str">
        <f>"52824/د"</f>
        <v>52824/د</v>
      </c>
      <c r="AA482" s="1" t="str">
        <f>"بنيادمسكن انقلاب اسلامي"</f>
        <v>بنيادمسكن انقلاب اسلامي</v>
      </c>
      <c r="AB482" s="1" t="str">
        <f>"96/11/23"</f>
        <v>96/11/23</v>
      </c>
      <c r="AC482" s="1" t="str">
        <f>"خراسان جنوبي"</f>
        <v>خراسان جنوبي</v>
      </c>
      <c r="AD482" s="1" t="str">
        <f>"96/11/24"</f>
        <v>96/11/24</v>
      </c>
      <c r="AE482" s="1" t="str">
        <f>"اختتام"</f>
        <v>اختتام</v>
      </c>
      <c r="AF482" s="1" t="str">
        <f>""</f>
        <v/>
      </c>
      <c r="AG482" s="1" t="str">
        <f>""</f>
        <v/>
      </c>
      <c r="AH482" s="1" t="str">
        <f>""</f>
        <v/>
      </c>
      <c r="AI482" s="1" t="str">
        <f>""</f>
        <v/>
      </c>
      <c r="AJ482" s="1" t="str">
        <f>""</f>
        <v/>
      </c>
      <c r="AK482" s="1" t="str">
        <f>""</f>
        <v/>
      </c>
    </row>
    <row r="483" spans="1:37">
      <c r="A483" s="1">
        <v>81000</v>
      </c>
      <c r="B483" s="1">
        <v>966200471</v>
      </c>
      <c r="C483" s="1" t="str">
        <f>"تخليه كهگيلويه گچساران روستاي سرآبيز كارخانه آسفالت آقاي حسيني"</f>
        <v>تخليه كهگيلويه گچساران روستاي سرآبيز كارخانه آسفالت آقاي حسيني</v>
      </c>
      <c r="D483" s="1">
        <v>12820</v>
      </c>
      <c r="E483" s="1">
        <v>79860</v>
      </c>
      <c r="F483" s="1">
        <v>96</v>
      </c>
      <c r="G483" s="1">
        <v>1140</v>
      </c>
      <c r="H483" s="1" t="str">
        <f>"96/09/27"</f>
        <v>96/09/27</v>
      </c>
      <c r="I483" s="1" t="str">
        <f>"كيلوگرم"</f>
        <v>كيلوگرم</v>
      </c>
      <c r="J483" s="1" t="str">
        <f>"0000000076"</f>
        <v>0000000076</v>
      </c>
      <c r="K483" s="1" t="str">
        <f>"قير 60/70 - فله"</f>
        <v>قير 60/70 - فله</v>
      </c>
      <c r="L483" s="1">
        <v>100</v>
      </c>
      <c r="M483" s="1" t="str">
        <f>"مخازن قير اصفهان"</f>
        <v>مخازن قير اصفهان</v>
      </c>
      <c r="N483" s="1">
        <v>11189</v>
      </c>
      <c r="O483" s="1">
        <v>50037916</v>
      </c>
      <c r="P483" s="1" t="str">
        <f>"  ساحل عمران تنگه تنگاري"</f>
        <v xml:space="preserve">  ساحل عمران تنگه تنگاري</v>
      </c>
      <c r="Q483" s="1">
        <v>62</v>
      </c>
      <c r="R483" s="1" t="str">
        <f>"فروش داخلي - سازمان بنيادمسكن انقلاب اسلامي"</f>
        <v>فروش داخلي - سازمان بنيادمسكن انقلاب اسلامي</v>
      </c>
      <c r="S483" s="1" t="str">
        <f>"قرارداد فروش"</f>
        <v>قرارداد فروش</v>
      </c>
      <c r="T483" s="1" t="str">
        <f>"ندارد"</f>
        <v>ندارد</v>
      </c>
      <c r="U483" s="1" t="str">
        <f>"غلام نجفي سيامك‌‌‌‌‌‌(1881082)"</f>
        <v>غلام نجفي سيامك‌‌‌‌‌‌(1881082)</v>
      </c>
      <c r="V483" s="1">
        <v>966200471</v>
      </c>
      <c r="W483" s="1">
        <v>966200471</v>
      </c>
      <c r="X483" s="1" t="str">
        <f>"1396533043"</f>
        <v>1396533043</v>
      </c>
      <c r="Y483" s="1" t="str">
        <f>"96/09/27"</f>
        <v>96/09/27</v>
      </c>
      <c r="Z483" s="1" t="str">
        <f>"42435/د"</f>
        <v>42435/د</v>
      </c>
      <c r="AA483" s="1" t="str">
        <f>"بنيادمسكن انقلاب اسلامي"</f>
        <v>بنيادمسكن انقلاب اسلامي</v>
      </c>
      <c r="AB483" s="1" t="str">
        <f>"96/09/26"</f>
        <v>96/09/26</v>
      </c>
      <c r="AC483" s="1" t="str">
        <f>"كهكيلويه و بوير احمد"</f>
        <v>كهكيلويه و بوير احمد</v>
      </c>
      <c r="AD483" s="1" t="str">
        <f>"96/09/27"</f>
        <v>96/09/27</v>
      </c>
      <c r="AE483" s="1" t="str">
        <f>"اختتام"</f>
        <v>اختتام</v>
      </c>
      <c r="AF483" s="1" t="str">
        <f>""</f>
        <v/>
      </c>
      <c r="AG483" s="1" t="str">
        <f>""</f>
        <v/>
      </c>
      <c r="AH483" s="1" t="str">
        <f>""</f>
        <v/>
      </c>
      <c r="AI483" s="1" t="str">
        <f>""</f>
        <v/>
      </c>
      <c r="AJ483" s="1" t="str">
        <f>""</f>
        <v/>
      </c>
      <c r="AK483" s="1" t="str">
        <f>""</f>
        <v/>
      </c>
    </row>
    <row r="484" spans="1:37">
      <c r="A484" s="1">
        <v>156000</v>
      </c>
      <c r="B484" s="1">
        <v>966200056</v>
      </c>
      <c r="C484" s="1" t="str">
        <f>"تخليه :لرستان الشتر - شهر فيروز آباد - کارخانه شرکت زاگرس راه نصر"</f>
        <v>تخليه :لرستان الشتر - شهر فيروز آباد - کارخانه شرکت زاگرس راه نصر</v>
      </c>
      <c r="D484" s="1">
        <v>8918</v>
      </c>
      <c r="E484" s="1">
        <v>156000</v>
      </c>
      <c r="F484" s="1">
        <v>96</v>
      </c>
      <c r="G484" s="1">
        <v>0</v>
      </c>
      <c r="H484" s="1" t="str">
        <f>"96/02/13"</f>
        <v>96/02/13</v>
      </c>
      <c r="I484" s="1" t="str">
        <f>"كيلوگرم"</f>
        <v>كيلوگرم</v>
      </c>
      <c r="J484" s="1" t="str">
        <f>"0000000076"</f>
        <v>0000000076</v>
      </c>
      <c r="K484" s="1" t="str">
        <f>"قير 60/70 - فله"</f>
        <v>قير 60/70 - فله</v>
      </c>
      <c r="L484" s="1">
        <v>100</v>
      </c>
      <c r="M484" s="1" t="str">
        <f>"مخازن قير اصفهان"</f>
        <v>مخازن قير اصفهان</v>
      </c>
      <c r="N484" s="1">
        <v>10506</v>
      </c>
      <c r="O484" s="1">
        <v>50034750</v>
      </c>
      <c r="P484" s="1" t="str">
        <f>"  يكتابتن پرشين"</f>
        <v xml:space="preserve">  يكتابتن پرشين</v>
      </c>
      <c r="Q484" s="1">
        <v>62</v>
      </c>
      <c r="R484" s="1" t="str">
        <f>"فروش داخلي - سازمان بنيادمسكن انقلاب اسلامي"</f>
        <v>فروش داخلي - سازمان بنيادمسكن انقلاب اسلامي</v>
      </c>
      <c r="S484" s="1" t="str">
        <f>"قرارداد فروش"</f>
        <v>قرارداد فروش</v>
      </c>
      <c r="T484" s="1" t="str">
        <f>"ندارد"</f>
        <v>ندارد</v>
      </c>
      <c r="U484" s="1" t="str">
        <f>"عظيمي محمد(2842015)"</f>
        <v>عظيمي محمد(2842015)</v>
      </c>
      <c r="V484" s="1">
        <v>966200056</v>
      </c>
      <c r="W484" s="1">
        <v>966200056</v>
      </c>
      <c r="X484" s="1" t="str">
        <f>"1396477992"</f>
        <v>1396477992</v>
      </c>
      <c r="Y484" s="1" t="str">
        <f>"96/02/13"</f>
        <v>96/02/13</v>
      </c>
      <c r="Z484" s="1" t="str">
        <f>"4654/د"</f>
        <v>4654/د</v>
      </c>
      <c r="AA484" s="1" t="str">
        <f>"بنيادمسكن انقلاب اسلامي"</f>
        <v>بنيادمسكن انقلاب اسلامي</v>
      </c>
      <c r="AB484" s="1" t="str">
        <f>"96/02/11"</f>
        <v>96/02/11</v>
      </c>
      <c r="AC484" s="1" t="str">
        <f>"لرستان"</f>
        <v>لرستان</v>
      </c>
      <c r="AD484" s="1" t="str">
        <f>"96/02/12"</f>
        <v>96/02/12</v>
      </c>
      <c r="AE484" s="1" t="str">
        <f>"اختتام"</f>
        <v>اختتام</v>
      </c>
      <c r="AF484" s="1" t="str">
        <f>""</f>
        <v/>
      </c>
      <c r="AG484" s="1" t="str">
        <f>""</f>
        <v/>
      </c>
      <c r="AH484" s="1" t="str">
        <f>""</f>
        <v/>
      </c>
      <c r="AI484" s="1" t="str">
        <f>""</f>
        <v/>
      </c>
      <c r="AJ484" s="1" t="str">
        <f>""</f>
        <v/>
      </c>
      <c r="AK484" s="1" t="str">
        <f>""</f>
        <v/>
      </c>
    </row>
    <row r="485" spans="1:37">
      <c r="A485" s="1">
        <v>286000</v>
      </c>
      <c r="B485" s="1">
        <v>966200120</v>
      </c>
      <c r="C485" s="1" t="str">
        <f>"تخليه :لرستان الشتر - شهر فيروز آباد - کارخانه شرکت زاگرس راه نصر"</f>
        <v>تخليه :لرستان الشتر - شهر فيروز آباد - کارخانه شرکت زاگرس راه نصر</v>
      </c>
      <c r="D485" s="1">
        <v>8704</v>
      </c>
      <c r="E485" s="1">
        <v>286000</v>
      </c>
      <c r="F485" s="1">
        <v>96</v>
      </c>
      <c r="G485" s="1">
        <v>0</v>
      </c>
      <c r="H485" s="1" t="str">
        <f>"96/03/24"</f>
        <v>96/03/24</v>
      </c>
      <c r="I485" s="1" t="str">
        <f>"كيلوگرم"</f>
        <v>كيلوگرم</v>
      </c>
      <c r="J485" s="1" t="str">
        <f>"0000000076"</f>
        <v>0000000076</v>
      </c>
      <c r="K485" s="1" t="str">
        <f>"قير 60/70 - فله"</f>
        <v>قير 60/70 - فله</v>
      </c>
      <c r="L485" s="1">
        <v>100</v>
      </c>
      <c r="M485" s="1" t="str">
        <f>"مخازن قير اصفهان"</f>
        <v>مخازن قير اصفهان</v>
      </c>
      <c r="N485" s="1">
        <v>10506</v>
      </c>
      <c r="O485" s="1">
        <v>50035014</v>
      </c>
      <c r="P485" s="1" t="str">
        <f>"  يكتابتن پرشين"</f>
        <v xml:space="preserve">  يكتابتن پرشين</v>
      </c>
      <c r="Q485" s="1">
        <v>62</v>
      </c>
      <c r="R485" s="1" t="str">
        <f>"فروش داخلي - سازمان بنيادمسكن انقلاب اسلامي"</f>
        <v>فروش داخلي - سازمان بنيادمسكن انقلاب اسلامي</v>
      </c>
      <c r="S485" s="1" t="str">
        <f>"قرارداد فروش"</f>
        <v>قرارداد فروش</v>
      </c>
      <c r="T485" s="1" t="str">
        <f>"ندارد"</f>
        <v>ندارد</v>
      </c>
      <c r="U485" s="1" t="str">
        <f>"عظيمي محمد(2842015)"</f>
        <v>عظيمي محمد(2842015)</v>
      </c>
      <c r="V485" s="1">
        <v>966200120</v>
      </c>
      <c r="W485" s="1">
        <v>966200120</v>
      </c>
      <c r="X485" s="1" t="str">
        <f>"1396488215"</f>
        <v>1396488215</v>
      </c>
      <c r="Y485" s="1" t="str">
        <f>"96/03/24"</f>
        <v>96/03/24</v>
      </c>
      <c r="Z485" s="1" t="str">
        <f>"11311/د"</f>
        <v>11311/د</v>
      </c>
      <c r="AA485" s="1" t="str">
        <f>"بنيادمسكن انقلاب اسلامي"</f>
        <v>بنيادمسكن انقلاب اسلامي</v>
      </c>
      <c r="AB485" s="1" t="str">
        <f>"96/03/23"</f>
        <v>96/03/23</v>
      </c>
      <c r="AC485" s="1" t="str">
        <f>"لرستان"</f>
        <v>لرستان</v>
      </c>
      <c r="AD485" s="1" t="str">
        <f>"96/03/24"</f>
        <v>96/03/24</v>
      </c>
      <c r="AE485" s="1" t="str">
        <f>"اختتام"</f>
        <v>اختتام</v>
      </c>
      <c r="AF485" s="1" t="str">
        <f>""</f>
        <v/>
      </c>
      <c r="AG485" s="1" t="str">
        <f>""</f>
        <v/>
      </c>
      <c r="AH485" s="1" t="str">
        <f>""</f>
        <v/>
      </c>
      <c r="AI485" s="1" t="str">
        <f>""</f>
        <v/>
      </c>
      <c r="AJ485" s="1" t="str">
        <f>""</f>
        <v/>
      </c>
      <c r="AK485" s="1" t="str">
        <f>""</f>
        <v/>
      </c>
    </row>
    <row r="486" spans="1:37">
      <c r="A486" s="1">
        <v>243000</v>
      </c>
      <c r="B486" s="1">
        <v>966200104</v>
      </c>
      <c r="C486" s="1" t="str">
        <f>"تخليه - کهگيلويه-ياسوج-روستاي سپيدار-کارخانه آسفالت مجيد الهي"</f>
        <v>تخليه - کهگيلويه-ياسوج-روستاي سپيدار-کارخانه آسفالت مجيد الهي</v>
      </c>
      <c r="D486" s="1">
        <v>8918</v>
      </c>
      <c r="E486" s="1">
        <v>239780</v>
      </c>
      <c r="F486" s="1">
        <v>96</v>
      </c>
      <c r="G486" s="1">
        <v>3220</v>
      </c>
      <c r="H486" s="1" t="str">
        <f>"96/02/31"</f>
        <v>96/02/31</v>
      </c>
      <c r="I486" s="1" t="str">
        <f>"كيلوگرم"</f>
        <v>كيلوگرم</v>
      </c>
      <c r="J486" s="1" t="str">
        <f>"0000000076"</f>
        <v>0000000076</v>
      </c>
      <c r="K486" s="1" t="str">
        <f>"قير 60/70 - فله"</f>
        <v>قير 60/70 - فله</v>
      </c>
      <c r="L486" s="1">
        <v>100</v>
      </c>
      <c r="M486" s="1" t="str">
        <f>"مخازن قير اصفهان"</f>
        <v>مخازن قير اصفهان</v>
      </c>
      <c r="N486" s="1">
        <v>10516</v>
      </c>
      <c r="O486" s="1">
        <v>50034883</v>
      </c>
      <c r="P486" s="1" t="str">
        <f>"  آسمان خراش كويرياسوج"</f>
        <v xml:space="preserve">  آسمان خراش كويرياسوج</v>
      </c>
      <c r="Q486" s="1">
        <v>62</v>
      </c>
      <c r="R486" s="1" t="str">
        <f>"فروش داخلي - سازمان بنيادمسكن انقلاب اسلامي"</f>
        <v>فروش داخلي - سازمان بنيادمسكن انقلاب اسلامي</v>
      </c>
      <c r="S486" s="1" t="str">
        <f>"قرارداد فروش"</f>
        <v>قرارداد فروش</v>
      </c>
      <c r="T486" s="1" t="str">
        <f>"ندارد"</f>
        <v>ندارد</v>
      </c>
      <c r="U486" s="1" t="str">
        <f>"غلام نجفي سيامك‌‌‌‌‌‌(1881082)"</f>
        <v>غلام نجفي سيامك‌‌‌‌‌‌(1881082)</v>
      </c>
      <c r="V486" s="1">
        <v>966200104</v>
      </c>
      <c r="W486" s="1">
        <v>966200104</v>
      </c>
      <c r="X486" s="1" t="str">
        <f>"1396482232"</f>
        <v>1396482232</v>
      </c>
      <c r="Y486" s="1" t="str">
        <f>"96/02/31"</f>
        <v>96/02/31</v>
      </c>
      <c r="Z486" s="1" t="str">
        <f>"7449/د"</f>
        <v>7449/د</v>
      </c>
      <c r="AA486" s="1" t="str">
        <f>"بنيادمسكن انقلاب اسلامي"</f>
        <v>بنيادمسكن انقلاب اسلامي</v>
      </c>
      <c r="AB486" s="1" t="str">
        <f>"96/02/30"</f>
        <v>96/02/30</v>
      </c>
      <c r="AC486" s="1" t="str">
        <f>"كهكيلويه و بوير احمد"</f>
        <v>كهكيلويه و بوير احمد</v>
      </c>
      <c r="AD486" s="1" t="str">
        <f>"96/02/31"</f>
        <v>96/02/31</v>
      </c>
      <c r="AE486" s="1" t="str">
        <f>"اختتام"</f>
        <v>اختتام</v>
      </c>
      <c r="AF486" s="1" t="str">
        <f>""</f>
        <v/>
      </c>
      <c r="AG486" s="1" t="str">
        <f>""</f>
        <v/>
      </c>
      <c r="AH486" s="1" t="str">
        <f>""</f>
        <v/>
      </c>
      <c r="AI486" s="1" t="str">
        <f>""</f>
        <v/>
      </c>
      <c r="AJ486" s="1" t="str">
        <f>""</f>
        <v/>
      </c>
      <c r="AK486" s="1" t="str">
        <f>""</f>
        <v/>
      </c>
    </row>
    <row r="487" spans="1:37">
      <c r="A487" s="1">
        <v>15000</v>
      </c>
      <c r="B487" s="1">
        <v>966200599</v>
      </c>
      <c r="C487" s="1" t="str">
        <f>"تخليه - کهگيلويه-ياسوج-پليس راه اصفهان-کارخانه آسفالت جوکار"</f>
        <v>تخليه - کهگيلويه-ياسوج-پليس راه اصفهان-کارخانه آسفالت جوکار</v>
      </c>
      <c r="D487" s="1">
        <v>13350</v>
      </c>
      <c r="E487" s="1">
        <v>14620</v>
      </c>
      <c r="F487" s="1">
        <v>96</v>
      </c>
      <c r="G487" s="1">
        <v>380</v>
      </c>
      <c r="H487" s="1" t="str">
        <f>"96/12/09"</f>
        <v>96/12/09</v>
      </c>
      <c r="I487" s="1" t="str">
        <f>"كيلوگرم"</f>
        <v>كيلوگرم</v>
      </c>
      <c r="J487" s="1" t="str">
        <f>"0000000076"</f>
        <v>0000000076</v>
      </c>
      <c r="K487" s="1" t="str">
        <f>"قير 60/70 - فله"</f>
        <v>قير 60/70 - فله</v>
      </c>
      <c r="L487" s="1">
        <v>100</v>
      </c>
      <c r="M487" s="1" t="str">
        <f>"مخازن قير اصفهان"</f>
        <v>مخازن قير اصفهان</v>
      </c>
      <c r="N487" s="1">
        <v>10516</v>
      </c>
      <c r="O487" s="1">
        <v>50038658</v>
      </c>
      <c r="P487" s="1" t="str">
        <f>"  آسمان خراش كويرياسوج"</f>
        <v xml:space="preserve">  آسمان خراش كويرياسوج</v>
      </c>
      <c r="Q487" s="1">
        <v>62</v>
      </c>
      <c r="R487" s="1" t="str">
        <f>"فروش داخلي - سازمان بنيادمسكن انقلاب اسلامي"</f>
        <v>فروش داخلي - سازمان بنيادمسكن انقلاب اسلامي</v>
      </c>
      <c r="S487" s="1" t="str">
        <f>"قرارداد فروش"</f>
        <v>قرارداد فروش</v>
      </c>
      <c r="T487" s="1" t="str">
        <f>"ندارد"</f>
        <v>ندارد</v>
      </c>
      <c r="U487" s="1" t="str">
        <f>"غلام نجفي سيامك‌‌‌‌‌‌(1881082)"</f>
        <v>غلام نجفي سيامك‌‌‌‌‌‌(1881082)</v>
      </c>
      <c r="V487" s="1">
        <v>966200599</v>
      </c>
      <c r="W487" s="1">
        <v>966200599</v>
      </c>
      <c r="X487" s="1" t="str">
        <f>"1396551611"</f>
        <v>1396551611</v>
      </c>
      <c r="Y487" s="1" t="str">
        <f>"96/12/09"</f>
        <v>96/12/09</v>
      </c>
      <c r="Z487" s="1" t="str">
        <f>"55675/د"</f>
        <v>55675/د</v>
      </c>
      <c r="AA487" s="1" t="str">
        <f>"بنيادمسكن انقلاب اسلامي"</f>
        <v>بنيادمسكن انقلاب اسلامي</v>
      </c>
      <c r="AB487" s="1" t="str">
        <f>"96/12/08"</f>
        <v>96/12/08</v>
      </c>
      <c r="AC487" s="1" t="str">
        <f>"كهكيلويه و بوير احمد"</f>
        <v>كهكيلويه و بوير احمد</v>
      </c>
      <c r="AD487" s="1" t="str">
        <f>"96/12/09"</f>
        <v>96/12/09</v>
      </c>
      <c r="AE487" s="1" t="str">
        <f>"اختتام"</f>
        <v>اختتام</v>
      </c>
      <c r="AF487" s="1" t="str">
        <f>""</f>
        <v/>
      </c>
      <c r="AG487" s="1" t="str">
        <f>""</f>
        <v/>
      </c>
      <c r="AH487" s="1" t="str">
        <f>""</f>
        <v/>
      </c>
      <c r="AI487" s="1" t="str">
        <f>""</f>
        <v/>
      </c>
      <c r="AJ487" s="1" t="str">
        <f>""</f>
        <v/>
      </c>
      <c r="AK487" s="1" t="str">
        <f>""</f>
        <v/>
      </c>
    </row>
    <row r="488" spans="1:37">
      <c r="A488" s="1">
        <v>234000</v>
      </c>
      <c r="B488" s="1">
        <v>966200537</v>
      </c>
      <c r="C488" s="1" t="str">
        <f>"تخليه -لرستان -پلدختر-سه راهي سراب جهانگير-كارخانه آسفالت جودكي"</f>
        <v>تخليه -لرستان -پلدختر-سه راهي سراب جهانگير-كارخانه آسفالت جودكي</v>
      </c>
      <c r="D488" s="1">
        <v>12850</v>
      </c>
      <c r="E488" s="1">
        <v>233360</v>
      </c>
      <c r="F488" s="1">
        <v>96</v>
      </c>
      <c r="G488" s="1">
        <v>640</v>
      </c>
      <c r="H488" s="1" t="str">
        <f>"96/10/25"</f>
        <v>96/10/25</v>
      </c>
      <c r="I488" s="1" t="str">
        <f>"كيلوگرم"</f>
        <v>كيلوگرم</v>
      </c>
      <c r="J488" s="1" t="str">
        <f>"0000000076"</f>
        <v>0000000076</v>
      </c>
      <c r="K488" s="1" t="str">
        <f>"قير 60/70 - فله"</f>
        <v>قير 60/70 - فله</v>
      </c>
      <c r="L488" s="1">
        <v>100</v>
      </c>
      <c r="M488" s="1" t="str">
        <f>"مخازن قير اصفهان"</f>
        <v>مخازن قير اصفهان</v>
      </c>
      <c r="N488" s="1">
        <v>10521</v>
      </c>
      <c r="O488" s="1">
        <v>50038186</v>
      </c>
      <c r="P488" s="1" t="str">
        <f>"  ساختماني يافته كوه"</f>
        <v xml:space="preserve">  ساختماني يافته كوه</v>
      </c>
      <c r="Q488" s="1">
        <v>62</v>
      </c>
      <c r="R488" s="1" t="str">
        <f>"فروش داخلي - سازمان بنيادمسكن انقلاب اسلامي"</f>
        <v>فروش داخلي - سازمان بنيادمسكن انقلاب اسلامي</v>
      </c>
      <c r="S488" s="1" t="str">
        <f>"قرارداد فروش"</f>
        <v>قرارداد فروش</v>
      </c>
      <c r="T488" s="1" t="str">
        <f>"ندارد"</f>
        <v>ندارد</v>
      </c>
      <c r="U488" s="1" t="str">
        <f>"بستاني محسن (2882039)"</f>
        <v>بستاني محسن (2882039)</v>
      </c>
      <c r="V488" s="1">
        <v>966200537</v>
      </c>
      <c r="W488" s="1">
        <v>966200537</v>
      </c>
      <c r="X488" s="1" t="str">
        <f>"1396540147"</f>
        <v>1396540147</v>
      </c>
      <c r="Y488" s="1" t="str">
        <f>"96/10/25"</f>
        <v>96/10/25</v>
      </c>
      <c r="Z488" s="1" t="str">
        <f>"47455/د"</f>
        <v>47455/د</v>
      </c>
      <c r="AA488" s="1" t="str">
        <f>"بنيادمسكن انقلاب اسلامي"</f>
        <v>بنيادمسكن انقلاب اسلامي</v>
      </c>
      <c r="AB488" s="1" t="str">
        <f>"96/10/24"</f>
        <v>96/10/24</v>
      </c>
      <c r="AC488" s="1" t="str">
        <f>"لرستان"</f>
        <v>لرستان</v>
      </c>
      <c r="AD488" s="1" t="str">
        <f>"96/10/25"</f>
        <v>96/10/25</v>
      </c>
      <c r="AE488" s="1" t="str">
        <f>"اختتام"</f>
        <v>اختتام</v>
      </c>
      <c r="AF488" s="1" t="str">
        <f>""</f>
        <v/>
      </c>
      <c r="AG488" s="1" t="str">
        <f>""</f>
        <v/>
      </c>
      <c r="AH488" s="1" t="str">
        <f>""</f>
        <v/>
      </c>
      <c r="AI488" s="1" t="str">
        <f>""</f>
        <v/>
      </c>
      <c r="AJ488" s="1" t="str">
        <f>""</f>
        <v/>
      </c>
      <c r="AK488" s="1" t="str">
        <f>""</f>
        <v/>
      </c>
    </row>
    <row r="489" spans="1:37">
      <c r="A489" s="1">
        <v>66000</v>
      </c>
      <c r="B489" s="1">
        <v>966200142</v>
      </c>
      <c r="C489" s="1" t="str">
        <f>"تخليه-سيستان و بلوچستان - چابهار-روستاي کمب"</f>
        <v>تخليه-سيستان و بلوچستان - چابهار-روستاي کمب</v>
      </c>
      <c r="D489" s="1">
        <v>8704</v>
      </c>
      <c r="E489" s="1">
        <v>64780</v>
      </c>
      <c r="F489" s="1">
        <v>96</v>
      </c>
      <c r="G489" s="1">
        <v>1220</v>
      </c>
      <c r="H489" s="1" t="str">
        <f>"96/04/31"</f>
        <v>96/04/31</v>
      </c>
      <c r="I489" s="1" t="str">
        <f>"كيلوگرم"</f>
        <v>كيلوگرم</v>
      </c>
      <c r="J489" s="1" t="str">
        <f>"0000000076"</f>
        <v>0000000076</v>
      </c>
      <c r="K489" s="1" t="str">
        <f>"قير 60/70 - فله"</f>
        <v>قير 60/70 - فله</v>
      </c>
      <c r="L489" s="1">
        <v>100</v>
      </c>
      <c r="M489" s="1" t="str">
        <f>"مخازن قير اصفهان"</f>
        <v>مخازن قير اصفهان</v>
      </c>
      <c r="N489" s="1">
        <v>11216</v>
      </c>
      <c r="O489" s="1">
        <v>50035346</v>
      </c>
      <c r="P489" s="1" t="str">
        <f>"  آکام راه هرمز"</f>
        <v xml:space="preserve">  آکام راه هرمز</v>
      </c>
      <c r="Q489" s="1">
        <v>62</v>
      </c>
      <c r="R489" s="1" t="str">
        <f>"فروش داخلي - سازمان بنيادمسكن انقلاب اسلامي"</f>
        <v>فروش داخلي - سازمان بنيادمسكن انقلاب اسلامي</v>
      </c>
      <c r="S489" s="1" t="str">
        <f>"قرارداد فروش"</f>
        <v>قرارداد فروش</v>
      </c>
      <c r="T489" s="1" t="str">
        <f>"ندارد"</f>
        <v>ندارد</v>
      </c>
      <c r="U489" s="1" t="str">
        <f>"بلوچ پاسارگاد(5965002)"</f>
        <v>بلوچ پاسارگاد(5965002)</v>
      </c>
      <c r="V489" s="1">
        <v>966200142</v>
      </c>
      <c r="W489" s="1">
        <v>966200142</v>
      </c>
      <c r="X489" s="1" t="str">
        <f>"1396498686"</f>
        <v>1396498686</v>
      </c>
      <c r="Y489" s="1" t="str">
        <f>"96/04/31"</f>
        <v>96/04/31</v>
      </c>
      <c r="Z489" s="1" t="str">
        <f>"16908/د"</f>
        <v>16908/د</v>
      </c>
      <c r="AA489" s="1" t="str">
        <f>"بنيادمسكن انقلاب اسلامي"</f>
        <v>بنيادمسكن انقلاب اسلامي</v>
      </c>
      <c r="AB489" s="1" t="str">
        <f>"96/04/26"</f>
        <v>96/04/26</v>
      </c>
      <c r="AC489" s="1" t="str">
        <f>"استان سيستان بلوچستان"</f>
        <v>استان سيستان بلوچستان</v>
      </c>
      <c r="AD489" s="1" t="str">
        <f>"96/04/31"</f>
        <v>96/04/31</v>
      </c>
      <c r="AE489" s="1" t="str">
        <f>"اختتام"</f>
        <v>اختتام</v>
      </c>
      <c r="AF489" s="1" t="str">
        <f>""</f>
        <v/>
      </c>
      <c r="AG489" s="1" t="str">
        <f>""</f>
        <v/>
      </c>
      <c r="AH489" s="1" t="str">
        <f>""</f>
        <v/>
      </c>
      <c r="AI489" s="1" t="str">
        <f>""</f>
        <v/>
      </c>
      <c r="AJ489" s="1" t="str">
        <f>""</f>
        <v/>
      </c>
      <c r="AK489" s="1" t="str">
        <f>""</f>
        <v/>
      </c>
    </row>
    <row r="490" spans="1:37">
      <c r="A490" s="1">
        <v>93000</v>
      </c>
      <c r="B490" s="1">
        <v>966200304</v>
      </c>
      <c r="C490" s="1" t="str">
        <f>"تخليه -لرستان-کيلومتر 7 جاده ازنا-اليگودرز-نرسيده به ازنا-پشت شهرک المهدي"</f>
        <v>تخليه -لرستان-کيلومتر 7 جاده ازنا-اليگودرز-نرسيده به ازنا-پشت شهرک المهدي</v>
      </c>
      <c r="D490" s="1">
        <v>9113</v>
      </c>
      <c r="E490" s="1">
        <v>90800</v>
      </c>
      <c r="F490" s="1">
        <v>96</v>
      </c>
      <c r="G490" s="1">
        <v>2200</v>
      </c>
      <c r="H490" s="1" t="str">
        <f>"96/07/18"</f>
        <v>96/07/18</v>
      </c>
      <c r="I490" s="1" t="str">
        <f>"كيلوگرم"</f>
        <v>كيلوگرم</v>
      </c>
      <c r="J490" s="1" t="str">
        <f>"0000000076"</f>
        <v>0000000076</v>
      </c>
      <c r="K490" s="1" t="str">
        <f>"قير 60/70 - فله"</f>
        <v>قير 60/70 - فله</v>
      </c>
      <c r="L490" s="1">
        <v>100</v>
      </c>
      <c r="M490" s="1" t="str">
        <f>"مخازن قير اصفهان"</f>
        <v>مخازن قير اصفهان</v>
      </c>
      <c r="N490" s="1">
        <v>11217</v>
      </c>
      <c r="O490" s="1">
        <v>50036654</v>
      </c>
      <c r="P490" s="1" t="str">
        <f>"  شميم کاه گل"</f>
        <v xml:space="preserve">  شميم کاه گل</v>
      </c>
      <c r="Q490" s="1">
        <v>62</v>
      </c>
      <c r="R490" s="1" t="str">
        <f>"فروش داخلي - سازمان بنيادمسكن انقلاب اسلامي"</f>
        <v>فروش داخلي - سازمان بنيادمسكن انقلاب اسلامي</v>
      </c>
      <c r="S490" s="1" t="str">
        <f>"قرارداد فروش"</f>
        <v>قرارداد فروش</v>
      </c>
      <c r="T490" s="1" t="str">
        <f>"ندارد"</f>
        <v>ندارد</v>
      </c>
      <c r="U490" s="1" t="str">
        <f>"بستاني محسن (2882039)"</f>
        <v>بستاني محسن (2882039)</v>
      </c>
      <c r="V490" s="1">
        <v>966200304</v>
      </c>
      <c r="W490" s="1">
        <v>966200304</v>
      </c>
      <c r="X490" s="1" t="str">
        <f>"1396517669"</f>
        <v>1396517669</v>
      </c>
      <c r="Y490" s="1" t="str">
        <f>"96/07/18"</f>
        <v>96/07/18</v>
      </c>
      <c r="Z490" s="1" t="str">
        <f>"31768/د"</f>
        <v>31768/د</v>
      </c>
      <c r="AA490" s="1" t="str">
        <f>"بنيادمسكن انقلاب اسلامي"</f>
        <v>بنيادمسكن انقلاب اسلامي</v>
      </c>
      <c r="AB490" s="1" t="str">
        <f>"96/07/17"</f>
        <v>96/07/17</v>
      </c>
      <c r="AC490" s="1" t="str">
        <f>"لرستان"</f>
        <v>لرستان</v>
      </c>
      <c r="AD490" s="1" t="str">
        <f>"96/07/18"</f>
        <v>96/07/18</v>
      </c>
      <c r="AE490" s="1" t="str">
        <f>"اختتام"</f>
        <v>اختتام</v>
      </c>
      <c r="AF490" s="1" t="str">
        <f>""</f>
        <v/>
      </c>
      <c r="AG490" s="1" t="str">
        <f>""</f>
        <v/>
      </c>
      <c r="AH490" s="1" t="str">
        <f>""</f>
        <v/>
      </c>
      <c r="AI490" s="1" t="str">
        <f>""</f>
        <v/>
      </c>
      <c r="AJ490" s="1" t="str">
        <f>""</f>
        <v/>
      </c>
      <c r="AK490" s="1" t="str">
        <f>""</f>
        <v/>
      </c>
    </row>
    <row r="491" spans="1:37">
      <c r="A491" s="1">
        <v>18000</v>
      </c>
      <c r="B491" s="1">
        <v>966200121</v>
      </c>
      <c r="C491" s="1" t="str">
        <f>"تخليه - تهران -پاکدشت-جمال آباد -کارخانه آبادراهان بهنام"</f>
        <v>تخليه - تهران -پاکدشت-جمال آباد -کارخانه آبادراهان بهنام</v>
      </c>
      <c r="D491" s="1">
        <v>8704</v>
      </c>
      <c r="E491" s="1">
        <v>16880</v>
      </c>
      <c r="F491" s="1">
        <v>96</v>
      </c>
      <c r="G491" s="1">
        <v>1120</v>
      </c>
      <c r="H491" s="1" t="str">
        <f>"96/03/27"</f>
        <v>96/03/27</v>
      </c>
      <c r="I491" s="1" t="str">
        <f>"كيلوگرم"</f>
        <v>كيلوگرم</v>
      </c>
      <c r="J491" s="1" t="str">
        <f>"0000000076"</f>
        <v>0000000076</v>
      </c>
      <c r="K491" s="1" t="str">
        <f>"قير 60/70 - فله"</f>
        <v>قير 60/70 - فله</v>
      </c>
      <c r="L491" s="1">
        <v>100</v>
      </c>
      <c r="M491" s="1" t="str">
        <f>"مخازن قير اصفهان"</f>
        <v>مخازن قير اصفهان</v>
      </c>
      <c r="N491" s="1">
        <v>11262</v>
      </c>
      <c r="O491" s="1">
        <v>50035019</v>
      </c>
      <c r="P491" s="1" t="str">
        <f>"  تدبير سازه پرگاس"</f>
        <v xml:space="preserve">  تدبير سازه پرگاس</v>
      </c>
      <c r="Q491" s="1">
        <v>62</v>
      </c>
      <c r="R491" s="1" t="str">
        <f>"فروش داخلي - سازمان بنيادمسكن انقلاب اسلامي"</f>
        <v>فروش داخلي - سازمان بنيادمسكن انقلاب اسلامي</v>
      </c>
      <c r="S491" s="1" t="str">
        <f>"قرارداد فروش"</f>
        <v>قرارداد فروش</v>
      </c>
      <c r="T491" s="1" t="str">
        <f>"ندارد"</f>
        <v>ندارد</v>
      </c>
      <c r="U491" s="1" t="str">
        <f>"حاج صادقي باقر(1841027)"</f>
        <v>حاج صادقي باقر(1841027)</v>
      </c>
      <c r="V491" s="1">
        <v>966200121</v>
      </c>
      <c r="W491" s="1">
        <v>966200121</v>
      </c>
      <c r="X491" s="1" t="str">
        <f>"1396488512"</f>
        <v>1396488512</v>
      </c>
      <c r="Y491" s="1" t="str">
        <f>"96/03/27"</f>
        <v>96/03/27</v>
      </c>
      <c r="Z491" s="1" t="str">
        <f>"11663/د"</f>
        <v>11663/د</v>
      </c>
      <c r="AA491" s="1" t="str">
        <f>"بنيادمسكن انقلاب اسلامي"</f>
        <v>بنيادمسكن انقلاب اسلامي</v>
      </c>
      <c r="AB491" s="1" t="str">
        <f>"96/03/27"</f>
        <v>96/03/27</v>
      </c>
      <c r="AC491" s="1" t="str">
        <f>"استان تهران"</f>
        <v>استان تهران</v>
      </c>
      <c r="AD491" s="1" t="str">
        <f>"96/03/27"</f>
        <v>96/03/27</v>
      </c>
      <c r="AE491" s="1" t="str">
        <f>"اختتام"</f>
        <v>اختتام</v>
      </c>
      <c r="AF491" s="1" t="str">
        <f>""</f>
        <v/>
      </c>
      <c r="AG491" s="1" t="str">
        <f>""</f>
        <v/>
      </c>
      <c r="AH491" s="1" t="str">
        <f>""</f>
        <v/>
      </c>
      <c r="AI491" s="1" t="str">
        <f>""</f>
        <v/>
      </c>
      <c r="AJ491" s="1" t="str">
        <f>""</f>
        <v/>
      </c>
      <c r="AK491" s="1" t="str">
        <f>""</f>
        <v/>
      </c>
    </row>
    <row r="492" spans="1:37">
      <c r="A492" s="1">
        <v>120000</v>
      </c>
      <c r="B492" s="1">
        <v>966200582</v>
      </c>
      <c r="C492" s="1" t="str">
        <f>"تخليه - کرمان-جيرفت-کمربندي به طرف کهنوج بعداز دانشگاه آزاد روبروي مدرسه استثنايي"</f>
        <v>تخليه - کرمان-جيرفت-کمربندي به طرف کهنوج بعداز دانشگاه آزاد روبروي مدرسه استثنايي</v>
      </c>
      <c r="D492" s="1">
        <v>13200</v>
      </c>
      <c r="E492" s="1">
        <v>118060</v>
      </c>
      <c r="F492" s="1">
        <v>96</v>
      </c>
      <c r="G492" s="1">
        <v>1940</v>
      </c>
      <c r="H492" s="1" t="str">
        <f>"96/11/24"</f>
        <v>96/11/24</v>
      </c>
      <c r="I492" s="1" t="str">
        <f>"كيلوگرم"</f>
        <v>كيلوگرم</v>
      </c>
      <c r="J492" s="1" t="str">
        <f>"0000000076"</f>
        <v>0000000076</v>
      </c>
      <c r="K492" s="1" t="str">
        <f>"قير 60/70 - فله"</f>
        <v>قير 60/70 - فله</v>
      </c>
      <c r="L492" s="1">
        <v>100</v>
      </c>
      <c r="M492" s="1" t="str">
        <f>"مخازن قير اصفهان"</f>
        <v>مخازن قير اصفهان</v>
      </c>
      <c r="N492" s="1">
        <v>7161</v>
      </c>
      <c r="O492" s="1">
        <v>50038511</v>
      </c>
      <c r="P492" s="1" t="str">
        <f>"  كرمان تسطيح"</f>
        <v xml:space="preserve">  كرمان تسطيح</v>
      </c>
      <c r="Q492" s="1">
        <v>62</v>
      </c>
      <c r="R492" s="1" t="str">
        <f>"فروش داخلي - سازمان بنيادمسكن انقلاب اسلامي"</f>
        <v>فروش داخلي - سازمان بنيادمسكن انقلاب اسلامي</v>
      </c>
      <c r="S492" s="1" t="str">
        <f>"قرارداد فروش"</f>
        <v>قرارداد فروش</v>
      </c>
      <c r="T492" s="1" t="str">
        <f>"ندارد"</f>
        <v>ندارد</v>
      </c>
      <c r="U492" s="1" t="str">
        <f>"خضرائي فريدون(4844003)"</f>
        <v>خضرائي فريدون(4844003)</v>
      </c>
      <c r="V492" s="1">
        <v>966200582</v>
      </c>
      <c r="W492" s="1">
        <v>966200582</v>
      </c>
      <c r="X492" s="1" t="str">
        <f>"1396547682"</f>
        <v>1396547682</v>
      </c>
      <c r="Y492" s="1" t="str">
        <f>"96/11/24"</f>
        <v>96/11/24</v>
      </c>
      <c r="Z492" s="1" t="str">
        <f>"52939/د"</f>
        <v>52939/د</v>
      </c>
      <c r="AA492" s="1" t="str">
        <f>"بنيادمسكن انقلاب اسلامي"</f>
        <v>بنيادمسكن انقلاب اسلامي</v>
      </c>
      <c r="AB492" s="1" t="str">
        <f>"96/11/24"</f>
        <v>96/11/24</v>
      </c>
      <c r="AC492" s="1" t="str">
        <f>"استان كرمان"</f>
        <v>استان كرمان</v>
      </c>
      <c r="AD492" s="1" t="str">
        <f>"96/11/24"</f>
        <v>96/11/24</v>
      </c>
      <c r="AE492" s="1" t="str">
        <f>"اختتام"</f>
        <v>اختتام</v>
      </c>
      <c r="AF492" s="1" t="str">
        <f>""</f>
        <v/>
      </c>
      <c r="AG492" s="1" t="str">
        <f>""</f>
        <v/>
      </c>
      <c r="AH492" s="1" t="str">
        <f>""</f>
        <v/>
      </c>
      <c r="AI492" s="1" t="str">
        <f>""</f>
        <v/>
      </c>
      <c r="AJ492" s="1" t="str">
        <f>""</f>
        <v/>
      </c>
      <c r="AK492" s="1" t="str">
        <f>""</f>
        <v/>
      </c>
    </row>
    <row r="493" spans="1:37">
      <c r="A493" s="1">
        <v>80000</v>
      </c>
      <c r="B493" s="1">
        <v>966200113</v>
      </c>
      <c r="C493" s="1" t="str">
        <f>"تخليه-اصفهان-فريدون شهر -کارخانه آسفالت شهرداري فريدونشهر"</f>
        <v>تخليه-اصفهان-فريدون شهر -کارخانه آسفالت شهرداري فريدونشهر</v>
      </c>
      <c r="D493" s="1">
        <v>8704</v>
      </c>
      <c r="E493" s="1">
        <v>79480</v>
      </c>
      <c r="F493" s="1">
        <v>96</v>
      </c>
      <c r="G493" s="1">
        <v>520</v>
      </c>
      <c r="H493" s="1" t="str">
        <f>"96/03/21"</f>
        <v>96/03/21</v>
      </c>
      <c r="I493" s="1" t="str">
        <f>"كيلوگرم"</f>
        <v>كيلوگرم</v>
      </c>
      <c r="J493" s="1" t="str">
        <f>"0000000076"</f>
        <v>0000000076</v>
      </c>
      <c r="K493" s="1" t="str">
        <f>"قير 60/70 - فله"</f>
        <v>قير 60/70 - فله</v>
      </c>
      <c r="L493" s="1">
        <v>100</v>
      </c>
      <c r="M493" s="1" t="str">
        <f>"مخازن قير اصفهان"</f>
        <v>مخازن قير اصفهان</v>
      </c>
      <c r="N493" s="1">
        <v>10536</v>
      </c>
      <c r="O493" s="1">
        <v>50034981</v>
      </c>
      <c r="P493" s="1" t="str">
        <f>"  آبجيل صنعت"</f>
        <v xml:space="preserve">  آبجيل صنعت</v>
      </c>
      <c r="Q493" s="1">
        <v>62</v>
      </c>
      <c r="R493" s="1" t="str">
        <f>"فروش داخلي - سازمان بنيادمسكن انقلاب اسلامي"</f>
        <v>فروش داخلي - سازمان بنيادمسكن انقلاب اسلامي</v>
      </c>
      <c r="S493" s="1" t="str">
        <f>"قرارداد فروش"</f>
        <v>قرارداد فروش</v>
      </c>
      <c r="T493" s="1" t="str">
        <f>"ندارد"</f>
        <v>ندارد</v>
      </c>
      <c r="U493" s="1" t="str">
        <f>"سيفي پور گودرز(1019ج89)"</f>
        <v>سيفي پور گودرز(1019ج89)</v>
      </c>
      <c r="V493" s="1">
        <v>966200113</v>
      </c>
      <c r="W493" s="1">
        <v>966200113</v>
      </c>
      <c r="X493" s="1" t="str">
        <f>"1396486824"</f>
        <v>1396486824</v>
      </c>
      <c r="Y493" s="1" t="str">
        <f>"96/03/21"</f>
        <v>96/03/21</v>
      </c>
      <c r="Z493" s="1" t="str">
        <f>"10567/د"</f>
        <v>10567/د</v>
      </c>
      <c r="AA493" s="1" t="str">
        <f>"بنيادمسكن انقلاب اسلامي"</f>
        <v>بنيادمسكن انقلاب اسلامي</v>
      </c>
      <c r="AB493" s="1" t="str">
        <f>"96/03/20"</f>
        <v>96/03/20</v>
      </c>
      <c r="AC493" s="1" t="str">
        <f>"استان اصفهان"</f>
        <v>استان اصفهان</v>
      </c>
      <c r="AD493" s="1" t="str">
        <f>"96/03/21"</f>
        <v>96/03/21</v>
      </c>
      <c r="AE493" s="1" t="str">
        <f>"اختتام"</f>
        <v>اختتام</v>
      </c>
      <c r="AF493" s="1" t="str">
        <f>""</f>
        <v/>
      </c>
      <c r="AG493" s="1" t="str">
        <f>""</f>
        <v/>
      </c>
      <c r="AH493" s="1" t="str">
        <f>""</f>
        <v/>
      </c>
      <c r="AI493" s="1" t="str">
        <f>""</f>
        <v/>
      </c>
      <c r="AJ493" s="1" t="str">
        <f>""</f>
        <v/>
      </c>
      <c r="AK493" s="1" t="str">
        <f>""</f>
        <v/>
      </c>
    </row>
    <row r="494" spans="1:37">
      <c r="A494" s="1">
        <v>246000</v>
      </c>
      <c r="B494" s="1">
        <v>966200491</v>
      </c>
      <c r="C494" s="1" t="str">
        <f>"تخليه - چهارمحال و بختياري-لردگان-سه راهي کوشکي-کيلومتر 7 جاده ياسوج-سه راهي سلح چين-شرکت کارخانه آسفالت کوثر خانميرزا"</f>
        <v>تخليه - چهارمحال و بختياري-لردگان-سه راهي کوشکي-کيلومتر 7 جاده ياسوج-سه راهي سلح چين-شرکت کارخانه آسفالت کوثر خانميرزا</v>
      </c>
      <c r="D494" s="1">
        <v>12850</v>
      </c>
      <c r="E494" s="1">
        <v>246000</v>
      </c>
      <c r="F494" s="1">
        <v>96</v>
      </c>
      <c r="G494" s="1">
        <v>0</v>
      </c>
      <c r="H494" s="1" t="str">
        <f>"96/10/05"</f>
        <v>96/10/05</v>
      </c>
      <c r="I494" s="1" t="str">
        <f>"كيلوگرم"</f>
        <v>كيلوگرم</v>
      </c>
      <c r="J494" s="1" t="str">
        <f>"0000000076"</f>
        <v>0000000076</v>
      </c>
      <c r="K494" s="1" t="str">
        <f>"قير 60/70 - فله"</f>
        <v>قير 60/70 - فله</v>
      </c>
      <c r="L494" s="1">
        <v>100</v>
      </c>
      <c r="M494" s="1" t="str">
        <f>"مخازن قير اصفهان"</f>
        <v>مخازن قير اصفهان</v>
      </c>
      <c r="N494" s="1">
        <v>11281</v>
      </c>
      <c r="O494" s="1">
        <v>50037974</v>
      </c>
      <c r="P494" s="1" t="str">
        <f>"  پوياسازه ارمند"</f>
        <v xml:space="preserve">  پوياسازه ارمند</v>
      </c>
      <c r="Q494" s="1">
        <v>62</v>
      </c>
      <c r="R494" s="1" t="str">
        <f>"فروش داخلي - سازمان بنيادمسكن انقلاب اسلامي"</f>
        <v>فروش داخلي - سازمان بنيادمسكن انقلاب اسلامي</v>
      </c>
      <c r="S494" s="1" t="str">
        <f>"قرارداد فروش"</f>
        <v>قرارداد فروش</v>
      </c>
      <c r="T494" s="1" t="str">
        <f>"ندارد"</f>
        <v>ندارد</v>
      </c>
      <c r="U494" s="1" t="str">
        <f>"ريسماني حسن(1007ج89)"</f>
        <v>ريسماني حسن(1007ج89)</v>
      </c>
      <c r="V494" s="1">
        <v>966200491</v>
      </c>
      <c r="W494" s="1">
        <v>966200491</v>
      </c>
      <c r="X494" s="1" t="str">
        <f>"1396535037"</f>
        <v>1396535037</v>
      </c>
      <c r="Y494" s="1" t="str">
        <f>"96/10/05"</f>
        <v>96/10/05</v>
      </c>
      <c r="Z494" s="1" t="str">
        <f>"43383/د"</f>
        <v>43383/د</v>
      </c>
      <c r="AA494" s="1" t="str">
        <f>"بنيادمسكن انقلاب اسلامي"</f>
        <v>بنيادمسكن انقلاب اسلامي</v>
      </c>
      <c r="AB494" s="1" t="str">
        <f>"96/10/02"</f>
        <v>96/10/02</v>
      </c>
      <c r="AC494" s="1" t="str">
        <f>"استان چهارمحال بختياري"</f>
        <v>استان چهارمحال بختياري</v>
      </c>
      <c r="AD494" s="1" t="str">
        <f>"96/10/05"</f>
        <v>96/10/05</v>
      </c>
      <c r="AE494" s="1" t="str">
        <f>"اختتام"</f>
        <v>اختتام</v>
      </c>
      <c r="AF494" s="1" t="str">
        <f>""</f>
        <v/>
      </c>
      <c r="AG494" s="1" t="str">
        <f>""</f>
        <v/>
      </c>
      <c r="AH494" s="1" t="str">
        <f>""</f>
        <v/>
      </c>
      <c r="AI494" s="1" t="str">
        <f>""</f>
        <v/>
      </c>
      <c r="AJ494" s="1" t="str">
        <f>""</f>
        <v/>
      </c>
      <c r="AK494" s="1" t="str">
        <f>""</f>
        <v/>
      </c>
    </row>
    <row r="495" spans="1:37">
      <c r="A495" s="1">
        <v>506000</v>
      </c>
      <c r="B495" s="1">
        <v>966200688</v>
      </c>
      <c r="C495" s="1" t="str">
        <f>"تخليه - کرمانشاه-نرسيده به دوراهي نهاوند-کارخانه فراگير ملي مهرالوند هگمتانه"</f>
        <v>تخليه - کرمانشاه-نرسيده به دوراهي نهاوند-کارخانه فراگير ملي مهرالوند هگمتانه</v>
      </c>
      <c r="D495" s="1">
        <v>13350</v>
      </c>
      <c r="E495" s="1">
        <v>504960</v>
      </c>
      <c r="F495" s="1">
        <v>96</v>
      </c>
      <c r="G495" s="1">
        <v>1040</v>
      </c>
      <c r="H495" s="1" t="str">
        <f>"96/12/23"</f>
        <v>96/12/23</v>
      </c>
      <c r="I495" s="1" t="str">
        <f>"كيلوگرم"</f>
        <v>كيلوگرم</v>
      </c>
      <c r="J495" s="1" t="str">
        <f>"0000000076"</f>
        <v>0000000076</v>
      </c>
      <c r="K495" s="1" t="str">
        <f>"قير 60/70 - فله"</f>
        <v>قير 60/70 - فله</v>
      </c>
      <c r="L495" s="1">
        <v>100</v>
      </c>
      <c r="M495" s="1" t="str">
        <f>"مخازن قير اصفهان"</f>
        <v>مخازن قير اصفهان</v>
      </c>
      <c r="N495" s="1">
        <v>11303</v>
      </c>
      <c r="O495" s="1">
        <v>50038954</v>
      </c>
      <c r="P495" s="1" t="str">
        <f>"  برج و پل کيميا"</f>
        <v xml:space="preserve">  برج و پل کيميا</v>
      </c>
      <c r="Q495" s="1">
        <v>62</v>
      </c>
      <c r="R495" s="1" t="str">
        <f>"فروش داخلي - سازمان بنيادمسكن انقلاب اسلامي"</f>
        <v>فروش داخلي - سازمان بنيادمسكن انقلاب اسلامي</v>
      </c>
      <c r="S495" s="1" t="str">
        <f>"قرارداد فروش"</f>
        <v>قرارداد فروش</v>
      </c>
      <c r="T495" s="1" t="str">
        <f>"ندارد"</f>
        <v>ندارد</v>
      </c>
      <c r="U495" s="1" t="str">
        <f>"پيرالي مجيد(1045ج 94)"</f>
        <v>پيرالي مجيد(1045ج 94)</v>
      </c>
      <c r="V495" s="1">
        <v>966200688</v>
      </c>
      <c r="W495" s="1">
        <v>966200688</v>
      </c>
      <c r="X495" s="1" t="str">
        <f>"1396554554"</f>
        <v>1396554554</v>
      </c>
      <c r="Y495" s="1" t="str">
        <f>"96/12/23"</f>
        <v>96/12/23</v>
      </c>
      <c r="Z495" s="1" t="str">
        <f>"58753/د"</f>
        <v>58753/د</v>
      </c>
      <c r="AA495" s="1" t="str">
        <f>"بنيادمسكن انقلاب اسلامي"</f>
        <v>بنيادمسكن انقلاب اسلامي</v>
      </c>
      <c r="AB495" s="1" t="str">
        <f>"96/12/21"</f>
        <v>96/12/21</v>
      </c>
      <c r="AC495" s="1" t="str">
        <f>"استان كرمانشاه"</f>
        <v>استان كرمانشاه</v>
      </c>
      <c r="AD495" s="1" t="str">
        <f>"96/12/22"</f>
        <v>96/12/22</v>
      </c>
      <c r="AE495" s="1" t="str">
        <f>"اختتام"</f>
        <v>اختتام</v>
      </c>
      <c r="AF495" s="1" t="str">
        <f>""</f>
        <v/>
      </c>
      <c r="AG495" s="1" t="str">
        <f>""</f>
        <v/>
      </c>
      <c r="AH495" s="1" t="str">
        <f>""</f>
        <v/>
      </c>
      <c r="AI495" s="1" t="str">
        <f>""</f>
        <v/>
      </c>
      <c r="AJ495" s="1" t="str">
        <f>""</f>
        <v/>
      </c>
      <c r="AK495" s="1" t="str">
        <f>""</f>
        <v/>
      </c>
    </row>
    <row r="496" spans="1:37">
      <c r="A496" s="1">
        <v>47724</v>
      </c>
      <c r="B496" s="1">
        <v>962000445</v>
      </c>
      <c r="C496" s="1" t="str">
        <f>"تخليه اصفهان داران بلواردانشگاه كارخانه آسفالت جهاد"</f>
        <v>تخليه اصفهان داران بلواردانشگاه كارخانه آسفالت جهاد</v>
      </c>
      <c r="D496" s="1">
        <v>12820</v>
      </c>
      <c r="E496" s="1">
        <v>47724</v>
      </c>
      <c r="F496" s="1">
        <v>96</v>
      </c>
      <c r="G496" s="1">
        <v>0</v>
      </c>
      <c r="H496" s="1" t="str">
        <f>"96/09/20"</f>
        <v>96/09/20</v>
      </c>
      <c r="I496" s="1" t="str">
        <f>"كيلوگرم"</f>
        <v>كيلوگرم</v>
      </c>
      <c r="J496" s="1" t="str">
        <f>"0000000076"</f>
        <v>0000000076</v>
      </c>
      <c r="K496" s="1" t="str">
        <f>"قير 60/70 - فله"</f>
        <v>قير 60/70 - فله</v>
      </c>
      <c r="L496" s="1">
        <v>100</v>
      </c>
      <c r="M496" s="1" t="str">
        <f>"مخازن قير اصفهان"</f>
        <v>مخازن قير اصفهان</v>
      </c>
      <c r="N496" s="1">
        <v>11190</v>
      </c>
      <c r="O496" s="1">
        <v>50037767</v>
      </c>
      <c r="P496" s="1" t="str">
        <f>"  شهرداري داران"</f>
        <v xml:space="preserve">  شهرداري داران</v>
      </c>
      <c r="Q496" s="1">
        <v>20</v>
      </c>
      <c r="R496" s="1" t="str">
        <f>"فروش داخلي - سازمان شهرداري ها و دهياري هاي كشور"</f>
        <v>فروش داخلي - سازمان شهرداري ها و دهياري هاي كشور</v>
      </c>
      <c r="S496" s="1" t="str">
        <f>"قرارداد فروش"</f>
        <v>قرارداد فروش</v>
      </c>
      <c r="T496" s="1" t="str">
        <f>"ندارد"</f>
        <v>ندارد</v>
      </c>
      <c r="U496" s="1" t="str">
        <f>"تعاوني جم گستر (1001 ج 89)"</f>
        <v>تعاوني جم گستر (1001 ج 89)</v>
      </c>
      <c r="V496" s="1">
        <v>962000445</v>
      </c>
      <c r="W496" s="1">
        <v>962000445</v>
      </c>
      <c r="X496" s="1" t="str">
        <f>"1396529711"</f>
        <v>1396529711</v>
      </c>
      <c r="Y496" s="1" t="str">
        <f>"96/09/20"</f>
        <v>96/09/20</v>
      </c>
      <c r="Z496" s="1" t="str">
        <f>"37132مرحله دوم"</f>
        <v>37132مرحله دوم</v>
      </c>
      <c r="AA496" s="1" t="str">
        <f>"شهرداريها"</f>
        <v>شهرداريها</v>
      </c>
      <c r="AB496" s="1" t="str">
        <f>"96/09/05"</f>
        <v>96/09/05</v>
      </c>
      <c r="AC496" s="1" t="str">
        <f>"استان اصفهان"</f>
        <v>استان اصفهان</v>
      </c>
      <c r="AD496" s="1" t="str">
        <f>"96/09/13"</f>
        <v>96/09/13</v>
      </c>
      <c r="AE496" s="1" t="str">
        <f>"اختتام"</f>
        <v>اختتام</v>
      </c>
      <c r="AF496" s="1" t="str">
        <f>""</f>
        <v/>
      </c>
      <c r="AG496" s="1" t="str">
        <f>""</f>
        <v/>
      </c>
      <c r="AH496" s="1" t="str">
        <f>""</f>
        <v/>
      </c>
      <c r="AI496" s="1" t="str">
        <f>""</f>
        <v/>
      </c>
      <c r="AJ496" s="1" t="str">
        <f>""</f>
        <v/>
      </c>
      <c r="AK496" s="1" t="str">
        <f>""</f>
        <v/>
      </c>
    </row>
    <row r="497" spans="1:37">
      <c r="A497" s="1">
        <v>54382</v>
      </c>
      <c r="B497" s="1">
        <v>962000500</v>
      </c>
      <c r="C497" s="1" t="str">
        <f>"تخليه -كهگيلويه وبويراحمد-گچساران - خيرآباد- كارخانه آسفالت مظفر"</f>
        <v>تخليه -كهگيلويه وبويراحمد-گچساران - خيرآباد- كارخانه آسفالت مظفر</v>
      </c>
      <c r="D497" s="1">
        <v>12820</v>
      </c>
      <c r="E497" s="1">
        <v>54382</v>
      </c>
      <c r="F497" s="1">
        <v>96</v>
      </c>
      <c r="G497" s="1">
        <v>0</v>
      </c>
      <c r="H497" s="1" t="str">
        <f>"96/09/20"</f>
        <v>96/09/20</v>
      </c>
      <c r="I497" s="1" t="str">
        <f>"كيلوگرم"</f>
        <v>كيلوگرم</v>
      </c>
      <c r="J497" s="1" t="str">
        <f>"0000000076"</f>
        <v>0000000076</v>
      </c>
      <c r="K497" s="1" t="str">
        <f>"قير 60/70 - فله"</f>
        <v>قير 60/70 - فله</v>
      </c>
      <c r="L497" s="1">
        <v>100</v>
      </c>
      <c r="M497" s="1" t="str">
        <f>"مخازن قير اصفهان"</f>
        <v>مخازن قير اصفهان</v>
      </c>
      <c r="N497" s="1">
        <v>11194</v>
      </c>
      <c r="O497" s="1">
        <v>50037877</v>
      </c>
      <c r="P497" s="1" t="str">
        <f>"  شهرداري سوق"</f>
        <v xml:space="preserve">  شهرداري سوق</v>
      </c>
      <c r="Q497" s="1">
        <v>20</v>
      </c>
      <c r="R497" s="1" t="str">
        <f>"فروش داخلي - سازمان شهرداري ها و دهياري هاي كشور"</f>
        <v>فروش داخلي - سازمان شهرداري ها و دهياري هاي كشور</v>
      </c>
      <c r="S497" s="1" t="str">
        <f>"قرارداد فروش"</f>
        <v>قرارداد فروش</v>
      </c>
      <c r="T497" s="1" t="str">
        <f>"ندارد"</f>
        <v>ندارد</v>
      </c>
      <c r="U497" s="1" t="str">
        <f>"تعاوني جم گستر (1001 ج 89)"</f>
        <v>تعاوني جم گستر (1001 ج 89)</v>
      </c>
      <c r="V497" s="1">
        <v>962000500</v>
      </c>
      <c r="W497" s="1">
        <v>962000500</v>
      </c>
      <c r="X497" s="1" t="str">
        <f>"1396529711"</f>
        <v>1396529711</v>
      </c>
      <c r="Y497" s="1" t="str">
        <f>"96/09/20"</f>
        <v>96/09/20</v>
      </c>
      <c r="Z497" s="1" t="str">
        <f>"38321مرحله دوم"</f>
        <v>38321مرحله دوم</v>
      </c>
      <c r="AA497" s="1" t="str">
        <f>"شهرداريها"</f>
        <v>شهرداريها</v>
      </c>
      <c r="AB497" s="1" t="str">
        <f>"96/09/11"</f>
        <v>96/09/11</v>
      </c>
      <c r="AC497" s="1" t="str">
        <f>"كهكيلويه و بوير احمد"</f>
        <v>كهكيلويه و بوير احمد</v>
      </c>
      <c r="AD497" s="1" t="str">
        <f>"96/09/13"</f>
        <v>96/09/13</v>
      </c>
      <c r="AE497" s="1" t="str">
        <f>"اختتام"</f>
        <v>اختتام</v>
      </c>
      <c r="AF497" s="1" t="str">
        <f>""</f>
        <v/>
      </c>
      <c r="AG497" s="1" t="str">
        <f>""</f>
        <v/>
      </c>
      <c r="AH497" s="1" t="str">
        <f>""</f>
        <v/>
      </c>
      <c r="AI497" s="1" t="str">
        <f>""</f>
        <v/>
      </c>
      <c r="AJ497" s="1" t="str">
        <f>""</f>
        <v/>
      </c>
      <c r="AK497" s="1" t="str">
        <f>""</f>
        <v/>
      </c>
    </row>
    <row r="498" spans="1:37">
      <c r="A498" s="1">
        <v>53655</v>
      </c>
      <c r="B498" s="1">
        <v>962000245</v>
      </c>
      <c r="C498" s="1" t="str">
        <f>"تخليه - يزد-چم-کارخانه آسفالت سازمان همياري"</f>
        <v>تخليه - يزد-چم-کارخانه آسفالت سازمان همياري</v>
      </c>
      <c r="D498" s="1">
        <v>9113</v>
      </c>
      <c r="E498" s="1">
        <v>53655</v>
      </c>
      <c r="F498" s="1">
        <v>96</v>
      </c>
      <c r="G498" s="1">
        <v>0</v>
      </c>
      <c r="H498" s="1" t="str">
        <f>"96/09/07"</f>
        <v>96/09/07</v>
      </c>
      <c r="I498" s="1" t="str">
        <f>"كيلوگرم"</f>
        <v>كيلوگرم</v>
      </c>
      <c r="J498" s="1" t="str">
        <f>"0000000076"</f>
        <v>0000000076</v>
      </c>
      <c r="K498" s="1" t="str">
        <f>"قير 60/70 - فله"</f>
        <v>قير 60/70 - فله</v>
      </c>
      <c r="L498" s="1">
        <v>100</v>
      </c>
      <c r="M498" s="1" t="str">
        <f>"مخازن قير اصفهان"</f>
        <v>مخازن قير اصفهان</v>
      </c>
      <c r="N498" s="1">
        <v>11200</v>
      </c>
      <c r="O498" s="1">
        <v>50037296</v>
      </c>
      <c r="P498" s="1" t="str">
        <f>"  شهرداري ندوشن"</f>
        <v xml:space="preserve">  شهرداري ندوشن</v>
      </c>
      <c r="Q498" s="1">
        <v>20</v>
      </c>
      <c r="R498" s="1" t="str">
        <f>"فروش داخلي - سازمان شهرداري ها و دهياري هاي كشور"</f>
        <v>فروش داخلي - سازمان شهرداري ها و دهياري هاي كشور</v>
      </c>
      <c r="S498" s="1" t="str">
        <f>"قرارداد فروش"</f>
        <v>قرارداد فروش</v>
      </c>
      <c r="T498" s="1" t="str">
        <f>"ندارد"</f>
        <v>ندارد</v>
      </c>
      <c r="U498" s="1" t="str">
        <f>"تعاوني جم گستر (1001 ج 89)"</f>
        <v>تعاوني جم گستر (1001 ج 89)</v>
      </c>
      <c r="V498" s="1">
        <v>962000245</v>
      </c>
      <c r="W498" s="1">
        <v>962000245</v>
      </c>
      <c r="X498" s="1" t="str">
        <f>"1396514467"</f>
        <v>1396514467</v>
      </c>
      <c r="Y498" s="1" t="str">
        <f>"96/09/07"</f>
        <v>96/09/07</v>
      </c>
      <c r="Z498" s="1" t="str">
        <f>"36653مرحله دوم"</f>
        <v>36653مرحله دوم</v>
      </c>
      <c r="AA498" s="1" t="str">
        <f>"شهرداريها"</f>
        <v>شهرداريها</v>
      </c>
      <c r="AB498" s="1" t="str">
        <f>"96/09/01"</f>
        <v>96/09/01</v>
      </c>
      <c r="AC498" s="1" t="str">
        <f>"استان يزد"</f>
        <v>استان يزد</v>
      </c>
      <c r="AD498" s="1" t="str">
        <f>"96/07/03"</f>
        <v>96/07/03</v>
      </c>
      <c r="AE498" s="1" t="str">
        <f>"اختتام"</f>
        <v>اختتام</v>
      </c>
      <c r="AF498" s="1" t="str">
        <f>""</f>
        <v/>
      </c>
      <c r="AG498" s="1" t="str">
        <f>""</f>
        <v/>
      </c>
      <c r="AH498" s="1" t="str">
        <f>""</f>
        <v/>
      </c>
      <c r="AI498" s="1" t="str">
        <f>""</f>
        <v/>
      </c>
      <c r="AJ498" s="1" t="str">
        <f>""</f>
        <v/>
      </c>
      <c r="AK498" s="1" t="str">
        <f>""</f>
        <v/>
      </c>
    </row>
    <row r="499" spans="1:37">
      <c r="A499" s="1">
        <v>59229</v>
      </c>
      <c r="B499" s="1">
        <v>962000244</v>
      </c>
      <c r="C499" s="1" t="str">
        <f>"تخليه يزداردكان كارخانه آسفالت هامون اردکان"</f>
        <v>تخليه يزداردكان كارخانه آسفالت هامون اردکان</v>
      </c>
      <c r="D499" s="1">
        <v>9113</v>
      </c>
      <c r="E499" s="1">
        <v>59229</v>
      </c>
      <c r="F499" s="1">
        <v>96</v>
      </c>
      <c r="G499" s="1">
        <v>0</v>
      </c>
      <c r="H499" s="1" t="str">
        <f>"96/09/07"</f>
        <v>96/09/07</v>
      </c>
      <c r="I499" s="1" t="str">
        <f>"كيلوگرم"</f>
        <v>كيلوگرم</v>
      </c>
      <c r="J499" s="1" t="str">
        <f>"0000000076"</f>
        <v>0000000076</v>
      </c>
      <c r="K499" s="1" t="str">
        <f>"قير 60/70 - فله"</f>
        <v>قير 60/70 - فله</v>
      </c>
      <c r="L499" s="1">
        <v>100</v>
      </c>
      <c r="M499" s="1" t="str">
        <f>"مخازن قير اصفهان"</f>
        <v>مخازن قير اصفهان</v>
      </c>
      <c r="N499" s="1">
        <v>11202</v>
      </c>
      <c r="O499" s="1">
        <v>50037295</v>
      </c>
      <c r="P499" s="1" t="str">
        <f>"  شهرداري بفروئيه"</f>
        <v xml:space="preserve">  شهرداري بفروئيه</v>
      </c>
      <c r="Q499" s="1">
        <v>20</v>
      </c>
      <c r="R499" s="1" t="str">
        <f>"فروش داخلي - سازمان شهرداري ها و دهياري هاي كشور"</f>
        <v>فروش داخلي - سازمان شهرداري ها و دهياري هاي كشور</v>
      </c>
      <c r="S499" s="1" t="str">
        <f>"قرارداد فروش"</f>
        <v>قرارداد فروش</v>
      </c>
      <c r="T499" s="1" t="str">
        <f>"ندارد"</f>
        <v>ندارد</v>
      </c>
      <c r="U499" s="1" t="str">
        <f>"تعاوني جم گستر (1001 ج 89)"</f>
        <v>تعاوني جم گستر (1001 ج 89)</v>
      </c>
      <c r="V499" s="1">
        <v>962000244</v>
      </c>
      <c r="W499" s="1">
        <v>962000244</v>
      </c>
      <c r="X499" s="1" t="str">
        <f>"1396514467"</f>
        <v>1396514467</v>
      </c>
      <c r="Y499" s="1" t="str">
        <f>"96/09/07"</f>
        <v>96/09/07</v>
      </c>
      <c r="Z499" s="1" t="str">
        <f>"36642مرحله دوم"</f>
        <v>36642مرحله دوم</v>
      </c>
      <c r="AA499" s="1" t="str">
        <f>"شهرداريها"</f>
        <v>شهرداريها</v>
      </c>
      <c r="AB499" s="1" t="str">
        <f>"96/09/01"</f>
        <v>96/09/01</v>
      </c>
      <c r="AC499" s="1" t="str">
        <f>"استان يزد"</f>
        <v>استان يزد</v>
      </c>
      <c r="AD499" s="1" t="str">
        <f>"96/07/03"</f>
        <v>96/07/03</v>
      </c>
      <c r="AE499" s="1" t="str">
        <f>"اختتام"</f>
        <v>اختتام</v>
      </c>
      <c r="AF499" s="1" t="str">
        <f>""</f>
        <v/>
      </c>
      <c r="AG499" s="1" t="str">
        <f>""</f>
        <v/>
      </c>
      <c r="AH499" s="1" t="str">
        <f>""</f>
        <v/>
      </c>
      <c r="AI499" s="1" t="str">
        <f>""</f>
        <v/>
      </c>
      <c r="AJ499" s="1" t="str">
        <f>""</f>
        <v/>
      </c>
      <c r="AK499" s="1" t="str">
        <f>""</f>
        <v/>
      </c>
    </row>
    <row r="500" spans="1:37">
      <c r="A500" s="1">
        <v>158000</v>
      </c>
      <c r="B500" s="1">
        <v>966200608</v>
      </c>
      <c r="C500" s="1" t="str">
        <f>"تخليه - کهگيلويه - باشت - جاده ده بزرگ -کارخانه آسفالت رزمان"</f>
        <v>تخليه - کهگيلويه - باشت - جاده ده بزرگ -کارخانه آسفالت رزمان</v>
      </c>
      <c r="D500" s="1">
        <v>13350</v>
      </c>
      <c r="E500" s="1">
        <v>158000</v>
      </c>
      <c r="F500" s="1">
        <v>96</v>
      </c>
      <c r="G500" s="1">
        <v>0</v>
      </c>
      <c r="H500" s="1" t="str">
        <f>"96/12/09"</f>
        <v>96/12/09</v>
      </c>
      <c r="I500" s="1" t="str">
        <f>"كيلوگرم"</f>
        <v>كيلوگرم</v>
      </c>
      <c r="J500" s="1" t="str">
        <f>"0000000076"</f>
        <v>0000000076</v>
      </c>
      <c r="K500" s="1" t="str">
        <f>"قير 60/70 - فله"</f>
        <v>قير 60/70 - فله</v>
      </c>
      <c r="L500" s="1">
        <v>100</v>
      </c>
      <c r="M500" s="1" t="str">
        <f>"مخازن قير اصفهان"</f>
        <v>مخازن قير اصفهان</v>
      </c>
      <c r="N500" s="1">
        <v>11203</v>
      </c>
      <c r="O500" s="1">
        <v>50038667</v>
      </c>
      <c r="P500" s="1" t="str">
        <f>"  مسير پيماي شياس"</f>
        <v xml:space="preserve">  مسير پيماي شياس</v>
      </c>
      <c r="Q500" s="1">
        <v>62</v>
      </c>
      <c r="R500" s="1" t="str">
        <f>"فروش داخلي - سازمان بنيادمسكن انقلاب اسلامي"</f>
        <v>فروش داخلي - سازمان بنيادمسكن انقلاب اسلامي</v>
      </c>
      <c r="S500" s="1" t="str">
        <f>"قرارداد فروش"</f>
        <v>قرارداد فروش</v>
      </c>
      <c r="T500" s="1" t="str">
        <f>"ندارد"</f>
        <v>ندارد</v>
      </c>
      <c r="U500" s="1" t="str">
        <f>"غلام نجفي سيامك‌‌‌‌‌‌(1881082)"</f>
        <v>غلام نجفي سيامك‌‌‌‌‌‌(1881082)</v>
      </c>
      <c r="V500" s="1">
        <v>966200608</v>
      </c>
      <c r="W500" s="1">
        <v>966200608</v>
      </c>
      <c r="X500" s="1" t="str">
        <f>"1396551611"</f>
        <v>1396551611</v>
      </c>
      <c r="Y500" s="1" t="str">
        <f>"96/12/09"</f>
        <v>96/12/09</v>
      </c>
      <c r="Z500" s="1" t="str">
        <f>"55760/د"</f>
        <v>55760/د</v>
      </c>
      <c r="AA500" s="1" t="str">
        <f>"بنيادمسكن انقلاب اسلامي"</f>
        <v>بنيادمسكن انقلاب اسلامي</v>
      </c>
      <c r="AB500" s="1" t="str">
        <f>"96/12/08"</f>
        <v>96/12/08</v>
      </c>
      <c r="AC500" s="1" t="str">
        <f>"كهكيلويه و بوير احمد"</f>
        <v>كهكيلويه و بوير احمد</v>
      </c>
      <c r="AD500" s="1" t="str">
        <f>"96/12/09"</f>
        <v>96/12/09</v>
      </c>
      <c r="AE500" s="1" t="str">
        <f>"اختتام"</f>
        <v>اختتام</v>
      </c>
      <c r="AF500" s="1" t="str">
        <f>""</f>
        <v/>
      </c>
      <c r="AG500" s="1" t="str">
        <f>""</f>
        <v/>
      </c>
      <c r="AH500" s="1" t="str">
        <f>""</f>
        <v/>
      </c>
      <c r="AI500" s="1" t="str">
        <f>""</f>
        <v/>
      </c>
      <c r="AJ500" s="1" t="str">
        <f>""</f>
        <v/>
      </c>
      <c r="AK500" s="1" t="str">
        <f>""</f>
        <v/>
      </c>
    </row>
    <row r="501" spans="1:37">
      <c r="A501" s="1">
        <v>104247</v>
      </c>
      <c r="B501" s="1">
        <v>962000200</v>
      </c>
      <c r="C501" s="1" t="str">
        <f>"تخليه كرمان جاده اناريزد20كيلومتري يزدشركت زاويه سازيزد"</f>
        <v>تخليه كرمان جاده اناريزد20كيلومتري يزدشركت زاويه سازيزد</v>
      </c>
      <c r="D501" s="1">
        <v>9113</v>
      </c>
      <c r="E501" s="1">
        <v>104247</v>
      </c>
      <c r="F501" s="1">
        <v>96</v>
      </c>
      <c r="G501" s="1">
        <v>0</v>
      </c>
      <c r="H501" s="1" t="str">
        <f>"96/07/03"</f>
        <v>96/07/03</v>
      </c>
      <c r="I501" s="1" t="str">
        <f>"كيلوگرم"</f>
        <v>كيلوگرم</v>
      </c>
      <c r="J501" s="1" t="str">
        <f>"0000000076"</f>
        <v>0000000076</v>
      </c>
      <c r="K501" s="1" t="str">
        <f>"قير 60/70 - فله"</f>
        <v>قير 60/70 - فله</v>
      </c>
      <c r="L501" s="1">
        <v>100</v>
      </c>
      <c r="M501" s="1" t="str">
        <f>"مخازن قير اصفهان"</f>
        <v>مخازن قير اصفهان</v>
      </c>
      <c r="N501" s="1">
        <v>10877</v>
      </c>
      <c r="O501" s="1">
        <v>50036425</v>
      </c>
      <c r="P501" s="1" t="str">
        <f>"  شهرداري امين شهر"</f>
        <v xml:space="preserve">  شهرداري امين شهر</v>
      </c>
      <c r="Q501" s="1">
        <v>20</v>
      </c>
      <c r="R501" s="1" t="str">
        <f>"فروش داخلي - سازمان شهرداري ها و دهياري هاي كشور"</f>
        <v>فروش داخلي - سازمان شهرداري ها و دهياري هاي كشور</v>
      </c>
      <c r="S501" s="1" t="str">
        <f>"قرارداد فروش"</f>
        <v>قرارداد فروش</v>
      </c>
      <c r="T501" s="1" t="str">
        <f>"ندارد"</f>
        <v>ندارد</v>
      </c>
      <c r="U501" s="1" t="str">
        <f>"تعاوني جم گستر (1001 ج 89)"</f>
        <v>تعاوني جم گستر (1001 ج 89)</v>
      </c>
      <c r="V501" s="1">
        <v>962000200</v>
      </c>
      <c r="W501" s="1">
        <v>962000200</v>
      </c>
      <c r="X501" s="1" t="str">
        <f>"1396514467"</f>
        <v>1396514467</v>
      </c>
      <c r="Y501" s="1" t="str">
        <f>"96/07/03"</f>
        <v>96/07/03</v>
      </c>
      <c r="Z501" s="1" t="str">
        <f>"26799مرحله اول"</f>
        <v>26799مرحله اول</v>
      </c>
      <c r="AA501" s="1" t="str">
        <f>"شهرداريها"</f>
        <v>شهرداريها</v>
      </c>
      <c r="AB501" s="1" t="str">
        <f>"96/06/29"</f>
        <v>96/06/29</v>
      </c>
      <c r="AC501" s="1" t="str">
        <f>"استان كرمان"</f>
        <v>استان كرمان</v>
      </c>
      <c r="AD501" s="1" t="str">
        <f>"96/07/03"</f>
        <v>96/07/03</v>
      </c>
      <c r="AE501" s="1" t="str">
        <f>"اختتام"</f>
        <v>اختتام</v>
      </c>
      <c r="AF501" s="1" t="str">
        <f>""</f>
        <v/>
      </c>
      <c r="AG501" s="1" t="str">
        <f>""</f>
        <v/>
      </c>
      <c r="AH501" s="1" t="str">
        <f>""</f>
        <v/>
      </c>
      <c r="AI501" s="1" t="str">
        <f>""</f>
        <v/>
      </c>
      <c r="AJ501" s="1" t="str">
        <f>""</f>
        <v/>
      </c>
      <c r="AK501" s="1" t="str">
        <f>""</f>
        <v/>
      </c>
    </row>
    <row r="502" spans="1:37">
      <c r="A502" s="1">
        <v>61217</v>
      </c>
      <c r="B502" s="1">
        <v>962000492</v>
      </c>
      <c r="C502" s="1" t="str">
        <f>"تخليه-کهگيلويه و بويراحمد-ياسوج-کارخانه آسفالت زارع"</f>
        <v>تخليه-کهگيلويه و بويراحمد-ياسوج-کارخانه آسفالت زارع</v>
      </c>
      <c r="D502" s="1">
        <v>12820</v>
      </c>
      <c r="E502" s="1">
        <v>61217</v>
      </c>
      <c r="F502" s="1">
        <v>96</v>
      </c>
      <c r="G502" s="1">
        <v>0</v>
      </c>
      <c r="H502" s="1" t="str">
        <f>"96/09/20"</f>
        <v>96/09/20</v>
      </c>
      <c r="I502" s="1" t="str">
        <f>"كيلوگرم"</f>
        <v>كيلوگرم</v>
      </c>
      <c r="J502" s="1" t="str">
        <f>"0000000076"</f>
        <v>0000000076</v>
      </c>
      <c r="K502" s="1" t="str">
        <f>"قير 60/70 - فله"</f>
        <v>قير 60/70 - فله</v>
      </c>
      <c r="L502" s="1">
        <v>100</v>
      </c>
      <c r="M502" s="1" t="str">
        <f>"مخازن قير اصفهان"</f>
        <v>مخازن قير اصفهان</v>
      </c>
      <c r="N502" s="1">
        <v>11207</v>
      </c>
      <c r="O502" s="1">
        <v>50037867</v>
      </c>
      <c r="P502" s="1" t="str">
        <f>"  شهرداري مادوان"</f>
        <v xml:space="preserve">  شهرداري مادوان</v>
      </c>
      <c r="Q502" s="1">
        <v>20</v>
      </c>
      <c r="R502" s="1" t="str">
        <f>"فروش داخلي - سازمان شهرداري ها و دهياري هاي كشور"</f>
        <v>فروش داخلي - سازمان شهرداري ها و دهياري هاي كشور</v>
      </c>
      <c r="S502" s="1" t="str">
        <f>"قرارداد فروش"</f>
        <v>قرارداد فروش</v>
      </c>
      <c r="T502" s="1" t="str">
        <f>"ندارد"</f>
        <v>ندارد</v>
      </c>
      <c r="U502" s="1" t="str">
        <f>"تعاوني جم گستر (1001 ج 89)"</f>
        <v>تعاوني جم گستر (1001 ج 89)</v>
      </c>
      <c r="V502" s="1">
        <v>962000492</v>
      </c>
      <c r="W502" s="1">
        <v>962000492</v>
      </c>
      <c r="X502" s="1" t="str">
        <f>"1396529711"</f>
        <v>1396529711</v>
      </c>
      <c r="Y502" s="1" t="str">
        <f>"96/09/20"</f>
        <v>96/09/20</v>
      </c>
      <c r="Z502" s="1" t="str">
        <f>"38288مرحله دوم"</f>
        <v>38288مرحله دوم</v>
      </c>
      <c r="AA502" s="1" t="str">
        <f>"شهرداريها"</f>
        <v>شهرداريها</v>
      </c>
      <c r="AB502" s="1" t="str">
        <f>"96/09/11"</f>
        <v>96/09/11</v>
      </c>
      <c r="AC502" s="1" t="str">
        <f>"كهكيلويه و بوير احمد"</f>
        <v>كهكيلويه و بوير احمد</v>
      </c>
      <c r="AD502" s="1" t="str">
        <f>"96/09/13"</f>
        <v>96/09/13</v>
      </c>
      <c r="AE502" s="1" t="str">
        <f>"اختتام"</f>
        <v>اختتام</v>
      </c>
      <c r="AF502" s="1" t="str">
        <f>""</f>
        <v/>
      </c>
      <c r="AG502" s="1" t="str">
        <f>""</f>
        <v/>
      </c>
      <c r="AH502" s="1" t="str">
        <f>""</f>
        <v/>
      </c>
      <c r="AI502" s="1" t="str">
        <f>""</f>
        <v/>
      </c>
      <c r="AJ502" s="1" t="str">
        <f>""</f>
        <v/>
      </c>
      <c r="AK502" s="1" t="str">
        <f>""</f>
        <v/>
      </c>
    </row>
    <row r="503" spans="1:37">
      <c r="A503" s="1">
        <v>107000</v>
      </c>
      <c r="B503" s="1">
        <v>966200124</v>
      </c>
      <c r="C503" s="1" t="str">
        <f>"تخليه - گلستان- مينودشت -کيلومتر 5 جاده مينودشت به گنبد-روبروي کارخانه نورد-شرکت راه گستران مينو"</f>
        <v>تخليه - گلستان- مينودشت -کيلومتر 5 جاده مينودشت به گنبد-روبروي کارخانه نورد-شرکت راه گستران مينو</v>
      </c>
      <c r="D503" s="1">
        <v>8704</v>
      </c>
      <c r="E503" s="1">
        <v>106740</v>
      </c>
      <c r="F503" s="1">
        <v>96</v>
      </c>
      <c r="G503" s="1">
        <v>260</v>
      </c>
      <c r="H503" s="1" t="str">
        <f>"96/04/13"</f>
        <v>96/04/13</v>
      </c>
      <c r="I503" s="1" t="str">
        <f>"كيلوگرم"</f>
        <v>كيلوگرم</v>
      </c>
      <c r="J503" s="1" t="str">
        <f>"0000000076"</f>
        <v>0000000076</v>
      </c>
      <c r="K503" s="1" t="str">
        <f>"قير 60/70 - فله"</f>
        <v>قير 60/70 - فله</v>
      </c>
      <c r="L503" s="1">
        <v>100</v>
      </c>
      <c r="M503" s="1" t="str">
        <f>"مخازن قير اصفهان"</f>
        <v>مخازن قير اصفهان</v>
      </c>
      <c r="N503" s="1">
        <v>11263</v>
      </c>
      <c r="O503" s="1">
        <v>50035092</v>
      </c>
      <c r="P503" s="1" t="str">
        <f>"  راه گستران مينو"</f>
        <v xml:space="preserve">  راه گستران مينو</v>
      </c>
      <c r="Q503" s="1">
        <v>62</v>
      </c>
      <c r="R503" s="1" t="str">
        <f>"فروش داخلي - سازمان بنيادمسكن انقلاب اسلامي"</f>
        <v>فروش داخلي - سازمان بنيادمسكن انقلاب اسلامي</v>
      </c>
      <c r="S503" s="1" t="str">
        <f>"قرارداد فروش"</f>
        <v>قرارداد فروش</v>
      </c>
      <c r="T503" s="1" t="str">
        <f>"ندارد"</f>
        <v>ندارد</v>
      </c>
      <c r="U503" s="1" t="str">
        <f>"خوش نيت مجتبي(1841021)"</f>
        <v>خوش نيت مجتبي(1841021)</v>
      </c>
      <c r="V503" s="1">
        <v>966200124</v>
      </c>
      <c r="W503" s="1">
        <v>966200124</v>
      </c>
      <c r="X503" s="1" t="str">
        <f>"1396493156"</f>
        <v>1396493156</v>
      </c>
      <c r="Y503" s="1" t="str">
        <f>"96/04/13"</f>
        <v>96/04/13</v>
      </c>
      <c r="Z503" s="1" t="str">
        <f>"14326/د"</f>
        <v>14326/د</v>
      </c>
      <c r="AA503" s="1" t="str">
        <f>"بنيادمسكن انقلاب اسلامي"</f>
        <v>بنيادمسكن انقلاب اسلامي</v>
      </c>
      <c r="AB503" s="1" t="str">
        <f>"96/04/12"</f>
        <v>96/04/12</v>
      </c>
      <c r="AC503" s="1" t="str">
        <f>"استان گلستان"</f>
        <v>استان گلستان</v>
      </c>
      <c r="AD503" s="1" t="str">
        <f>"96/04/13"</f>
        <v>96/04/13</v>
      </c>
      <c r="AE503" s="1" t="str">
        <f>"اختتام"</f>
        <v>اختتام</v>
      </c>
      <c r="AF503" s="1" t="str">
        <f>""</f>
        <v/>
      </c>
      <c r="AG503" s="1" t="str">
        <f>""</f>
        <v/>
      </c>
      <c r="AH503" s="1" t="str">
        <f>""</f>
        <v/>
      </c>
      <c r="AI503" s="1" t="str">
        <f>""</f>
        <v/>
      </c>
      <c r="AJ503" s="1" t="str">
        <f>""</f>
        <v/>
      </c>
      <c r="AK503" s="1" t="str">
        <f>""</f>
        <v/>
      </c>
    </row>
    <row r="504" spans="1:37">
      <c r="A504" s="1">
        <v>324000</v>
      </c>
      <c r="B504" s="1">
        <v>966200502</v>
      </c>
      <c r="C504" s="1" t="str">
        <f>"تخليه - کرمان - کيلومتر 15 جاده کرمان زرند-روبروي پمپ بنزين-کارخانه آسفالت گستران زنگلان"</f>
        <v>تخليه - کرمان - کيلومتر 15 جاده کرمان زرند-روبروي پمپ بنزين-کارخانه آسفالت گستران زنگلان</v>
      </c>
      <c r="D504" s="1">
        <v>12850</v>
      </c>
      <c r="E504" s="1">
        <v>324000</v>
      </c>
      <c r="F504" s="1">
        <v>96</v>
      </c>
      <c r="G504" s="1">
        <v>0</v>
      </c>
      <c r="H504" s="1" t="str">
        <f>"96/10/12"</f>
        <v>96/10/12</v>
      </c>
      <c r="I504" s="1" t="str">
        <f>"كيلوگرم"</f>
        <v>كيلوگرم</v>
      </c>
      <c r="J504" s="1" t="str">
        <f>"0000000076"</f>
        <v>0000000076</v>
      </c>
      <c r="K504" s="1" t="str">
        <f>"قير 60/70 - فله"</f>
        <v>قير 60/70 - فله</v>
      </c>
      <c r="L504" s="1">
        <v>100</v>
      </c>
      <c r="M504" s="1" t="str">
        <f>"مخازن قير اصفهان"</f>
        <v>مخازن قير اصفهان</v>
      </c>
      <c r="N504" s="1">
        <v>11288</v>
      </c>
      <c r="O504" s="1">
        <v>50038035</v>
      </c>
      <c r="P504" s="1" t="str">
        <f>"  آسفالت گستران زنگلان"</f>
        <v xml:space="preserve">  آسفالت گستران زنگلان</v>
      </c>
      <c r="Q504" s="1">
        <v>62</v>
      </c>
      <c r="R504" s="1" t="str">
        <f>"فروش داخلي - سازمان بنيادمسكن انقلاب اسلامي"</f>
        <v>فروش داخلي - سازمان بنيادمسكن انقلاب اسلامي</v>
      </c>
      <c r="S504" s="1" t="str">
        <f>"قرارداد فروش"</f>
        <v>قرارداد فروش</v>
      </c>
      <c r="T504" s="1" t="str">
        <f>"ندارد"</f>
        <v>ندارد</v>
      </c>
      <c r="U504" s="1" t="str">
        <f>"دهقانيان بيژن (4954038)"</f>
        <v>دهقانيان بيژن (4954038)</v>
      </c>
      <c r="V504" s="1">
        <v>966200502</v>
      </c>
      <c r="W504" s="1">
        <v>966200502</v>
      </c>
      <c r="X504" s="1" t="str">
        <f>"1396536916"</f>
        <v>1396536916</v>
      </c>
      <c r="Y504" s="1" t="str">
        <f>"96/10/12"</f>
        <v>96/10/12</v>
      </c>
      <c r="Z504" s="1" t="str">
        <f>"45269/د"</f>
        <v>45269/د</v>
      </c>
      <c r="AA504" s="1" t="str">
        <f>"بنيادمسكن انقلاب اسلامي"</f>
        <v>بنيادمسكن انقلاب اسلامي</v>
      </c>
      <c r="AB504" s="1" t="str">
        <f>"96/10/12"</f>
        <v>96/10/12</v>
      </c>
      <c r="AC504" s="1" t="str">
        <f>"استان كرمان"</f>
        <v>استان كرمان</v>
      </c>
      <c r="AD504" s="1" t="str">
        <f>"96/10/12"</f>
        <v>96/10/12</v>
      </c>
      <c r="AE504" s="1" t="str">
        <f>"اختتام"</f>
        <v>اختتام</v>
      </c>
      <c r="AF504" s="1" t="str">
        <f>""</f>
        <v/>
      </c>
      <c r="AG504" s="1" t="str">
        <f>""</f>
        <v/>
      </c>
      <c r="AH504" s="1" t="str">
        <f>""</f>
        <v/>
      </c>
      <c r="AI504" s="1" t="str">
        <f>""</f>
        <v/>
      </c>
      <c r="AJ504" s="1" t="str">
        <f>""</f>
        <v/>
      </c>
      <c r="AK504" s="1" t="str">
        <f>""</f>
        <v/>
      </c>
    </row>
    <row r="505" spans="1:37">
      <c r="A505" s="1">
        <v>206000</v>
      </c>
      <c r="B505" s="1">
        <v>966200645</v>
      </c>
      <c r="C505" s="1" t="str">
        <f>"تخليه - کرمان - رفسنجان-کيلومتر 20جاده رفسنجان-تهران-شرکت تعاوني دهياري ها"</f>
        <v>تخليه - کرمان - رفسنجان-کيلومتر 20جاده رفسنجان-تهران-شرکت تعاوني دهياري ها</v>
      </c>
      <c r="D505" s="1">
        <v>13350</v>
      </c>
      <c r="E505" s="1">
        <v>205560</v>
      </c>
      <c r="F505" s="1">
        <v>96</v>
      </c>
      <c r="G505" s="1">
        <v>440</v>
      </c>
      <c r="H505" s="1" t="str">
        <f>"96/12/14"</f>
        <v>96/12/14</v>
      </c>
      <c r="I505" s="1" t="str">
        <f>"كيلوگرم"</f>
        <v>كيلوگرم</v>
      </c>
      <c r="J505" s="1" t="str">
        <f>"0000000076"</f>
        <v>0000000076</v>
      </c>
      <c r="K505" s="1" t="str">
        <f>"قير 60/70 - فله"</f>
        <v>قير 60/70 - فله</v>
      </c>
      <c r="L505" s="1">
        <v>100</v>
      </c>
      <c r="M505" s="1" t="str">
        <f>"مخازن قير اصفهان"</f>
        <v>مخازن قير اصفهان</v>
      </c>
      <c r="N505" s="1">
        <v>11318</v>
      </c>
      <c r="O505" s="1">
        <v>50038766</v>
      </c>
      <c r="P505" s="1" t="str">
        <f>"  زاويه سازان کوير"</f>
        <v xml:space="preserve">  زاويه سازان کوير</v>
      </c>
      <c r="Q505" s="1">
        <v>62</v>
      </c>
      <c r="R505" s="1" t="str">
        <f>"فروش داخلي - سازمان بنيادمسكن انقلاب اسلامي"</f>
        <v>فروش داخلي - سازمان بنيادمسكن انقلاب اسلامي</v>
      </c>
      <c r="S505" s="1" t="str">
        <f>"قرارداد فروش"</f>
        <v>قرارداد فروش</v>
      </c>
      <c r="T505" s="1" t="str">
        <f>"ندارد"</f>
        <v>ندارد</v>
      </c>
      <c r="U505" s="1" t="str">
        <f>"قانعي محمدرضا(1011ج89)"</f>
        <v>قانعي محمدرضا(1011ج89)</v>
      </c>
      <c r="V505" s="1">
        <v>966200645</v>
      </c>
      <c r="W505" s="1">
        <v>966200645</v>
      </c>
      <c r="X505" s="1" t="str">
        <f>"1396552261"</f>
        <v>1396552261</v>
      </c>
      <c r="Y505" s="1" t="str">
        <f>"96/12/14"</f>
        <v>96/12/14</v>
      </c>
      <c r="Z505" s="1" t="str">
        <f>"56621/د"</f>
        <v>56621/د</v>
      </c>
      <c r="AA505" s="1" t="str">
        <f>"بنيادمسكن انقلاب اسلامي"</f>
        <v>بنيادمسكن انقلاب اسلامي</v>
      </c>
      <c r="AB505" s="1" t="str">
        <f>"96/12/13"</f>
        <v>96/12/13</v>
      </c>
      <c r="AC505" s="1" t="str">
        <f>"استان كرمان"</f>
        <v>استان كرمان</v>
      </c>
      <c r="AD505" s="1" t="str">
        <f>"96/12/14"</f>
        <v>96/12/14</v>
      </c>
      <c r="AE505" s="1" t="str">
        <f>"اختتام"</f>
        <v>اختتام</v>
      </c>
      <c r="AF505" s="1" t="str">
        <f>""</f>
        <v/>
      </c>
      <c r="AG505" s="1" t="str">
        <f>""</f>
        <v/>
      </c>
      <c r="AH505" s="1" t="str">
        <f>""</f>
        <v/>
      </c>
      <c r="AI505" s="1" t="str">
        <f>""</f>
        <v/>
      </c>
      <c r="AJ505" s="1" t="str">
        <f>""</f>
        <v/>
      </c>
      <c r="AK505" s="1" t="str">
        <f>""</f>
        <v/>
      </c>
    </row>
    <row r="506" spans="1:37">
      <c r="A506" s="1">
        <v>50000</v>
      </c>
      <c r="B506" s="1">
        <v>966200661</v>
      </c>
      <c r="C506" s="1" t="str">
        <f>"تخليه - قزوين-تاکستان-شهرک صنعتي خرم دشت-کارخانه آسفالت شرکت سريع سازان البرز"</f>
        <v>تخليه - قزوين-تاکستان-شهرک صنعتي خرم دشت-کارخانه آسفالت شرکت سريع سازان البرز</v>
      </c>
      <c r="D506" s="1">
        <v>13350</v>
      </c>
      <c r="E506" s="1">
        <v>49400</v>
      </c>
      <c r="F506" s="1">
        <v>96</v>
      </c>
      <c r="G506" s="1">
        <v>600</v>
      </c>
      <c r="H506" s="1" t="str">
        <f>"96/12/15"</f>
        <v>96/12/15</v>
      </c>
      <c r="I506" s="1" t="str">
        <f>"كيلوگرم"</f>
        <v>كيلوگرم</v>
      </c>
      <c r="J506" s="1" t="str">
        <f>"0000000076"</f>
        <v>0000000076</v>
      </c>
      <c r="K506" s="1" t="str">
        <f>"قير 60/70 - فله"</f>
        <v>قير 60/70 - فله</v>
      </c>
      <c r="L506" s="1">
        <v>100</v>
      </c>
      <c r="M506" s="1" t="str">
        <f>"مخازن قير اصفهان"</f>
        <v>مخازن قير اصفهان</v>
      </c>
      <c r="N506" s="1">
        <v>11349</v>
      </c>
      <c r="O506" s="1">
        <v>50038789</v>
      </c>
      <c r="P506" s="1" t="str">
        <f>"  بنيادمسکن استان قزوين"</f>
        <v xml:space="preserve">  بنيادمسکن استان قزوين</v>
      </c>
      <c r="Q506" s="1">
        <v>62</v>
      </c>
      <c r="R506" s="1" t="str">
        <f>"فروش داخلي - سازمان بنيادمسكن انقلاب اسلامي"</f>
        <v>فروش داخلي - سازمان بنيادمسكن انقلاب اسلامي</v>
      </c>
      <c r="S506" s="1" t="str">
        <f>"قرارداد فروش"</f>
        <v>قرارداد فروش</v>
      </c>
      <c r="T506" s="1" t="str">
        <f>"ندارد"</f>
        <v>ندارد</v>
      </c>
      <c r="U506" s="1" t="str">
        <f>"سليمي پارساعارف عماد(1901096)"</f>
        <v>سليمي پارساعارف عماد(1901096)</v>
      </c>
      <c r="V506" s="1">
        <v>966200661</v>
      </c>
      <c r="W506" s="1">
        <v>966200661</v>
      </c>
      <c r="X506" s="1" t="str">
        <f>"1396552658"</f>
        <v>1396552658</v>
      </c>
      <c r="Y506" s="1" t="str">
        <f>"96/12/15"</f>
        <v>96/12/15</v>
      </c>
      <c r="Z506" s="1" t="str">
        <f>"57110/د"</f>
        <v>57110/د</v>
      </c>
      <c r="AA506" s="1" t="str">
        <f>"بنيادمسكن انقلاب اسلامي"</f>
        <v>بنيادمسكن انقلاب اسلامي</v>
      </c>
      <c r="AB506" s="1" t="str">
        <f>"96/12/15"</f>
        <v>96/12/15</v>
      </c>
      <c r="AC506" s="1" t="str">
        <f>"قزوين"</f>
        <v>قزوين</v>
      </c>
      <c r="AD506" s="1" t="str">
        <f>"96/12/15"</f>
        <v>96/12/15</v>
      </c>
      <c r="AE506" s="1" t="str">
        <f>"اختتام"</f>
        <v>اختتام</v>
      </c>
      <c r="AF506" s="1" t="str">
        <f>""</f>
        <v/>
      </c>
      <c r="AG506" s="1" t="str">
        <f>""</f>
        <v/>
      </c>
      <c r="AH506" s="1" t="str">
        <f>""</f>
        <v/>
      </c>
      <c r="AI506" s="1" t="str">
        <f>""</f>
        <v/>
      </c>
      <c r="AJ506" s="1" t="str">
        <f>""</f>
        <v/>
      </c>
      <c r="AK506" s="1" t="str">
        <f>""</f>
        <v/>
      </c>
    </row>
    <row r="507" spans="1:37">
      <c r="A507" s="1">
        <v>86000</v>
      </c>
      <c r="B507" s="1">
        <v>966200204</v>
      </c>
      <c r="C507" s="1" t="str">
        <f>"تخليه - سيستان و بلوچستان-هامون-شهرمحمدآباد -کارخانه آسفالت برادران طباطبايي"</f>
        <v>تخليه - سيستان و بلوچستان-هامون-شهرمحمدآباد -کارخانه آسفالت برادران طباطبايي</v>
      </c>
      <c r="D507" s="1">
        <v>8704</v>
      </c>
      <c r="E507" s="1">
        <v>85140</v>
      </c>
      <c r="F507" s="1">
        <v>96</v>
      </c>
      <c r="G507" s="1">
        <v>860</v>
      </c>
      <c r="H507" s="1" t="str">
        <f>"96/05/31"</f>
        <v>96/05/31</v>
      </c>
      <c r="I507" s="1" t="str">
        <f>"كيلوگرم"</f>
        <v>كيلوگرم</v>
      </c>
      <c r="J507" s="1" t="str">
        <f>"0000000076"</f>
        <v>0000000076</v>
      </c>
      <c r="K507" s="1" t="str">
        <f>"قير 60/70 - فله"</f>
        <v>قير 60/70 - فله</v>
      </c>
      <c r="L507" s="1">
        <v>100</v>
      </c>
      <c r="M507" s="1" t="str">
        <f>"مخازن قير اصفهان"</f>
        <v>مخازن قير اصفهان</v>
      </c>
      <c r="N507" s="1">
        <v>11360</v>
      </c>
      <c r="O507" s="1">
        <v>50035770</v>
      </c>
      <c r="P507" s="1" t="str">
        <f>"  پارت سازان هامون"</f>
        <v xml:space="preserve">  پارت سازان هامون</v>
      </c>
      <c r="Q507" s="1">
        <v>62</v>
      </c>
      <c r="R507" s="1" t="str">
        <f>"فروش داخلي - سازمان بنيادمسكن انقلاب اسلامي"</f>
        <v>فروش داخلي - سازمان بنيادمسكن انقلاب اسلامي</v>
      </c>
      <c r="S507" s="1" t="str">
        <f>"قرارداد فروش"</f>
        <v>قرارداد فروش</v>
      </c>
      <c r="T507" s="1" t="str">
        <f>"ندارد"</f>
        <v>ندارد</v>
      </c>
      <c r="U507" s="1" t="str">
        <f>"قانعي محمدرضا(1011ج89)"</f>
        <v>قانعي محمدرضا(1011ج89)</v>
      </c>
      <c r="V507" s="1">
        <v>966200204</v>
      </c>
      <c r="W507" s="1">
        <v>966200204</v>
      </c>
      <c r="X507" s="1" t="str">
        <f>"1396507045"</f>
        <v>1396507045</v>
      </c>
      <c r="Y507" s="1" t="str">
        <f>"96/05/31"</f>
        <v>96/05/31</v>
      </c>
      <c r="Z507" s="1" t="str">
        <f>"23004/د"</f>
        <v>23004/د</v>
      </c>
      <c r="AA507" s="1" t="str">
        <f>"بنيادمسكن انقلاب اسلامي"</f>
        <v>بنيادمسكن انقلاب اسلامي</v>
      </c>
      <c r="AB507" s="1" t="str">
        <f>"96/05/29"</f>
        <v>96/05/29</v>
      </c>
      <c r="AC507" s="1" t="str">
        <f>"استان سيستان بلوچستان"</f>
        <v>استان سيستان بلوچستان</v>
      </c>
      <c r="AD507" s="1" t="str">
        <f>"96/05/31"</f>
        <v>96/05/31</v>
      </c>
      <c r="AE507" s="1" t="str">
        <f>"اختتام"</f>
        <v>اختتام</v>
      </c>
      <c r="AF507" s="1" t="str">
        <f>""</f>
        <v/>
      </c>
      <c r="AG507" s="1" t="str">
        <f>""</f>
        <v/>
      </c>
      <c r="AH507" s="1" t="str">
        <f>""</f>
        <v/>
      </c>
      <c r="AI507" s="1" t="str">
        <f>""</f>
        <v/>
      </c>
      <c r="AJ507" s="1" t="str">
        <f>""</f>
        <v/>
      </c>
      <c r="AK507" s="1" t="str">
        <f>""</f>
        <v/>
      </c>
    </row>
    <row r="508" spans="1:37">
      <c r="A508" s="1">
        <v>15000</v>
      </c>
      <c r="B508" s="1">
        <v>966200440</v>
      </c>
      <c r="C508" s="1" t="str">
        <f>"تخليه سيتان وبلوچستان چابهارروستاي كمبل سليمان"</f>
        <v>تخليه سيتان وبلوچستان چابهارروستاي كمبل سليمان</v>
      </c>
      <c r="D508" s="1">
        <v>12820</v>
      </c>
      <c r="E508" s="1">
        <v>14280</v>
      </c>
      <c r="F508" s="1">
        <v>96</v>
      </c>
      <c r="G508" s="1">
        <v>720</v>
      </c>
      <c r="H508" s="1" t="str">
        <f>"96/09/20"</f>
        <v>96/09/20</v>
      </c>
      <c r="I508" s="1" t="str">
        <f>"كيلوگرم"</f>
        <v>كيلوگرم</v>
      </c>
      <c r="J508" s="1" t="str">
        <f>"0000000076"</f>
        <v>0000000076</v>
      </c>
      <c r="K508" s="1" t="str">
        <f>"قير 60/70 - فله"</f>
        <v>قير 60/70 - فله</v>
      </c>
      <c r="L508" s="1">
        <v>100</v>
      </c>
      <c r="M508" s="1" t="str">
        <f>"مخازن قير اصفهان"</f>
        <v>مخازن قير اصفهان</v>
      </c>
      <c r="N508" s="1">
        <v>11361</v>
      </c>
      <c r="O508" s="1">
        <v>50037632</v>
      </c>
      <c r="P508" s="1" t="str">
        <f>"  سانلي سازه جنوب"</f>
        <v xml:space="preserve">  سانلي سازه جنوب</v>
      </c>
      <c r="Q508" s="1">
        <v>62</v>
      </c>
      <c r="R508" s="1" t="str">
        <f>"فروش داخلي - سازمان بنيادمسكن انقلاب اسلامي"</f>
        <v>فروش داخلي - سازمان بنيادمسكن انقلاب اسلامي</v>
      </c>
      <c r="S508" s="1" t="str">
        <f>"قرارداد فروش"</f>
        <v>قرارداد فروش</v>
      </c>
      <c r="T508" s="1" t="str">
        <f>"ندارد"</f>
        <v>ندارد</v>
      </c>
      <c r="U508" s="1" t="str">
        <f>"بلوچ پاسارگاد(5965002)"</f>
        <v>بلوچ پاسارگاد(5965002)</v>
      </c>
      <c r="V508" s="1">
        <v>966200440</v>
      </c>
      <c r="W508" s="1">
        <v>966200440</v>
      </c>
      <c r="X508" s="1" t="str">
        <f>"1396531357"</f>
        <v>1396531357</v>
      </c>
      <c r="Y508" s="1" t="str">
        <f>"96/09/20"</f>
        <v>96/09/20</v>
      </c>
      <c r="Z508" s="1" t="str">
        <f>"41333/د"</f>
        <v>41333/د</v>
      </c>
      <c r="AA508" s="1" t="str">
        <f>"بنيادمسكن انقلاب اسلامي"</f>
        <v>بنيادمسكن انقلاب اسلامي</v>
      </c>
      <c r="AB508" s="1" t="str">
        <f>"96/09/20"</f>
        <v>96/09/20</v>
      </c>
      <c r="AC508" s="1" t="str">
        <f>"استان سيستان بلوچستان"</f>
        <v>استان سيستان بلوچستان</v>
      </c>
      <c r="AD508" s="1" t="str">
        <f>"96/09/20"</f>
        <v>96/09/20</v>
      </c>
      <c r="AE508" s="1" t="str">
        <f>"اختتام"</f>
        <v>اختتام</v>
      </c>
      <c r="AF508" s="1" t="str">
        <f>""</f>
        <v/>
      </c>
      <c r="AG508" s="1" t="str">
        <f>""</f>
        <v/>
      </c>
      <c r="AH508" s="1" t="str">
        <f>""</f>
        <v/>
      </c>
      <c r="AI508" s="1" t="str">
        <f>""</f>
        <v/>
      </c>
      <c r="AJ508" s="1" t="str">
        <f>""</f>
        <v/>
      </c>
      <c r="AK508" s="1" t="str">
        <f>""</f>
        <v/>
      </c>
    </row>
    <row r="509" spans="1:37">
      <c r="A509" s="1">
        <v>120000</v>
      </c>
      <c r="B509" s="1">
        <v>966200093</v>
      </c>
      <c r="C509" s="1" t="str">
        <f>"تخليه - اصفهان-زينبيه-جاده شهيد لباف-کارخانه آسفالت آقاي نيازي"</f>
        <v>تخليه - اصفهان-زينبيه-جاده شهيد لباف-کارخانه آسفالت آقاي نيازي</v>
      </c>
      <c r="D509" s="1">
        <v>8918</v>
      </c>
      <c r="E509" s="1">
        <v>119260</v>
      </c>
      <c r="F509" s="1">
        <v>96</v>
      </c>
      <c r="G509" s="1">
        <v>740</v>
      </c>
      <c r="H509" s="1" t="str">
        <f>"96/02/27"</f>
        <v>96/02/27</v>
      </c>
      <c r="I509" s="1" t="str">
        <f>"كيلوگرم"</f>
        <v>كيلوگرم</v>
      </c>
      <c r="J509" s="1" t="str">
        <f>"0000000076"</f>
        <v>0000000076</v>
      </c>
      <c r="K509" s="1" t="str">
        <f>"قير 60/70 - فله"</f>
        <v>قير 60/70 - فله</v>
      </c>
      <c r="L509" s="1">
        <v>100</v>
      </c>
      <c r="M509" s="1" t="str">
        <f>"مخازن قير اصفهان"</f>
        <v>مخازن قير اصفهان</v>
      </c>
      <c r="N509" s="1">
        <v>11362</v>
      </c>
      <c r="O509" s="1">
        <v>50034863</v>
      </c>
      <c r="P509" s="1" t="str">
        <f>"  پيشرو سازان جي"</f>
        <v xml:space="preserve">  پيشرو سازان جي</v>
      </c>
      <c r="Q509" s="1">
        <v>62</v>
      </c>
      <c r="R509" s="1" t="str">
        <f>"فروش داخلي - سازمان بنيادمسكن انقلاب اسلامي"</f>
        <v>فروش داخلي - سازمان بنيادمسكن انقلاب اسلامي</v>
      </c>
      <c r="S509" s="1" t="str">
        <f>"قرارداد فروش"</f>
        <v>قرارداد فروش</v>
      </c>
      <c r="T509" s="1" t="str">
        <f>"ندارد"</f>
        <v>ندارد</v>
      </c>
      <c r="U509" s="1" t="str">
        <f>"علي عابدي ابوالقاسم(1003ج89)"</f>
        <v>علي عابدي ابوالقاسم(1003ج89)</v>
      </c>
      <c r="V509" s="1">
        <v>966200093</v>
      </c>
      <c r="W509" s="1">
        <v>966200093</v>
      </c>
      <c r="X509" s="1" t="str">
        <f>"1396481875"</f>
        <v>1396481875</v>
      </c>
      <c r="Y509" s="1" t="str">
        <f>"96/02/27"</f>
        <v>96/02/27</v>
      </c>
      <c r="Z509" s="1" t="str">
        <f>"6822/د"</f>
        <v>6822/د</v>
      </c>
      <c r="AA509" s="1" t="str">
        <f>"بنيادمسكن انقلاب اسلامي"</f>
        <v>بنيادمسكن انقلاب اسلامي</v>
      </c>
      <c r="AB509" s="1" t="str">
        <f>"96/02/25"</f>
        <v>96/02/25</v>
      </c>
      <c r="AC509" s="1" t="str">
        <f>"استان اصفهان"</f>
        <v>استان اصفهان</v>
      </c>
      <c r="AD509" s="1" t="str">
        <f>"96/02/27"</f>
        <v>96/02/27</v>
      </c>
      <c r="AE509" s="1" t="str">
        <f>"اختتام"</f>
        <v>اختتام</v>
      </c>
      <c r="AF509" s="1" t="str">
        <f>""</f>
        <v/>
      </c>
      <c r="AG509" s="1" t="str">
        <f>""</f>
        <v/>
      </c>
      <c r="AH509" s="1" t="str">
        <f>""</f>
        <v/>
      </c>
      <c r="AI509" s="1" t="str">
        <f>""</f>
        <v/>
      </c>
      <c r="AJ509" s="1" t="str">
        <f>""</f>
        <v/>
      </c>
      <c r="AK509" s="1" t="str">
        <f>""</f>
        <v/>
      </c>
    </row>
    <row r="510" spans="1:37">
      <c r="A510" s="1">
        <v>290000</v>
      </c>
      <c r="B510" s="1">
        <v>966200181</v>
      </c>
      <c r="C510" s="1" t="str">
        <f>"تخليه - مازندران-نکا-کيلومتر3جاده بهشهر-روستاي چاله پل-کارخانه آسفالت سليم بهرامي"</f>
        <v>تخليه - مازندران-نکا-کيلومتر3جاده بهشهر-روستاي چاله پل-کارخانه آسفالت سليم بهرامي</v>
      </c>
      <c r="D510" s="1">
        <v>8704</v>
      </c>
      <c r="E510" s="1">
        <v>289100</v>
      </c>
      <c r="F510" s="1">
        <v>96</v>
      </c>
      <c r="G510" s="1">
        <v>900</v>
      </c>
      <c r="H510" s="1" t="str">
        <f>"96/05/21"</f>
        <v>96/05/21</v>
      </c>
      <c r="I510" s="1" t="str">
        <f>"كيلوگرم"</f>
        <v>كيلوگرم</v>
      </c>
      <c r="J510" s="1" t="str">
        <f>"0000000076"</f>
        <v>0000000076</v>
      </c>
      <c r="K510" s="1" t="str">
        <f>"قير 60/70 - فله"</f>
        <v>قير 60/70 - فله</v>
      </c>
      <c r="L510" s="1">
        <v>100</v>
      </c>
      <c r="M510" s="1" t="str">
        <f>"مخازن قير اصفهان"</f>
        <v>مخازن قير اصفهان</v>
      </c>
      <c r="N510" s="1">
        <v>11366</v>
      </c>
      <c r="O510" s="1">
        <v>50035615</v>
      </c>
      <c r="P510" s="1" t="str">
        <f>"  بنيان سازان مهرايرانيان"</f>
        <v xml:space="preserve">  بنيان سازان مهرايرانيان</v>
      </c>
      <c r="Q510" s="1">
        <v>62</v>
      </c>
      <c r="R510" s="1" t="str">
        <f>"فروش داخلي - سازمان بنيادمسكن انقلاب اسلامي"</f>
        <v>فروش داخلي - سازمان بنيادمسكن انقلاب اسلامي</v>
      </c>
      <c r="S510" s="1" t="str">
        <f>"قرارداد فروش"</f>
        <v>قرارداد فروش</v>
      </c>
      <c r="T510" s="1" t="str">
        <f>"ندارد"</f>
        <v>ندارد</v>
      </c>
      <c r="U510" s="1" t="str">
        <f>"نظام دوست امين (1911102)"</f>
        <v>نظام دوست امين (1911102)</v>
      </c>
      <c r="V510" s="1">
        <v>966200181</v>
      </c>
      <c r="W510" s="1">
        <v>966200181</v>
      </c>
      <c r="X510" s="1" t="str">
        <f>"1396504612"</f>
        <v>1396504612</v>
      </c>
      <c r="Y510" s="1" t="str">
        <f>"96/05/21"</f>
        <v>96/05/21</v>
      </c>
      <c r="Z510" s="1" t="str">
        <f>"20924/د"</f>
        <v>20924/د</v>
      </c>
      <c r="AA510" s="1" t="str">
        <f>"بنيادمسكن انقلاب اسلامي"</f>
        <v>بنيادمسكن انقلاب اسلامي</v>
      </c>
      <c r="AB510" s="1" t="str">
        <f>"96/05/18"</f>
        <v>96/05/18</v>
      </c>
      <c r="AC510" s="1" t="str">
        <f>"استان مازندران"</f>
        <v>استان مازندران</v>
      </c>
      <c r="AD510" s="1" t="str">
        <f>"96/05/21"</f>
        <v>96/05/21</v>
      </c>
      <c r="AE510" s="1" t="str">
        <f>"اختتام"</f>
        <v>اختتام</v>
      </c>
      <c r="AF510" s="1" t="str">
        <f>""</f>
        <v/>
      </c>
      <c r="AG510" s="1" t="str">
        <f>""</f>
        <v/>
      </c>
      <c r="AH510" s="1" t="str">
        <f>""</f>
        <v/>
      </c>
      <c r="AI510" s="1" t="str">
        <f>""</f>
        <v/>
      </c>
      <c r="AJ510" s="1" t="str">
        <f>""</f>
        <v/>
      </c>
      <c r="AK510" s="1" t="str">
        <f>""</f>
        <v/>
      </c>
    </row>
    <row r="511" spans="1:37">
      <c r="A511" s="1">
        <v>40000</v>
      </c>
      <c r="B511" s="1">
        <v>966200492</v>
      </c>
      <c r="C511" s="1" t="str">
        <f>"تخليه -گلستان-کمربندي آزادشهر-کيلومتر جاده آق امام-شرکت زرين سنگ اطلس"</f>
        <v>تخليه -گلستان-کمربندي آزادشهر-کيلومتر جاده آق امام-شرکت زرين سنگ اطلس</v>
      </c>
      <c r="D511" s="1">
        <v>12850</v>
      </c>
      <c r="E511" s="1">
        <v>40000</v>
      </c>
      <c r="F511" s="1">
        <v>96</v>
      </c>
      <c r="G511" s="1">
        <v>0</v>
      </c>
      <c r="H511" s="1" t="str">
        <f>"96/10/05"</f>
        <v>96/10/05</v>
      </c>
      <c r="I511" s="1" t="str">
        <f>"كيلوگرم"</f>
        <v>كيلوگرم</v>
      </c>
      <c r="J511" s="1" t="str">
        <f>"0000000076"</f>
        <v>0000000076</v>
      </c>
      <c r="K511" s="1" t="str">
        <f>"قير 60/70 - فله"</f>
        <v>قير 60/70 - فله</v>
      </c>
      <c r="L511" s="1">
        <v>100</v>
      </c>
      <c r="M511" s="1" t="str">
        <f>"مخازن قير اصفهان"</f>
        <v>مخازن قير اصفهان</v>
      </c>
      <c r="N511" s="1">
        <v>11369</v>
      </c>
      <c r="O511" s="1">
        <v>50037975</v>
      </c>
      <c r="P511" s="1" t="str">
        <f>"  زرين سنگ اطلس"</f>
        <v xml:space="preserve">  زرين سنگ اطلس</v>
      </c>
      <c r="Q511" s="1">
        <v>62</v>
      </c>
      <c r="R511" s="1" t="str">
        <f>"فروش داخلي - سازمان بنيادمسكن انقلاب اسلامي"</f>
        <v>فروش داخلي - سازمان بنيادمسكن انقلاب اسلامي</v>
      </c>
      <c r="S511" s="1" t="str">
        <f>"قرارداد فروش"</f>
        <v>قرارداد فروش</v>
      </c>
      <c r="T511" s="1" t="str">
        <f>"ندارد"</f>
        <v>ندارد</v>
      </c>
      <c r="U511" s="1" t="str">
        <f>"شيشه بر كريم(1841016)"</f>
        <v>شيشه بر كريم(1841016)</v>
      </c>
      <c r="V511" s="1">
        <v>966200492</v>
      </c>
      <c r="W511" s="1">
        <v>966200492</v>
      </c>
      <c r="X511" s="1" t="str">
        <f>"1396535037"</f>
        <v>1396535037</v>
      </c>
      <c r="Y511" s="1" t="str">
        <f>"96/10/05"</f>
        <v>96/10/05</v>
      </c>
      <c r="Z511" s="1" t="str">
        <f>"43390/د"</f>
        <v>43390/د</v>
      </c>
      <c r="AA511" s="1" t="str">
        <f>"بنيادمسكن انقلاب اسلامي"</f>
        <v>بنيادمسكن انقلاب اسلامي</v>
      </c>
      <c r="AB511" s="1" t="str">
        <f>"96/10/02"</f>
        <v>96/10/02</v>
      </c>
      <c r="AC511" s="1" t="str">
        <f>"استان گلستان"</f>
        <v>استان گلستان</v>
      </c>
      <c r="AD511" s="1" t="str">
        <f>"96/10/05"</f>
        <v>96/10/05</v>
      </c>
      <c r="AE511" s="1" t="str">
        <f>"اختتام"</f>
        <v>اختتام</v>
      </c>
      <c r="AF511" s="1" t="str">
        <f>""</f>
        <v/>
      </c>
      <c r="AG511" s="1" t="str">
        <f>""</f>
        <v/>
      </c>
      <c r="AH511" s="1" t="str">
        <f>""</f>
        <v/>
      </c>
      <c r="AI511" s="1" t="str">
        <f>""</f>
        <v/>
      </c>
      <c r="AJ511" s="1" t="str">
        <f>""</f>
        <v/>
      </c>
      <c r="AK511" s="1" t="str">
        <f>""</f>
        <v/>
      </c>
    </row>
    <row r="512" spans="1:37">
      <c r="A512" s="1">
        <v>329000</v>
      </c>
      <c r="B512" s="1">
        <v>966200665</v>
      </c>
      <c r="C512" s="1" t="str">
        <f>"تخليه-بجنورد-کنارگذر شمالي بجنورد-تهران-کارخانه آسفالت شرکت شوسه"</f>
        <v>تخليه-بجنورد-کنارگذر شمالي بجنورد-تهران-کارخانه آسفالت شرکت شوسه</v>
      </c>
      <c r="D512" s="1">
        <v>13350</v>
      </c>
      <c r="E512" s="1">
        <v>326320</v>
      </c>
      <c r="F512" s="1">
        <v>96</v>
      </c>
      <c r="G512" s="1">
        <v>2680</v>
      </c>
      <c r="H512" s="1" t="str">
        <f>"96/12/16"</f>
        <v>96/12/16</v>
      </c>
      <c r="I512" s="1" t="str">
        <f>"كيلوگرم"</f>
        <v>كيلوگرم</v>
      </c>
      <c r="J512" s="1" t="str">
        <f>"0000000076"</f>
        <v>0000000076</v>
      </c>
      <c r="K512" s="1" t="str">
        <f>"قير 60/70 - فله"</f>
        <v>قير 60/70 - فله</v>
      </c>
      <c r="L512" s="1">
        <v>100</v>
      </c>
      <c r="M512" s="1" t="str">
        <f>"مخازن قير اصفهان"</f>
        <v>مخازن قير اصفهان</v>
      </c>
      <c r="N512" s="1">
        <v>11376</v>
      </c>
      <c r="O512" s="1">
        <v>50038815</v>
      </c>
      <c r="P512" s="1" t="str">
        <f>"  نوين بنا سازان زيبا نگاره آراد"</f>
        <v xml:space="preserve">  نوين بنا سازان زيبا نگاره آراد</v>
      </c>
      <c r="Q512" s="1">
        <v>62</v>
      </c>
      <c r="R512" s="1" t="str">
        <f>"فروش داخلي - سازمان بنيادمسكن انقلاب اسلامي"</f>
        <v>فروش داخلي - سازمان بنيادمسكن انقلاب اسلامي</v>
      </c>
      <c r="S512" s="1" t="str">
        <f>"قرارداد فروش"</f>
        <v>قرارداد فروش</v>
      </c>
      <c r="T512" s="1" t="str">
        <f>"ندارد"</f>
        <v>ندارد</v>
      </c>
      <c r="U512" s="1" t="str">
        <f>"نظام دوست امين (1911102)"</f>
        <v>نظام دوست امين (1911102)</v>
      </c>
      <c r="V512" s="1">
        <v>966200665</v>
      </c>
      <c r="W512" s="1">
        <v>966200665</v>
      </c>
      <c r="X512" s="1" t="str">
        <f>"1396553438"</f>
        <v>1396553438</v>
      </c>
      <c r="Y512" s="1" t="str">
        <f>"96/12/16"</f>
        <v>96/12/16</v>
      </c>
      <c r="Z512" s="1" t="str">
        <f>"57184/د"</f>
        <v>57184/د</v>
      </c>
      <c r="AA512" s="1" t="str">
        <f>"بنيادمسكن انقلاب اسلامي"</f>
        <v>بنيادمسكن انقلاب اسلامي</v>
      </c>
      <c r="AB512" s="1" t="str">
        <f>"96/12/15"</f>
        <v>96/12/15</v>
      </c>
      <c r="AC512" s="1" t="str">
        <f>"خراسان شمالي"</f>
        <v>خراسان شمالي</v>
      </c>
      <c r="AD512" s="1" t="str">
        <f>"96/12/16"</f>
        <v>96/12/16</v>
      </c>
      <c r="AE512" s="1" t="str">
        <f>"اختتام"</f>
        <v>اختتام</v>
      </c>
      <c r="AF512" s="1" t="str">
        <f>""</f>
        <v/>
      </c>
      <c r="AG512" s="1" t="str">
        <f>""</f>
        <v/>
      </c>
      <c r="AH512" s="1" t="str">
        <f>""</f>
        <v/>
      </c>
      <c r="AI512" s="1" t="str">
        <f>""</f>
        <v/>
      </c>
      <c r="AJ512" s="1" t="str">
        <f>""</f>
        <v/>
      </c>
      <c r="AK512" s="1" t="str">
        <f>""</f>
        <v/>
      </c>
    </row>
    <row r="513" spans="1:37">
      <c r="A513" s="1">
        <v>49000</v>
      </c>
      <c r="B513" s="1">
        <v>966200578</v>
      </c>
      <c r="C513" s="1" t="str">
        <f>"تخليه -لرستان كيلومتر15جاده دورود-ازنابالاترازروستاي نرشاب"</f>
        <v>تخليه -لرستان كيلومتر15جاده دورود-ازنابالاترازروستاي نرشاب</v>
      </c>
      <c r="D513" s="1">
        <v>13200</v>
      </c>
      <c r="E513" s="1">
        <v>48500</v>
      </c>
      <c r="F513" s="1">
        <v>96</v>
      </c>
      <c r="G513" s="1">
        <v>500</v>
      </c>
      <c r="H513" s="1" t="str">
        <f>"96/11/24"</f>
        <v>96/11/24</v>
      </c>
      <c r="I513" s="1" t="str">
        <f>"كيلوگرم"</f>
        <v>كيلوگرم</v>
      </c>
      <c r="J513" s="1" t="str">
        <f>"0000000076"</f>
        <v>0000000076</v>
      </c>
      <c r="K513" s="1" t="str">
        <f>"قير 60/70 - فله"</f>
        <v>قير 60/70 - فله</v>
      </c>
      <c r="L513" s="1">
        <v>100</v>
      </c>
      <c r="M513" s="1" t="str">
        <f>"مخازن قير اصفهان"</f>
        <v>مخازن قير اصفهان</v>
      </c>
      <c r="N513" s="1">
        <v>10558</v>
      </c>
      <c r="O513" s="1">
        <v>50038506</v>
      </c>
      <c r="P513" s="1" t="str">
        <f>"  راه شكاف زاگرس"</f>
        <v xml:space="preserve">  راه شكاف زاگرس</v>
      </c>
      <c r="Q513" s="1">
        <v>62</v>
      </c>
      <c r="R513" s="1" t="str">
        <f>"فروش داخلي - سازمان بنيادمسكن انقلاب اسلامي"</f>
        <v>فروش داخلي - سازمان بنيادمسكن انقلاب اسلامي</v>
      </c>
      <c r="S513" s="1" t="str">
        <f>"قرارداد فروش"</f>
        <v>قرارداد فروش</v>
      </c>
      <c r="T513" s="1" t="str">
        <f>"ندارد"</f>
        <v>ندارد</v>
      </c>
      <c r="U513" s="1" t="str">
        <f>"ريسماني حسن(1007ج89)"</f>
        <v>ريسماني حسن(1007ج89)</v>
      </c>
      <c r="V513" s="1">
        <v>966200578</v>
      </c>
      <c r="W513" s="1">
        <v>966200578</v>
      </c>
      <c r="X513" s="1" t="str">
        <f>"1396547682"</f>
        <v>1396547682</v>
      </c>
      <c r="Y513" s="1" t="str">
        <f>"96/11/24"</f>
        <v>96/11/24</v>
      </c>
      <c r="Z513" s="1" t="str">
        <f>"52823/د"</f>
        <v>52823/د</v>
      </c>
      <c r="AA513" s="1" t="str">
        <f>"بنيادمسكن انقلاب اسلامي"</f>
        <v>بنيادمسكن انقلاب اسلامي</v>
      </c>
      <c r="AB513" s="1" t="str">
        <f>"96/11/23"</f>
        <v>96/11/23</v>
      </c>
      <c r="AC513" s="1" t="str">
        <f>"لرستان"</f>
        <v>لرستان</v>
      </c>
      <c r="AD513" s="1" t="str">
        <f>"96/11/24"</f>
        <v>96/11/24</v>
      </c>
      <c r="AE513" s="1" t="str">
        <f>"اختتام"</f>
        <v>اختتام</v>
      </c>
      <c r="AF513" s="1" t="str">
        <f>""</f>
        <v/>
      </c>
      <c r="AG513" s="1" t="str">
        <f>""</f>
        <v/>
      </c>
      <c r="AH513" s="1" t="str">
        <f>""</f>
        <v/>
      </c>
      <c r="AI513" s="1" t="str">
        <f>""</f>
        <v/>
      </c>
      <c r="AJ513" s="1" t="str">
        <f>""</f>
        <v/>
      </c>
      <c r="AK513" s="1" t="str">
        <f>""</f>
        <v/>
      </c>
    </row>
    <row r="514" spans="1:37">
      <c r="A514" s="1">
        <v>123430</v>
      </c>
      <c r="B514" s="1">
        <v>962000006</v>
      </c>
      <c r="C514" s="1" t="str">
        <f>"تخليه -اصفهان -اردستان -كارخانه آسفالت شركت كوهرنگ راه كيلومتر20جاده اردستان -نايين"</f>
        <v>تخليه -اصفهان -اردستان -كارخانه آسفالت شركت كوهرنگ راه كيلومتر20جاده اردستان -نايين</v>
      </c>
      <c r="D514" s="1">
        <v>9113</v>
      </c>
      <c r="E514" s="1">
        <v>123430</v>
      </c>
      <c r="F514" s="1">
        <v>96</v>
      </c>
      <c r="G514" s="1">
        <v>0</v>
      </c>
      <c r="H514" s="1" t="str">
        <f>"96/07/03"</f>
        <v>96/07/03</v>
      </c>
      <c r="I514" s="1" t="str">
        <f>"كيلوگرم"</f>
        <v>كيلوگرم</v>
      </c>
      <c r="J514" s="1" t="str">
        <f>"0000000076"</f>
        <v>0000000076</v>
      </c>
      <c r="K514" s="1" t="str">
        <f>"قير 60/70 - فله"</f>
        <v>قير 60/70 - فله</v>
      </c>
      <c r="L514" s="1">
        <v>100</v>
      </c>
      <c r="M514" s="1" t="str">
        <f>"مخازن قير اصفهان"</f>
        <v>مخازن قير اصفهان</v>
      </c>
      <c r="N514" s="1">
        <v>10657</v>
      </c>
      <c r="O514" s="1">
        <v>50036145</v>
      </c>
      <c r="P514" s="1" t="str">
        <f>"  شهرداري اردستان"</f>
        <v xml:space="preserve">  شهرداري اردستان</v>
      </c>
      <c r="Q514" s="1">
        <v>20</v>
      </c>
      <c r="R514" s="1" t="str">
        <f>"فروش داخلي - سازمان شهرداري ها و دهياري هاي كشور"</f>
        <v>فروش داخلي - سازمان شهرداري ها و دهياري هاي كشور</v>
      </c>
      <c r="S514" s="1" t="str">
        <f>"قرارداد فروش"</f>
        <v>قرارداد فروش</v>
      </c>
      <c r="T514" s="1" t="str">
        <f>"ندارد"</f>
        <v>ندارد</v>
      </c>
      <c r="U514" s="1" t="str">
        <f>"تعاوني جم گستر (1001 ج 89)"</f>
        <v>تعاوني جم گستر (1001 ج 89)</v>
      </c>
      <c r="V514" s="1">
        <v>962000006</v>
      </c>
      <c r="W514" s="1">
        <v>962000006</v>
      </c>
      <c r="X514" s="1" t="str">
        <f>"1396514467"</f>
        <v>1396514467</v>
      </c>
      <c r="Y514" s="1" t="str">
        <f>"96/07/03"</f>
        <v>96/07/03</v>
      </c>
      <c r="Z514" s="1" t="str">
        <f>"26881مرحله اول"</f>
        <v>26881مرحله اول</v>
      </c>
      <c r="AA514" s="1" t="str">
        <f>"شهرداريها"</f>
        <v>شهرداريها</v>
      </c>
      <c r="AB514" s="1" t="str">
        <f>"96/06/29"</f>
        <v>96/06/29</v>
      </c>
      <c r="AC514" s="1" t="str">
        <f>"استان اصفهان"</f>
        <v>استان اصفهان</v>
      </c>
      <c r="AD514" s="1" t="str">
        <f>"96/07/03"</f>
        <v>96/07/03</v>
      </c>
      <c r="AE514" s="1" t="str">
        <f>"اختتام"</f>
        <v>اختتام</v>
      </c>
      <c r="AF514" s="1" t="str">
        <f>""</f>
        <v/>
      </c>
      <c r="AG514" s="1" t="str">
        <f>""</f>
        <v/>
      </c>
      <c r="AH514" s="1" t="str">
        <f>""</f>
        <v/>
      </c>
      <c r="AI514" s="1" t="str">
        <f>""</f>
        <v/>
      </c>
      <c r="AJ514" s="1" t="str">
        <f>""</f>
        <v/>
      </c>
      <c r="AK514" s="1" t="str">
        <f>""</f>
        <v/>
      </c>
    </row>
    <row r="515" spans="1:37">
      <c r="A515" s="1">
        <v>135000</v>
      </c>
      <c r="B515" s="1">
        <v>966200004</v>
      </c>
      <c r="C515" s="1" t="str">
        <f>"تخليه - کرمان-کيلومتر 15 جاده کرمان زرند-روبروي پمپ بنزين جديد احداث-کارخانه آسفالت نژاد حسين"</f>
        <v>تخليه - کرمان-کيلومتر 15 جاده کرمان زرند-روبروي پمپ بنزين جديد احداث-کارخانه آسفالت نژاد حسين</v>
      </c>
      <c r="D515" s="1">
        <v>8198</v>
      </c>
      <c r="E515" s="1">
        <v>135000</v>
      </c>
      <c r="F515" s="1">
        <v>96</v>
      </c>
      <c r="G515" s="1">
        <v>0</v>
      </c>
      <c r="H515" s="1" t="str">
        <f>"96/01/19"</f>
        <v>96/01/19</v>
      </c>
      <c r="I515" s="1" t="str">
        <f>"كيلوگرم"</f>
        <v>كيلوگرم</v>
      </c>
      <c r="J515" s="1" t="str">
        <f>"0000000076"</f>
        <v>0000000076</v>
      </c>
      <c r="K515" s="1" t="str">
        <f>"قير 60/70 - فله"</f>
        <v>قير 60/70 - فله</v>
      </c>
      <c r="L515" s="1">
        <v>100</v>
      </c>
      <c r="M515" s="1" t="str">
        <f>"مخازن قير اصفهان"</f>
        <v>مخازن قير اصفهان</v>
      </c>
      <c r="N515" s="1">
        <v>11312</v>
      </c>
      <c r="O515" s="1">
        <v>50034429</v>
      </c>
      <c r="P515" s="1" t="str">
        <f>"  عمران راه سازه دژکاوه مشرق زمين"</f>
        <v xml:space="preserve">  عمران راه سازه دژکاوه مشرق زمين</v>
      </c>
      <c r="Q515" s="1">
        <v>62</v>
      </c>
      <c r="R515" s="1" t="str">
        <f>"فروش داخلي - سازمان بنيادمسكن انقلاب اسلامي"</f>
        <v>فروش داخلي - سازمان بنيادمسكن انقلاب اسلامي</v>
      </c>
      <c r="S515" s="1" t="str">
        <f>"قرارداد فروش"</f>
        <v>قرارداد فروش</v>
      </c>
      <c r="T515" s="1" t="str">
        <f>"ندارد"</f>
        <v>ندارد</v>
      </c>
      <c r="U515" s="1" t="str">
        <f>"دهقانيان بيژن (4954038)"</f>
        <v>دهقانيان بيژن (4954038)</v>
      </c>
      <c r="V515" s="1">
        <v>966200004</v>
      </c>
      <c r="W515" s="1">
        <v>966200004</v>
      </c>
      <c r="X515" s="1" t="str">
        <f>"1396472562"</f>
        <v>1396472562</v>
      </c>
      <c r="Y515" s="1" t="str">
        <f>"96/01/19"</f>
        <v>96/01/19</v>
      </c>
      <c r="Z515" s="1" t="str">
        <f>"918/د"</f>
        <v>918/د</v>
      </c>
      <c r="AA515" s="1" t="str">
        <f>"بنيادمسكن انقلاب اسلامي"</f>
        <v>بنيادمسكن انقلاب اسلامي</v>
      </c>
      <c r="AB515" s="1" t="str">
        <f>"96/01/19"</f>
        <v>96/01/19</v>
      </c>
      <c r="AC515" s="1" t="str">
        <f>"استان كرمان"</f>
        <v>استان كرمان</v>
      </c>
      <c r="AD515" s="1" t="str">
        <f>"96/01/19"</f>
        <v>96/01/19</v>
      </c>
      <c r="AE515" s="1" t="str">
        <f>"اختتام"</f>
        <v>اختتام</v>
      </c>
      <c r="AF515" s="1" t="str">
        <f>""</f>
        <v/>
      </c>
      <c r="AG515" s="1" t="str">
        <f>""</f>
        <v/>
      </c>
      <c r="AH515" s="1" t="str">
        <f>""</f>
        <v/>
      </c>
      <c r="AI515" s="1" t="str">
        <f>""</f>
        <v/>
      </c>
      <c r="AJ515" s="1" t="str">
        <f>""</f>
        <v/>
      </c>
      <c r="AK515" s="1" t="str">
        <f>""</f>
        <v/>
      </c>
    </row>
    <row r="516" spans="1:37">
      <c r="A516" s="1">
        <v>554000</v>
      </c>
      <c r="B516" s="1">
        <v>966200671</v>
      </c>
      <c r="C516" s="1" t="str">
        <f>"تخليه - کرمان - جيرفت-کمربندي به طرف کهنوج بعداز دانشگاه آزاد روبروي مدرسه استثنائي-کارخانه آسفالت مشاهير"</f>
        <v>تخليه - کرمان - جيرفت-کمربندي به طرف کهنوج بعداز دانشگاه آزاد روبروي مدرسه استثنائي-کارخانه آسفالت مشاهير</v>
      </c>
      <c r="D516" s="1">
        <v>13350</v>
      </c>
      <c r="E516" s="1">
        <v>549760</v>
      </c>
      <c r="F516" s="1">
        <v>96</v>
      </c>
      <c r="G516" s="1">
        <v>4240</v>
      </c>
      <c r="H516" s="1" t="str">
        <f>"96/12/16"</f>
        <v>96/12/16</v>
      </c>
      <c r="I516" s="1" t="str">
        <f>"كيلوگرم"</f>
        <v>كيلوگرم</v>
      </c>
      <c r="J516" s="1" t="str">
        <f>"0000000076"</f>
        <v>0000000076</v>
      </c>
      <c r="K516" s="1" t="str">
        <f>"قير 60/70 - فله"</f>
        <v>قير 60/70 - فله</v>
      </c>
      <c r="L516" s="1">
        <v>100</v>
      </c>
      <c r="M516" s="1" t="str">
        <f>"مخازن قير اصفهان"</f>
        <v>مخازن قير اصفهان</v>
      </c>
      <c r="N516" s="1">
        <v>11320</v>
      </c>
      <c r="O516" s="1">
        <v>50038900</v>
      </c>
      <c r="P516" s="1" t="str">
        <f>"  طراحان بتن ماندگار"</f>
        <v xml:space="preserve">  طراحان بتن ماندگار</v>
      </c>
      <c r="Q516" s="1">
        <v>62</v>
      </c>
      <c r="R516" s="1" t="str">
        <f>"فروش داخلي - سازمان بنيادمسكن انقلاب اسلامي"</f>
        <v>فروش داخلي - سازمان بنيادمسكن انقلاب اسلامي</v>
      </c>
      <c r="S516" s="1" t="str">
        <f>"قرارداد فروش"</f>
        <v>قرارداد فروش</v>
      </c>
      <c r="T516" s="1" t="str">
        <f>"ندارد"</f>
        <v>ندارد</v>
      </c>
      <c r="U516" s="1" t="str">
        <f>"كاردان اسپادان راه مصطفي  (1911100)"</f>
        <v>كاردان اسپادان راه مصطفي  (1911100)</v>
      </c>
      <c r="V516" s="1">
        <v>966200671</v>
      </c>
      <c r="W516" s="1">
        <v>966200671</v>
      </c>
      <c r="X516" s="1" t="str">
        <f>"1396553438"</f>
        <v>1396553438</v>
      </c>
      <c r="Y516" s="1" t="str">
        <f>"96/12/16"</f>
        <v>96/12/16</v>
      </c>
      <c r="Z516" s="1" t="str">
        <f>"57270/د"</f>
        <v>57270/د</v>
      </c>
      <c r="AA516" s="1" t="str">
        <f>"بنيادمسكن انقلاب اسلامي"</f>
        <v>بنيادمسكن انقلاب اسلامي</v>
      </c>
      <c r="AB516" s="1" t="str">
        <f>"96/12/15"</f>
        <v>96/12/15</v>
      </c>
      <c r="AC516" s="1" t="str">
        <f>"استان كرمان"</f>
        <v>استان كرمان</v>
      </c>
      <c r="AD516" s="1" t="str">
        <f>"96/12/16"</f>
        <v>96/12/16</v>
      </c>
      <c r="AE516" s="1" t="str">
        <f>"اختتام"</f>
        <v>اختتام</v>
      </c>
      <c r="AF516" s="1" t="str">
        <f>""</f>
        <v/>
      </c>
      <c r="AG516" s="1" t="str">
        <f>""</f>
        <v/>
      </c>
      <c r="AH516" s="1" t="str">
        <f>""</f>
        <v/>
      </c>
      <c r="AI516" s="1" t="str">
        <f>""</f>
        <v/>
      </c>
      <c r="AJ516" s="1" t="str">
        <f>""</f>
        <v/>
      </c>
      <c r="AK516" s="1" t="str">
        <f>""</f>
        <v/>
      </c>
    </row>
    <row r="517" spans="1:37">
      <c r="A517" s="1">
        <v>85000</v>
      </c>
      <c r="B517" s="1">
        <v>966200757</v>
      </c>
      <c r="C517" s="1" t="str">
        <f>"تخليه - کرمان-جاده سيرجان-کرمان-بعداز پمپ حسين آباد - کارخانه آسفالت شرکت بهبر"</f>
        <v>تخليه - کرمان-جاده سيرجان-کرمان-بعداز پمپ حسين آباد - کارخانه آسفالت شرکت بهبر</v>
      </c>
      <c r="D517" s="1">
        <v>13350</v>
      </c>
      <c r="E517" s="1">
        <v>84000</v>
      </c>
      <c r="F517" s="1">
        <v>96</v>
      </c>
      <c r="G517" s="1">
        <v>1000</v>
      </c>
      <c r="H517" s="1" t="str">
        <f>"96/12/27"</f>
        <v>96/12/27</v>
      </c>
      <c r="I517" s="1" t="str">
        <f>"كيلوگرم"</f>
        <v>كيلوگرم</v>
      </c>
      <c r="J517" s="1" t="str">
        <f>"0000000076"</f>
        <v>0000000076</v>
      </c>
      <c r="K517" s="1" t="str">
        <f>"قير 60/70 - فله"</f>
        <v>قير 60/70 - فله</v>
      </c>
      <c r="L517" s="1">
        <v>100</v>
      </c>
      <c r="M517" s="1" t="str">
        <f>"مخازن قير اصفهان"</f>
        <v>مخازن قير اصفهان</v>
      </c>
      <c r="N517" s="1">
        <v>11329</v>
      </c>
      <c r="O517" s="1">
        <v>50039125</v>
      </c>
      <c r="P517" s="1" t="str">
        <f>"  بهبر سيرجان"</f>
        <v xml:space="preserve">  بهبر سيرجان</v>
      </c>
      <c r="Q517" s="1">
        <v>62</v>
      </c>
      <c r="R517" s="1" t="str">
        <f>"فروش داخلي - سازمان بنيادمسكن انقلاب اسلامي"</f>
        <v>فروش داخلي - سازمان بنيادمسكن انقلاب اسلامي</v>
      </c>
      <c r="S517" s="1" t="str">
        <f>"قرارداد فروش"</f>
        <v>قرارداد فروش</v>
      </c>
      <c r="T517" s="1" t="str">
        <f>"ندارد"</f>
        <v>ندارد</v>
      </c>
      <c r="U517" s="1" t="str">
        <f>"حاصليان ترابرجنوب مرتضي حاصلي (4844006)"</f>
        <v>حاصليان ترابرجنوب مرتضي حاصلي (4844006)</v>
      </c>
      <c r="V517" s="1">
        <v>966200757</v>
      </c>
      <c r="W517" s="1">
        <v>966200757</v>
      </c>
      <c r="X517" s="1" t="str">
        <f>"1396555465"</f>
        <v>1396555465</v>
      </c>
      <c r="Y517" s="1" t="str">
        <f>"96/12/27"</f>
        <v>96/12/27</v>
      </c>
      <c r="Z517" s="1" t="str">
        <f>"60140/د"</f>
        <v>60140/د</v>
      </c>
      <c r="AA517" s="1" t="str">
        <f>"بنيادمسكن انقلاب اسلامي"</f>
        <v>بنيادمسكن انقلاب اسلامي</v>
      </c>
      <c r="AB517" s="1" t="str">
        <f>"96/12/27"</f>
        <v>96/12/27</v>
      </c>
      <c r="AC517" s="1" t="str">
        <f>"استان كرمان"</f>
        <v>استان كرمان</v>
      </c>
      <c r="AD517" s="1" t="str">
        <f>"96/12/27"</f>
        <v>96/12/27</v>
      </c>
      <c r="AE517" s="1" t="str">
        <f>"اختتام"</f>
        <v>اختتام</v>
      </c>
      <c r="AF517" s="1" t="str">
        <f>""</f>
        <v/>
      </c>
      <c r="AG517" s="1" t="str">
        <f>""</f>
        <v/>
      </c>
      <c r="AH517" s="1" t="str">
        <f>""</f>
        <v/>
      </c>
      <c r="AI517" s="1" t="str">
        <f>""</f>
        <v/>
      </c>
      <c r="AJ517" s="1" t="str">
        <f>""</f>
        <v/>
      </c>
      <c r="AK517" s="1" t="str">
        <f>""</f>
        <v/>
      </c>
    </row>
    <row r="518" spans="1:37">
      <c r="A518" s="1">
        <v>139000</v>
      </c>
      <c r="B518" s="1">
        <v>966200046</v>
      </c>
      <c r="C518" s="1" t="str">
        <f>"تخليه - هرمزگان-شهرستان پارسيان-روبروي روستاي عماني"</f>
        <v>تخليه - هرمزگان-شهرستان پارسيان-روبروي روستاي عماني</v>
      </c>
      <c r="D518" s="1">
        <v>8918</v>
      </c>
      <c r="E518" s="1">
        <v>137560</v>
      </c>
      <c r="F518" s="1">
        <v>96</v>
      </c>
      <c r="G518" s="1">
        <v>1440</v>
      </c>
      <c r="H518" s="1" t="str">
        <f>"96/02/06"</f>
        <v>96/02/06</v>
      </c>
      <c r="I518" s="1" t="str">
        <f>"كيلوگرم"</f>
        <v>كيلوگرم</v>
      </c>
      <c r="J518" s="1" t="str">
        <f>"0000000076"</f>
        <v>0000000076</v>
      </c>
      <c r="K518" s="1" t="str">
        <f>"قير 60/70 - فله"</f>
        <v>قير 60/70 - فله</v>
      </c>
      <c r="L518" s="1">
        <v>100</v>
      </c>
      <c r="M518" s="1" t="str">
        <f>"مخازن قير اصفهان"</f>
        <v>مخازن قير اصفهان</v>
      </c>
      <c r="N518" s="1">
        <v>11341</v>
      </c>
      <c r="O518" s="1">
        <v>50034692</v>
      </c>
      <c r="P518" s="1" t="str">
        <f>"  ساروج گستر فومستان"</f>
        <v xml:space="preserve">  ساروج گستر فومستان</v>
      </c>
      <c r="Q518" s="1">
        <v>62</v>
      </c>
      <c r="R518" s="1" t="str">
        <f>"فروش داخلي - سازمان بنيادمسكن انقلاب اسلامي"</f>
        <v>فروش داخلي - سازمان بنيادمسكن انقلاب اسلامي</v>
      </c>
      <c r="S518" s="1" t="str">
        <f>"قرارداد فروش"</f>
        <v>قرارداد فروش</v>
      </c>
      <c r="T518" s="1" t="str">
        <f>"ندارد"</f>
        <v>ندارد</v>
      </c>
      <c r="U518" s="1" t="str">
        <f>"حاصليان ترابرجنوب مرتضي حاصلي (4844006)"</f>
        <v>حاصليان ترابرجنوب مرتضي حاصلي (4844006)</v>
      </c>
      <c r="V518" s="1">
        <v>966200046</v>
      </c>
      <c r="W518" s="1">
        <v>966200046</v>
      </c>
      <c r="X518" s="1" t="str">
        <f>"1396477333"</f>
        <v>1396477333</v>
      </c>
      <c r="Y518" s="1" t="str">
        <f>"96/02/06"</f>
        <v>96/02/06</v>
      </c>
      <c r="Z518" s="1" t="str">
        <f>"3286/د"</f>
        <v>3286/د</v>
      </c>
      <c r="AA518" s="1" t="str">
        <f>"بنيادمسكن انقلاب اسلامي"</f>
        <v>بنيادمسكن انقلاب اسلامي</v>
      </c>
      <c r="AB518" s="1" t="str">
        <f>"96/02/03"</f>
        <v>96/02/03</v>
      </c>
      <c r="AC518" s="1" t="str">
        <f>"استان هرمزگان"</f>
        <v>استان هرمزگان</v>
      </c>
      <c r="AD518" s="1" t="str">
        <f>"96/02/06"</f>
        <v>96/02/06</v>
      </c>
      <c r="AE518" s="1" t="str">
        <f>"اختتام"</f>
        <v>اختتام</v>
      </c>
      <c r="AF518" s="1" t="str">
        <f>""</f>
        <v/>
      </c>
      <c r="AG518" s="1" t="str">
        <f>""</f>
        <v/>
      </c>
      <c r="AH518" s="1" t="str">
        <f>""</f>
        <v/>
      </c>
      <c r="AI518" s="1" t="str">
        <f>""</f>
        <v/>
      </c>
      <c r="AJ518" s="1" t="str">
        <f>""</f>
        <v/>
      </c>
      <c r="AK518" s="1" t="str">
        <f>""</f>
        <v/>
      </c>
    </row>
    <row r="519" spans="1:37">
      <c r="A519" s="1">
        <v>20000</v>
      </c>
      <c r="B519" s="1">
        <v>966200050</v>
      </c>
      <c r="C519" s="1" t="str">
        <f>"تخليه - هرمزگان-سيريک-جاده ميناب سندرک-بعداز پمپ بنزين آناميس-کارخانه آسفالت شرکت ميناب سامان جنوب"</f>
        <v>تخليه - هرمزگان-سيريک-جاده ميناب سندرک-بعداز پمپ بنزين آناميس-کارخانه آسفالت شرکت ميناب سامان جنوب</v>
      </c>
      <c r="D519" s="1">
        <v>8918</v>
      </c>
      <c r="E519" s="1">
        <v>18020</v>
      </c>
      <c r="F519" s="1">
        <v>96</v>
      </c>
      <c r="G519" s="1">
        <v>1980</v>
      </c>
      <c r="H519" s="1" t="str">
        <f>"96/02/06"</f>
        <v>96/02/06</v>
      </c>
      <c r="I519" s="1" t="str">
        <f>"كيلوگرم"</f>
        <v>كيلوگرم</v>
      </c>
      <c r="J519" s="1" t="str">
        <f>"0000000076"</f>
        <v>0000000076</v>
      </c>
      <c r="K519" s="1" t="str">
        <f>"قير 60/70 - فله"</f>
        <v>قير 60/70 - فله</v>
      </c>
      <c r="L519" s="1">
        <v>100</v>
      </c>
      <c r="M519" s="1" t="str">
        <f>"مخازن قير اصفهان"</f>
        <v>مخازن قير اصفهان</v>
      </c>
      <c r="N519" s="1">
        <v>11343</v>
      </c>
      <c r="O519" s="1">
        <v>50034701</v>
      </c>
      <c r="P519" s="1" t="str">
        <f>"  ميناب سامان جنوب"</f>
        <v xml:space="preserve">  ميناب سامان جنوب</v>
      </c>
      <c r="Q519" s="1">
        <v>62</v>
      </c>
      <c r="R519" s="1" t="str">
        <f>"فروش داخلي - سازمان بنيادمسكن انقلاب اسلامي"</f>
        <v>فروش داخلي - سازمان بنيادمسكن انقلاب اسلامي</v>
      </c>
      <c r="S519" s="1" t="str">
        <f>"قرارداد فروش"</f>
        <v>قرارداد فروش</v>
      </c>
      <c r="T519" s="1" t="str">
        <f>"ندارد"</f>
        <v>ندارد</v>
      </c>
      <c r="U519" s="1" t="str">
        <f>"حاصليان ترابرجنوب مرتضي حاصلي (4844006)"</f>
        <v>حاصليان ترابرجنوب مرتضي حاصلي (4844006)</v>
      </c>
      <c r="V519" s="1">
        <v>966200050</v>
      </c>
      <c r="W519" s="1">
        <v>966200050</v>
      </c>
      <c r="X519" s="1" t="str">
        <f>"1396477333"</f>
        <v>1396477333</v>
      </c>
      <c r="Y519" s="1" t="str">
        <f>"96/02/06"</f>
        <v>96/02/06</v>
      </c>
      <c r="Z519" s="1" t="str">
        <f>"3270/د"</f>
        <v>3270/د</v>
      </c>
      <c r="AA519" s="1" t="str">
        <f>"بنيادمسكن انقلاب اسلامي"</f>
        <v>بنيادمسكن انقلاب اسلامي</v>
      </c>
      <c r="AB519" s="1" t="str">
        <f>"96/02/03"</f>
        <v>96/02/03</v>
      </c>
      <c r="AC519" s="1" t="str">
        <f>"استان هرمزگان"</f>
        <v>استان هرمزگان</v>
      </c>
      <c r="AD519" s="1" t="str">
        <f>"96/02/06"</f>
        <v>96/02/06</v>
      </c>
      <c r="AE519" s="1" t="str">
        <f>"اختتام"</f>
        <v>اختتام</v>
      </c>
      <c r="AF519" s="1" t="str">
        <f>""</f>
        <v/>
      </c>
      <c r="AG519" s="1" t="str">
        <f>""</f>
        <v/>
      </c>
      <c r="AH519" s="1" t="str">
        <f>""</f>
        <v/>
      </c>
      <c r="AI519" s="1" t="str">
        <f>""</f>
        <v/>
      </c>
      <c r="AJ519" s="1" t="str">
        <f>""</f>
        <v/>
      </c>
      <c r="AK519" s="1" t="str">
        <f>""</f>
        <v/>
      </c>
    </row>
    <row r="520" spans="1:37">
      <c r="A520" s="1">
        <v>73000</v>
      </c>
      <c r="B520" s="1">
        <v>966200086</v>
      </c>
      <c r="C520" s="1" t="str">
        <f>"تخليه - بوشهر-خورموج-نرسيده به شهر خورموج-جاده باشي به چاووشي-کارخانه آسفالت راهگشايان دشتي"</f>
        <v>تخليه - بوشهر-خورموج-نرسيده به شهر خورموج-جاده باشي به چاووشي-کارخانه آسفالت راهگشايان دشتي</v>
      </c>
      <c r="D520" s="1">
        <v>8918</v>
      </c>
      <c r="E520" s="1">
        <v>72300</v>
      </c>
      <c r="F520" s="1">
        <v>96</v>
      </c>
      <c r="G520" s="1">
        <v>700</v>
      </c>
      <c r="H520" s="1" t="str">
        <f>"96/02/27"</f>
        <v>96/02/27</v>
      </c>
      <c r="I520" s="1" t="str">
        <f>"كيلوگرم"</f>
        <v>كيلوگرم</v>
      </c>
      <c r="J520" s="1" t="str">
        <f>"0000000076"</f>
        <v>0000000076</v>
      </c>
      <c r="K520" s="1" t="str">
        <f>"قير 60/70 - فله"</f>
        <v>قير 60/70 - فله</v>
      </c>
      <c r="L520" s="1">
        <v>100</v>
      </c>
      <c r="M520" s="1" t="str">
        <f>"مخازن قير اصفهان"</f>
        <v>مخازن قير اصفهان</v>
      </c>
      <c r="N520" s="1">
        <v>11356</v>
      </c>
      <c r="O520" s="1">
        <v>50034856</v>
      </c>
      <c r="P520" s="1" t="str">
        <f>"  ساروج نوانديش البرز"</f>
        <v xml:space="preserve">  ساروج نوانديش البرز</v>
      </c>
      <c r="Q520" s="1">
        <v>62</v>
      </c>
      <c r="R520" s="1" t="str">
        <f>"فروش داخلي - سازمان بنيادمسكن انقلاب اسلامي"</f>
        <v>فروش داخلي - سازمان بنيادمسكن انقلاب اسلامي</v>
      </c>
      <c r="S520" s="1" t="str">
        <f>"قرارداد فروش"</f>
        <v>قرارداد فروش</v>
      </c>
      <c r="T520" s="1" t="str">
        <f>"ندارد"</f>
        <v>ندارد</v>
      </c>
      <c r="U520" s="1" t="str">
        <f>"حاصليان ترابرجنوب مرتضي حاصلي (4844006)"</f>
        <v>حاصليان ترابرجنوب مرتضي حاصلي (4844006)</v>
      </c>
      <c r="V520" s="1">
        <v>966200086</v>
      </c>
      <c r="W520" s="1">
        <v>966200086</v>
      </c>
      <c r="X520" s="1" t="str">
        <f>"1396481875"</f>
        <v>1396481875</v>
      </c>
      <c r="Y520" s="1" t="str">
        <f>"96/02/27"</f>
        <v>96/02/27</v>
      </c>
      <c r="Z520" s="1" t="str">
        <f>"6842/د"</f>
        <v>6842/د</v>
      </c>
      <c r="AA520" s="1" t="str">
        <f>"بنيادمسكن انقلاب اسلامي"</f>
        <v>بنيادمسكن انقلاب اسلامي</v>
      </c>
      <c r="AB520" s="1" t="str">
        <f>"96/02/25"</f>
        <v>96/02/25</v>
      </c>
      <c r="AC520" s="1" t="str">
        <f>"بوشهر"</f>
        <v>بوشهر</v>
      </c>
      <c r="AD520" s="1" t="str">
        <f>"96/02/27"</f>
        <v>96/02/27</v>
      </c>
      <c r="AE520" s="1" t="str">
        <f>"اختتام"</f>
        <v>اختتام</v>
      </c>
      <c r="AF520" s="1" t="str">
        <f>""</f>
        <v/>
      </c>
      <c r="AG520" s="1" t="str">
        <f>""</f>
        <v/>
      </c>
      <c r="AH520" s="1" t="str">
        <f>""</f>
        <v/>
      </c>
      <c r="AI520" s="1" t="str">
        <f>""</f>
        <v/>
      </c>
      <c r="AJ520" s="1" t="str">
        <f>""</f>
        <v/>
      </c>
      <c r="AK520" s="1" t="str">
        <f>""</f>
        <v/>
      </c>
    </row>
    <row r="521" spans="1:37">
      <c r="A521" s="1">
        <v>105000</v>
      </c>
      <c r="B521" s="1">
        <v>966200182</v>
      </c>
      <c r="C521" s="1" t="str">
        <f>"تخليه - مازندران-ساري-جاده کياسر-شهرهولار-روستاي علوي کلا-کارخانه آسفالت نوآوران مازندشمال"</f>
        <v>تخليه - مازندران-ساري-جاده کياسر-شهرهولار-روستاي علوي کلا-کارخانه آسفالت نوآوران مازندشمال</v>
      </c>
      <c r="D521" s="1">
        <v>8704</v>
      </c>
      <c r="E521" s="1">
        <v>104940</v>
      </c>
      <c r="F521" s="1">
        <v>96</v>
      </c>
      <c r="G521" s="1">
        <v>60</v>
      </c>
      <c r="H521" s="1" t="str">
        <f>"96/05/21"</f>
        <v>96/05/21</v>
      </c>
      <c r="I521" s="1" t="str">
        <f>"كيلوگرم"</f>
        <v>كيلوگرم</v>
      </c>
      <c r="J521" s="1" t="str">
        <f>"0000000076"</f>
        <v>0000000076</v>
      </c>
      <c r="K521" s="1" t="str">
        <f>"قير 60/70 - فله"</f>
        <v>قير 60/70 - فله</v>
      </c>
      <c r="L521" s="1">
        <v>100</v>
      </c>
      <c r="M521" s="1" t="str">
        <f>"مخازن قير اصفهان"</f>
        <v>مخازن قير اصفهان</v>
      </c>
      <c r="N521" s="1">
        <v>11388</v>
      </c>
      <c r="O521" s="1">
        <v>50035616</v>
      </c>
      <c r="P521" s="1" t="str">
        <f>"  تيرداد راه خزر"</f>
        <v xml:space="preserve">  تيرداد راه خزر</v>
      </c>
      <c r="Q521" s="1">
        <v>62</v>
      </c>
      <c r="R521" s="1" t="str">
        <f>"فروش داخلي - سازمان بنيادمسكن انقلاب اسلامي"</f>
        <v>فروش داخلي - سازمان بنيادمسكن انقلاب اسلامي</v>
      </c>
      <c r="S521" s="1" t="str">
        <f>"قرارداد فروش"</f>
        <v>قرارداد فروش</v>
      </c>
      <c r="T521" s="1" t="str">
        <f>"ندارد"</f>
        <v>ندارد</v>
      </c>
      <c r="U521" s="1" t="str">
        <f>"هاشمي باروقير سعيد(1841020)"</f>
        <v>هاشمي باروقير سعيد(1841020)</v>
      </c>
      <c r="V521" s="1">
        <v>966200182</v>
      </c>
      <c r="W521" s="1">
        <v>966200182</v>
      </c>
      <c r="X521" s="1" t="str">
        <f>"1396504612"</f>
        <v>1396504612</v>
      </c>
      <c r="Y521" s="1" t="str">
        <f>"96/05/21"</f>
        <v>96/05/21</v>
      </c>
      <c r="Z521" s="1" t="str">
        <f>"20922/د"</f>
        <v>20922/د</v>
      </c>
      <c r="AA521" s="1" t="str">
        <f>"بنيادمسكن انقلاب اسلامي"</f>
        <v>بنيادمسكن انقلاب اسلامي</v>
      </c>
      <c r="AB521" s="1" t="str">
        <f>"96/05/18"</f>
        <v>96/05/18</v>
      </c>
      <c r="AC521" s="1" t="str">
        <f>"استان مازندران"</f>
        <v>استان مازندران</v>
      </c>
      <c r="AD521" s="1" t="str">
        <f>"96/05/21"</f>
        <v>96/05/21</v>
      </c>
      <c r="AE521" s="1" t="str">
        <f>"اختتام"</f>
        <v>اختتام</v>
      </c>
      <c r="AF521" s="1" t="str">
        <f>""</f>
        <v/>
      </c>
      <c r="AG521" s="1" t="str">
        <f>""</f>
        <v/>
      </c>
      <c r="AH521" s="1" t="str">
        <f>""</f>
        <v/>
      </c>
      <c r="AI521" s="1" t="str">
        <f>""</f>
        <v/>
      </c>
      <c r="AJ521" s="1" t="str">
        <f>""</f>
        <v/>
      </c>
      <c r="AK521" s="1" t="str">
        <f>""</f>
        <v/>
      </c>
    </row>
    <row r="522" spans="1:37">
      <c r="A522" s="1">
        <v>425000</v>
      </c>
      <c r="B522" s="1">
        <v>966200212</v>
      </c>
      <c r="C522" s="1" t="str">
        <f>"تخليه-خراسان رضوي-بجستان-کيلومتر 3 جاده بجستان فردوس-کارخانه آسفالت عابديان"</f>
        <v>تخليه-خراسان رضوي-بجستان-کيلومتر 3 جاده بجستان فردوس-کارخانه آسفالت عابديان</v>
      </c>
      <c r="D522" s="1">
        <v>8954</v>
      </c>
      <c r="E522" s="1">
        <v>424020</v>
      </c>
      <c r="F522" s="1">
        <v>96</v>
      </c>
      <c r="G522" s="1">
        <v>980</v>
      </c>
      <c r="H522" s="1" t="str">
        <f>"96/06/05"</f>
        <v>96/06/05</v>
      </c>
      <c r="I522" s="1" t="str">
        <f>"كيلوگرم"</f>
        <v>كيلوگرم</v>
      </c>
      <c r="J522" s="1" t="str">
        <f>"0000000076"</f>
        <v>0000000076</v>
      </c>
      <c r="K522" s="1" t="str">
        <f>"قير 60/70 - فله"</f>
        <v>قير 60/70 - فله</v>
      </c>
      <c r="L522" s="1">
        <v>100</v>
      </c>
      <c r="M522" s="1" t="str">
        <f>"مخازن قير اصفهان"</f>
        <v>مخازن قير اصفهان</v>
      </c>
      <c r="N522" s="1">
        <v>11396</v>
      </c>
      <c r="O522" s="1">
        <v>50035806</v>
      </c>
      <c r="P522" s="1" t="str">
        <f>"  انبوه سازان بجستان"</f>
        <v xml:space="preserve">  انبوه سازان بجستان</v>
      </c>
      <c r="Q522" s="1">
        <v>62</v>
      </c>
      <c r="R522" s="1" t="str">
        <f>"فروش داخلي - سازمان بنيادمسكن انقلاب اسلامي"</f>
        <v>فروش داخلي - سازمان بنيادمسكن انقلاب اسلامي</v>
      </c>
      <c r="S522" s="1" t="str">
        <f>"قرارداد فروش"</f>
        <v>قرارداد فروش</v>
      </c>
      <c r="T522" s="1" t="str">
        <f>"ندارد"</f>
        <v>ندارد</v>
      </c>
      <c r="U522" s="1" t="str">
        <f>"ترك شاهسوندي مهدي(1022ج89)"</f>
        <v>ترك شاهسوندي مهدي(1022ج89)</v>
      </c>
      <c r="V522" s="1">
        <v>966200212</v>
      </c>
      <c r="W522" s="1">
        <v>966200212</v>
      </c>
      <c r="X522" s="1" t="str">
        <f>"1396508163"</f>
        <v>1396508163</v>
      </c>
      <c r="Y522" s="1" t="str">
        <f>"96/06/05"</f>
        <v>96/06/05</v>
      </c>
      <c r="Z522" s="1" t="str">
        <f>"24109/د"</f>
        <v>24109/د</v>
      </c>
      <c r="AA522" s="1" t="str">
        <f>"بنيادمسكن انقلاب اسلامي"</f>
        <v>بنيادمسكن انقلاب اسلامي</v>
      </c>
      <c r="AB522" s="1" t="str">
        <f>"96/06/04"</f>
        <v>96/06/04</v>
      </c>
      <c r="AC522" s="1" t="str">
        <f>"خراسان رضوي"</f>
        <v>خراسان رضوي</v>
      </c>
      <c r="AD522" s="1" t="str">
        <f>"96/06/05"</f>
        <v>96/06/05</v>
      </c>
      <c r="AE522" s="1" t="str">
        <f>"اختتام"</f>
        <v>اختتام</v>
      </c>
      <c r="AF522" s="1" t="str">
        <f>""</f>
        <v/>
      </c>
      <c r="AG522" s="1" t="str">
        <f>""</f>
        <v/>
      </c>
      <c r="AH522" s="1" t="str">
        <f>""</f>
        <v/>
      </c>
      <c r="AI522" s="1" t="str">
        <f>""</f>
        <v/>
      </c>
      <c r="AJ522" s="1" t="str">
        <f>""</f>
        <v/>
      </c>
      <c r="AK522" s="1" t="str">
        <f>""</f>
        <v/>
      </c>
    </row>
    <row r="523" spans="1:37">
      <c r="A523" s="1">
        <v>150000</v>
      </c>
      <c r="B523" s="1">
        <v>966200244</v>
      </c>
      <c r="C523" s="1" t="str">
        <f>"تخليه - خراسان رضوي- باخرز-کارخانه آسفالت شهرداري"</f>
        <v>تخليه - خراسان رضوي- باخرز-کارخانه آسفالت شهرداري</v>
      </c>
      <c r="D523" s="1">
        <v>8954</v>
      </c>
      <c r="E523" s="1">
        <v>150000</v>
      </c>
      <c r="F523" s="1">
        <v>96</v>
      </c>
      <c r="G523" s="1">
        <v>0</v>
      </c>
      <c r="H523" s="1" t="str">
        <f>"96/06/22"</f>
        <v>96/06/22</v>
      </c>
      <c r="I523" s="1" t="str">
        <f>"كيلوگرم"</f>
        <v>كيلوگرم</v>
      </c>
      <c r="J523" s="1" t="str">
        <f>"0000000076"</f>
        <v>0000000076</v>
      </c>
      <c r="K523" s="1" t="str">
        <f>"قير 60/70 - فله"</f>
        <v>قير 60/70 - فله</v>
      </c>
      <c r="L523" s="1">
        <v>100</v>
      </c>
      <c r="M523" s="1" t="str">
        <f>"مخازن قير اصفهان"</f>
        <v>مخازن قير اصفهان</v>
      </c>
      <c r="N523" s="1">
        <v>11406</v>
      </c>
      <c r="O523" s="1">
        <v>50036030</v>
      </c>
      <c r="P523" s="1" t="str">
        <f>"  ساختماني نوين سازه طيبات"</f>
        <v xml:space="preserve">  ساختماني نوين سازه طيبات</v>
      </c>
      <c r="Q523" s="1">
        <v>62</v>
      </c>
      <c r="R523" s="1" t="str">
        <f>"فروش داخلي - سازمان بنيادمسكن انقلاب اسلامي"</f>
        <v>فروش داخلي - سازمان بنيادمسكن انقلاب اسلامي</v>
      </c>
      <c r="S523" s="1" t="str">
        <f>"قرارداد فروش"</f>
        <v>قرارداد فروش</v>
      </c>
      <c r="T523" s="1" t="str">
        <f>"ندارد"</f>
        <v>ندارد</v>
      </c>
      <c r="U523" s="1" t="str">
        <f>"نظام دوست امين (1911102)"</f>
        <v>نظام دوست امين (1911102)</v>
      </c>
      <c r="V523" s="1">
        <v>966200244</v>
      </c>
      <c r="W523" s="1">
        <v>966200244</v>
      </c>
      <c r="X523" s="1" t="str">
        <f>"1396512368"</f>
        <v>1396512368</v>
      </c>
      <c r="Y523" s="1" t="str">
        <f>"96/06/22"</f>
        <v>96/06/22</v>
      </c>
      <c r="Z523" s="1" t="str">
        <f>"27199/د"</f>
        <v>27199/د</v>
      </c>
      <c r="AA523" s="1" t="str">
        <f>"بنيادمسكن انقلاب اسلامي"</f>
        <v>بنيادمسكن انقلاب اسلامي</v>
      </c>
      <c r="AB523" s="1" t="str">
        <f>"96/06/21"</f>
        <v>96/06/21</v>
      </c>
      <c r="AC523" s="1" t="str">
        <f>"خراسان رضوي"</f>
        <v>خراسان رضوي</v>
      </c>
      <c r="AD523" s="1" t="str">
        <f>"96/06/22"</f>
        <v>96/06/22</v>
      </c>
      <c r="AE523" s="1" t="str">
        <f>"اختتام"</f>
        <v>اختتام</v>
      </c>
      <c r="AF523" s="1" t="str">
        <f>""</f>
        <v/>
      </c>
      <c r="AG523" s="1" t="str">
        <f>""</f>
        <v/>
      </c>
      <c r="AH523" s="1" t="str">
        <f>""</f>
        <v/>
      </c>
      <c r="AI523" s="1" t="str">
        <f>""</f>
        <v/>
      </c>
      <c r="AJ523" s="1" t="str">
        <f>""</f>
        <v/>
      </c>
      <c r="AK523" s="1" t="str">
        <f>""</f>
        <v/>
      </c>
    </row>
    <row r="524" spans="1:37">
      <c r="A524" s="1">
        <v>131615</v>
      </c>
      <c r="B524" s="1">
        <v>962000099</v>
      </c>
      <c r="C524" s="1" t="str">
        <f>"تخليه بوشهراهرم كيلومتريك جاده شوركي شركت آسفالت كلات اهرم"</f>
        <v>تخليه بوشهراهرم كيلومتريك جاده شوركي شركت آسفالت كلات اهرم</v>
      </c>
      <c r="D524" s="1">
        <v>9113</v>
      </c>
      <c r="E524" s="1">
        <v>131615</v>
      </c>
      <c r="F524" s="1">
        <v>96</v>
      </c>
      <c r="G524" s="1">
        <v>0</v>
      </c>
      <c r="H524" s="1" t="str">
        <f>"96/07/03"</f>
        <v>96/07/03</v>
      </c>
      <c r="I524" s="1" t="str">
        <f>"كيلوگرم"</f>
        <v>كيلوگرم</v>
      </c>
      <c r="J524" s="1" t="str">
        <f>"0000000076"</f>
        <v>0000000076</v>
      </c>
      <c r="K524" s="1" t="str">
        <f>"قير 60/70 - فله"</f>
        <v>قير 60/70 - فله</v>
      </c>
      <c r="L524" s="1">
        <v>100</v>
      </c>
      <c r="M524" s="1" t="str">
        <f>"مخازن قير اصفهان"</f>
        <v>مخازن قير اصفهان</v>
      </c>
      <c r="N524" s="1">
        <v>11409</v>
      </c>
      <c r="O524" s="1">
        <v>50036256</v>
      </c>
      <c r="P524" s="1" t="str">
        <f>"  شهرداري اهرم"</f>
        <v xml:space="preserve">  شهرداري اهرم</v>
      </c>
      <c r="Q524" s="1">
        <v>20</v>
      </c>
      <c r="R524" s="1" t="str">
        <f>"فروش داخلي - سازمان شهرداري ها و دهياري هاي كشور"</f>
        <v>فروش داخلي - سازمان شهرداري ها و دهياري هاي كشور</v>
      </c>
      <c r="S524" s="1" t="str">
        <f>"قرارداد فروش"</f>
        <v>قرارداد فروش</v>
      </c>
      <c r="T524" s="1" t="str">
        <f>"ندارد"</f>
        <v>ندارد</v>
      </c>
      <c r="U524" s="1" t="str">
        <f>"تعاوني جم گستر (1001 ج 89)"</f>
        <v>تعاوني جم گستر (1001 ج 89)</v>
      </c>
      <c r="V524" s="1">
        <v>962000099</v>
      </c>
      <c r="W524" s="1">
        <v>962000099</v>
      </c>
      <c r="X524" s="1" t="str">
        <f>"1396514467"</f>
        <v>1396514467</v>
      </c>
      <c r="Y524" s="1" t="str">
        <f>"96/07/03"</f>
        <v>96/07/03</v>
      </c>
      <c r="Z524" s="1" t="str">
        <f>"26832مرحله اول"</f>
        <v>26832مرحله اول</v>
      </c>
      <c r="AA524" s="1" t="str">
        <f>"شهرداريها"</f>
        <v>شهرداريها</v>
      </c>
      <c r="AB524" s="1" t="str">
        <f>"96/06/29"</f>
        <v>96/06/29</v>
      </c>
      <c r="AC524" s="1" t="str">
        <f>"بوشهر"</f>
        <v>بوشهر</v>
      </c>
      <c r="AD524" s="1" t="str">
        <f>"96/07/03"</f>
        <v>96/07/03</v>
      </c>
      <c r="AE524" s="1" t="str">
        <f>"تاييدشده"</f>
        <v>تاييدشده</v>
      </c>
      <c r="AF524" s="1" t="str">
        <f>""</f>
        <v/>
      </c>
      <c r="AG524" s="1" t="str">
        <f>""</f>
        <v/>
      </c>
      <c r="AH524" s="1" t="str">
        <f>""</f>
        <v/>
      </c>
      <c r="AI524" s="1" t="str">
        <f>""</f>
        <v/>
      </c>
      <c r="AJ524" s="1" t="str">
        <f>""</f>
        <v/>
      </c>
      <c r="AK524" s="1" t="str">
        <f>""</f>
        <v/>
      </c>
    </row>
    <row r="525" spans="1:37">
      <c r="A525" s="1">
        <v>119513</v>
      </c>
      <c r="B525" s="1">
        <v>962000120</v>
      </c>
      <c r="C525" s="1" t="str">
        <f>"تخليه بوشهرشهرآبپخش كارخانه آسفالت شهرداري"</f>
        <v>تخليه بوشهرشهرآبپخش كارخانه آسفالت شهرداري</v>
      </c>
      <c r="D525" s="1">
        <v>9113</v>
      </c>
      <c r="E525" s="1">
        <v>119513</v>
      </c>
      <c r="F525" s="1">
        <v>96</v>
      </c>
      <c r="G525" s="1">
        <v>0</v>
      </c>
      <c r="H525" s="1" t="str">
        <f>"96/07/03"</f>
        <v>96/07/03</v>
      </c>
      <c r="I525" s="1" t="str">
        <f>"كيلوگرم"</f>
        <v>كيلوگرم</v>
      </c>
      <c r="J525" s="1" t="str">
        <f>"0000000076"</f>
        <v>0000000076</v>
      </c>
      <c r="K525" s="1" t="str">
        <f>"قير 60/70 - فله"</f>
        <v>قير 60/70 - فله</v>
      </c>
      <c r="L525" s="1">
        <v>100</v>
      </c>
      <c r="M525" s="1" t="str">
        <f>"مخازن قير اصفهان"</f>
        <v>مخازن قير اصفهان</v>
      </c>
      <c r="N525" s="1">
        <v>11423</v>
      </c>
      <c r="O525" s="1">
        <v>50036288</v>
      </c>
      <c r="P525" s="1" t="str">
        <f>"  شهرداري وحدتيه"</f>
        <v xml:space="preserve">  شهرداري وحدتيه</v>
      </c>
      <c r="Q525" s="1">
        <v>20</v>
      </c>
      <c r="R525" s="1" t="str">
        <f>"فروش داخلي - سازمان شهرداري ها و دهياري هاي كشور"</f>
        <v>فروش داخلي - سازمان شهرداري ها و دهياري هاي كشور</v>
      </c>
      <c r="S525" s="1" t="str">
        <f>"قرارداد فروش"</f>
        <v>قرارداد فروش</v>
      </c>
      <c r="T525" s="1" t="str">
        <f>"ندارد"</f>
        <v>ندارد</v>
      </c>
      <c r="U525" s="1" t="str">
        <f>"تعاوني جم گستر (1001 ج 89)"</f>
        <v>تعاوني جم گستر (1001 ج 89)</v>
      </c>
      <c r="V525" s="1">
        <v>962000120</v>
      </c>
      <c r="W525" s="1">
        <v>962000120</v>
      </c>
      <c r="X525" s="1" t="str">
        <f>"1396514467"</f>
        <v>1396514467</v>
      </c>
      <c r="Y525" s="1" t="str">
        <f>"96/07/03"</f>
        <v>96/07/03</v>
      </c>
      <c r="Z525" s="1" t="str">
        <f>"26665مرحله اول"</f>
        <v>26665مرحله اول</v>
      </c>
      <c r="AA525" s="1" t="str">
        <f>"شهرداريها"</f>
        <v>شهرداريها</v>
      </c>
      <c r="AB525" s="1" t="str">
        <f>"96/06/29"</f>
        <v>96/06/29</v>
      </c>
      <c r="AC525" s="1" t="str">
        <f>"بوشهر"</f>
        <v>بوشهر</v>
      </c>
      <c r="AD525" s="1" t="str">
        <f>"96/07/03"</f>
        <v>96/07/03</v>
      </c>
      <c r="AE525" s="1" t="str">
        <f>"تاييدشده"</f>
        <v>تاييدشده</v>
      </c>
      <c r="AF525" s="1" t="str">
        <f>""</f>
        <v/>
      </c>
      <c r="AG525" s="1" t="str">
        <f>""</f>
        <v/>
      </c>
      <c r="AH525" s="1" t="str">
        <f>""</f>
        <v/>
      </c>
      <c r="AI525" s="1" t="str">
        <f>""</f>
        <v/>
      </c>
      <c r="AJ525" s="1" t="str">
        <f>""</f>
        <v/>
      </c>
      <c r="AK525" s="1" t="str">
        <f>""</f>
        <v/>
      </c>
    </row>
    <row r="526" spans="1:37">
      <c r="A526" s="1">
        <v>124384</v>
      </c>
      <c r="B526" s="1">
        <v>962000162</v>
      </c>
      <c r="C526" s="1" t="str">
        <f>"تخليه خراسان رضوي گنابادكيلومتر12جاده فردوس شركت كيهان راه شرق"</f>
        <v>تخليه خراسان رضوي گنابادكيلومتر12جاده فردوس شركت كيهان راه شرق</v>
      </c>
      <c r="D526" s="1">
        <v>9113</v>
      </c>
      <c r="E526" s="1">
        <v>124384</v>
      </c>
      <c r="F526" s="1">
        <v>96</v>
      </c>
      <c r="G526" s="1">
        <v>0</v>
      </c>
      <c r="H526" s="1" t="str">
        <f>"96/07/03"</f>
        <v>96/07/03</v>
      </c>
      <c r="I526" s="1" t="str">
        <f>"كيلوگرم"</f>
        <v>كيلوگرم</v>
      </c>
      <c r="J526" s="1" t="str">
        <f>"0000000076"</f>
        <v>0000000076</v>
      </c>
      <c r="K526" s="1" t="str">
        <f>"قير 60/70 - فله"</f>
        <v>قير 60/70 - فله</v>
      </c>
      <c r="L526" s="1">
        <v>100</v>
      </c>
      <c r="M526" s="1" t="str">
        <f>"مخازن قير اصفهان"</f>
        <v>مخازن قير اصفهان</v>
      </c>
      <c r="N526" s="1">
        <v>11435</v>
      </c>
      <c r="O526" s="1">
        <v>50036367</v>
      </c>
      <c r="P526" s="1" t="str">
        <f>"  شهرداري جنگل"</f>
        <v xml:space="preserve">  شهرداري جنگل</v>
      </c>
      <c r="Q526" s="1">
        <v>20</v>
      </c>
      <c r="R526" s="1" t="str">
        <f>"فروش داخلي - سازمان شهرداري ها و دهياري هاي كشور"</f>
        <v>فروش داخلي - سازمان شهرداري ها و دهياري هاي كشور</v>
      </c>
      <c r="S526" s="1" t="str">
        <f>"قرارداد فروش"</f>
        <v>قرارداد فروش</v>
      </c>
      <c r="T526" s="1" t="str">
        <f>"ندارد"</f>
        <v>ندارد</v>
      </c>
      <c r="U526" s="1" t="str">
        <f>"تعاوني جم گستر (1001 ج 89)"</f>
        <v>تعاوني جم گستر (1001 ج 89)</v>
      </c>
      <c r="V526" s="1">
        <v>962000162</v>
      </c>
      <c r="W526" s="1">
        <v>962000162</v>
      </c>
      <c r="X526" s="1" t="str">
        <f>"1396514467"</f>
        <v>1396514467</v>
      </c>
      <c r="Y526" s="1" t="str">
        <f>"96/07/03"</f>
        <v>96/07/03</v>
      </c>
      <c r="Z526" s="1" t="str">
        <f>"26867مرحله اول"</f>
        <v>26867مرحله اول</v>
      </c>
      <c r="AA526" s="1" t="str">
        <f>"شهرداريها"</f>
        <v>شهرداريها</v>
      </c>
      <c r="AB526" s="1" t="str">
        <f>"96/06/29"</f>
        <v>96/06/29</v>
      </c>
      <c r="AC526" s="1" t="str">
        <f>"خراسان رضوي"</f>
        <v>خراسان رضوي</v>
      </c>
      <c r="AD526" s="1" t="str">
        <f>"96/07/03"</f>
        <v>96/07/03</v>
      </c>
      <c r="AE526" s="1" t="str">
        <f>"اختتام"</f>
        <v>اختتام</v>
      </c>
      <c r="AF526" s="1" t="str">
        <f>""</f>
        <v/>
      </c>
      <c r="AG526" s="1" t="str">
        <f>""</f>
        <v/>
      </c>
      <c r="AH526" s="1" t="str">
        <f>""</f>
        <v/>
      </c>
      <c r="AI526" s="1" t="str">
        <f>""</f>
        <v/>
      </c>
      <c r="AJ526" s="1" t="str">
        <f>""</f>
        <v/>
      </c>
      <c r="AK526" s="1" t="str">
        <f>""</f>
        <v/>
      </c>
    </row>
    <row r="527" spans="1:37">
      <c r="A527" s="1">
        <v>62192</v>
      </c>
      <c r="B527" s="1">
        <v>962000309</v>
      </c>
      <c r="C527" s="1" t="str">
        <f>"تخليه خراسان رضوي گنابادكيلومتر12جاده فردوس شركت كيهان راه شرق"</f>
        <v>تخليه خراسان رضوي گنابادكيلومتر12جاده فردوس شركت كيهان راه شرق</v>
      </c>
      <c r="D527" s="1">
        <v>9113</v>
      </c>
      <c r="E527" s="1">
        <v>60416</v>
      </c>
      <c r="F527" s="1">
        <v>96</v>
      </c>
      <c r="G527" s="1">
        <v>1776</v>
      </c>
      <c r="H527" s="1" t="str">
        <f>"96/09/13"</f>
        <v>96/09/13</v>
      </c>
      <c r="I527" s="1" t="str">
        <f>"كيلوگرم"</f>
        <v>كيلوگرم</v>
      </c>
      <c r="J527" s="1" t="str">
        <f>"0000000076"</f>
        <v>0000000076</v>
      </c>
      <c r="K527" s="1" t="str">
        <f>"قير 60/70 - فله"</f>
        <v>قير 60/70 - فله</v>
      </c>
      <c r="L527" s="1">
        <v>100</v>
      </c>
      <c r="M527" s="1" t="str">
        <f>"مخازن قير اصفهان"</f>
        <v>مخازن قير اصفهان</v>
      </c>
      <c r="N527" s="1">
        <v>11435</v>
      </c>
      <c r="O527" s="1">
        <v>50037511</v>
      </c>
      <c r="P527" s="1" t="str">
        <f>"  شهرداري جنگل"</f>
        <v xml:space="preserve">  شهرداري جنگل</v>
      </c>
      <c r="Q527" s="1">
        <v>20</v>
      </c>
      <c r="R527" s="1" t="str">
        <f>"فروش داخلي - سازمان شهرداري ها و دهياري هاي كشور"</f>
        <v>فروش داخلي - سازمان شهرداري ها و دهياري هاي كشور</v>
      </c>
      <c r="S527" s="1" t="str">
        <f>"قرارداد فروش"</f>
        <v>قرارداد فروش</v>
      </c>
      <c r="T527" s="1" t="str">
        <f>"ندارد"</f>
        <v>ندارد</v>
      </c>
      <c r="U527" s="1" t="str">
        <f>"تعاوني جم گستر (1001 ج 89)"</f>
        <v>تعاوني جم گستر (1001 ج 89)</v>
      </c>
      <c r="V527" s="1">
        <v>962000309</v>
      </c>
      <c r="W527" s="1">
        <v>962000309</v>
      </c>
      <c r="X527" s="1" t="str">
        <f>"1396514467"</f>
        <v>1396514467</v>
      </c>
      <c r="Y527" s="1" t="str">
        <f>"96/09/12"</f>
        <v>96/09/12</v>
      </c>
      <c r="Z527" s="1" t="str">
        <f>"37014مرحله دوم"</f>
        <v>37014مرحله دوم</v>
      </c>
      <c r="AA527" s="1" t="str">
        <f>"شهرداريها"</f>
        <v>شهرداريها</v>
      </c>
      <c r="AB527" s="1" t="str">
        <f>"96/09/04"</f>
        <v>96/09/04</v>
      </c>
      <c r="AC527" s="1" t="str">
        <f>"خراسان رضوي"</f>
        <v>خراسان رضوي</v>
      </c>
      <c r="AD527" s="1" t="str">
        <f>"96/07/03"</f>
        <v>96/07/03</v>
      </c>
      <c r="AE527" s="1" t="str">
        <f>"اختتام"</f>
        <v>اختتام</v>
      </c>
      <c r="AF527" s="1" t="str">
        <f>""</f>
        <v/>
      </c>
      <c r="AG527" s="1" t="str">
        <f>""</f>
        <v/>
      </c>
      <c r="AH527" s="1" t="str">
        <f>""</f>
        <v/>
      </c>
      <c r="AI527" s="1" t="str">
        <f>""</f>
        <v/>
      </c>
      <c r="AJ527" s="1" t="str">
        <f>""</f>
        <v/>
      </c>
      <c r="AK527" s="1" t="str">
        <f>""</f>
        <v/>
      </c>
    </row>
    <row r="528" spans="1:37">
      <c r="A528" s="1">
        <v>120919</v>
      </c>
      <c r="B528" s="1">
        <v>962000191</v>
      </c>
      <c r="C528" s="1" t="str">
        <f>"تخليه خراسان رضوي جاده خواف روستاي ياس آبادشركت راه سازي"</f>
        <v>تخليه خراسان رضوي جاده خواف روستاي ياس آبادشركت راه سازي</v>
      </c>
      <c r="D528" s="1">
        <v>9113</v>
      </c>
      <c r="E528" s="1">
        <v>120919</v>
      </c>
      <c r="F528" s="1">
        <v>96</v>
      </c>
      <c r="G528" s="1">
        <v>0</v>
      </c>
      <c r="H528" s="1" t="str">
        <f>"96/07/03"</f>
        <v>96/07/03</v>
      </c>
      <c r="I528" s="1" t="str">
        <f>"كيلوگرم"</f>
        <v>كيلوگرم</v>
      </c>
      <c r="J528" s="1" t="str">
        <f>"0000000076"</f>
        <v>0000000076</v>
      </c>
      <c r="K528" s="1" t="str">
        <f>"قير 60/70 - فله"</f>
        <v>قير 60/70 - فله</v>
      </c>
      <c r="L528" s="1">
        <v>100</v>
      </c>
      <c r="M528" s="1" t="str">
        <f>"مخازن قير اصفهان"</f>
        <v>مخازن قير اصفهان</v>
      </c>
      <c r="N528" s="1">
        <v>11454</v>
      </c>
      <c r="O528" s="1">
        <v>50036397</v>
      </c>
      <c r="P528" s="1" t="str">
        <f>"  شهرداري نشتيفان"</f>
        <v xml:space="preserve">  شهرداري نشتيفان</v>
      </c>
      <c r="Q528" s="1">
        <v>20</v>
      </c>
      <c r="R528" s="1" t="str">
        <f>"فروش داخلي - سازمان شهرداري ها و دهياري هاي كشور"</f>
        <v>فروش داخلي - سازمان شهرداري ها و دهياري هاي كشور</v>
      </c>
      <c r="S528" s="1" t="str">
        <f>"قرارداد فروش"</f>
        <v>قرارداد فروش</v>
      </c>
      <c r="T528" s="1" t="str">
        <f>"ندارد"</f>
        <v>ندارد</v>
      </c>
      <c r="U528" s="1" t="str">
        <f>"تعاوني جم گستر (1001 ج 89)"</f>
        <v>تعاوني جم گستر (1001 ج 89)</v>
      </c>
      <c r="V528" s="1">
        <v>962000191</v>
      </c>
      <c r="W528" s="1">
        <v>962000191</v>
      </c>
      <c r="X528" s="1" t="str">
        <f>"1396514467"</f>
        <v>1396514467</v>
      </c>
      <c r="Y528" s="1" t="str">
        <f>"96/07/03"</f>
        <v>96/07/03</v>
      </c>
      <c r="Z528" s="1" t="str">
        <f>"26638مرحله اول"</f>
        <v>26638مرحله اول</v>
      </c>
      <c r="AA528" s="1" t="str">
        <f>"شهرداريها"</f>
        <v>شهرداريها</v>
      </c>
      <c r="AB528" s="1" t="str">
        <f>"96/06/29"</f>
        <v>96/06/29</v>
      </c>
      <c r="AC528" s="1" t="str">
        <f>"خراسان رضوي"</f>
        <v>خراسان رضوي</v>
      </c>
      <c r="AD528" s="1" t="str">
        <f>"96/07/03"</f>
        <v>96/07/03</v>
      </c>
      <c r="AE528" s="1" t="str">
        <f>"اختتام"</f>
        <v>اختتام</v>
      </c>
      <c r="AF528" s="1" t="str">
        <f>""</f>
        <v/>
      </c>
      <c r="AG528" s="1" t="str">
        <f>""</f>
        <v/>
      </c>
      <c r="AH528" s="1" t="str">
        <f>""</f>
        <v/>
      </c>
      <c r="AI528" s="1" t="str">
        <f>""</f>
        <v/>
      </c>
      <c r="AJ528" s="1" t="str">
        <f>""</f>
        <v/>
      </c>
      <c r="AK528" s="1" t="str">
        <f>""</f>
        <v/>
      </c>
    </row>
    <row r="529" spans="1:37">
      <c r="A529" s="1">
        <v>38890</v>
      </c>
      <c r="B529" s="1">
        <v>962000423</v>
      </c>
      <c r="C529" s="1" t="str">
        <f>"تخليه اصفهان دامنه كارخانه آسفالت دامنه"</f>
        <v>تخليه اصفهان دامنه كارخانه آسفالت دامنه</v>
      </c>
      <c r="D529" s="1">
        <v>12820</v>
      </c>
      <c r="E529" s="1">
        <v>38890</v>
      </c>
      <c r="F529" s="1">
        <v>96</v>
      </c>
      <c r="G529" s="1">
        <v>0</v>
      </c>
      <c r="H529" s="1" t="str">
        <f>"96/09/20"</f>
        <v>96/09/20</v>
      </c>
      <c r="I529" s="1" t="str">
        <f>"كيلوگرم"</f>
        <v>كيلوگرم</v>
      </c>
      <c r="J529" s="1" t="str">
        <f>"0000000076"</f>
        <v>0000000076</v>
      </c>
      <c r="K529" s="1" t="str">
        <f>"قير 60/70 - فله"</f>
        <v>قير 60/70 - فله</v>
      </c>
      <c r="L529" s="1">
        <v>100</v>
      </c>
      <c r="M529" s="1" t="str">
        <f>"مخازن قير اصفهان"</f>
        <v>مخازن قير اصفهان</v>
      </c>
      <c r="N529" s="1">
        <v>10664</v>
      </c>
      <c r="O529" s="1">
        <v>50037736</v>
      </c>
      <c r="P529" s="1" t="str">
        <f>"  شهرداري چادگان"</f>
        <v xml:space="preserve">  شهرداري چادگان</v>
      </c>
      <c r="Q529" s="1">
        <v>20</v>
      </c>
      <c r="R529" s="1" t="str">
        <f>"فروش داخلي - سازمان شهرداري ها و دهياري هاي كشور"</f>
        <v>فروش داخلي - سازمان شهرداري ها و دهياري هاي كشور</v>
      </c>
      <c r="S529" s="1" t="str">
        <f>"قرارداد فروش"</f>
        <v>قرارداد فروش</v>
      </c>
      <c r="T529" s="1" t="str">
        <f>"ندارد"</f>
        <v>ندارد</v>
      </c>
      <c r="U529" s="1" t="str">
        <f>"تعاوني جم گستر (1001 ج 89)"</f>
        <v>تعاوني جم گستر (1001 ج 89)</v>
      </c>
      <c r="V529" s="1">
        <v>962000423</v>
      </c>
      <c r="W529" s="1">
        <v>962000423</v>
      </c>
      <c r="X529" s="1" t="str">
        <f>"1396529711"</f>
        <v>1396529711</v>
      </c>
      <c r="Y529" s="1" t="str">
        <f>"96/09/20"</f>
        <v>96/09/20</v>
      </c>
      <c r="Z529" s="1" t="str">
        <f>"37121مرحله دوم"</f>
        <v>37121مرحله دوم</v>
      </c>
      <c r="AA529" s="1" t="str">
        <f>"شهرداريها"</f>
        <v>شهرداريها</v>
      </c>
      <c r="AB529" s="1" t="str">
        <f>"96/09/04"</f>
        <v>96/09/04</v>
      </c>
      <c r="AC529" s="1" t="str">
        <f>"استان اصفهان"</f>
        <v>استان اصفهان</v>
      </c>
      <c r="AD529" s="1" t="str">
        <f>"96/09/13"</f>
        <v>96/09/13</v>
      </c>
      <c r="AE529" s="1" t="str">
        <f>"تاييدشده"</f>
        <v>تاييدشده</v>
      </c>
      <c r="AF529" s="1" t="str">
        <f>""</f>
        <v/>
      </c>
      <c r="AG529" s="1" t="str">
        <f>""</f>
        <v/>
      </c>
      <c r="AH529" s="1" t="str">
        <f>""</f>
        <v/>
      </c>
      <c r="AI529" s="1" t="str">
        <f>""</f>
        <v/>
      </c>
      <c r="AJ529" s="1" t="str">
        <f>""</f>
        <v/>
      </c>
      <c r="AK529" s="1" t="str">
        <f>""</f>
        <v/>
      </c>
    </row>
    <row r="530" spans="1:37">
      <c r="A530" s="1">
        <v>40639</v>
      </c>
      <c r="B530" s="1">
        <v>962000483</v>
      </c>
      <c r="C530" s="1" t="str">
        <f>"تخليه اصفهان جاده فولادشهربه نجف آبادروبروي مسكن مهرفولادشهرشركت آبادگران جنوب"</f>
        <v>تخليه اصفهان جاده فولادشهربه نجف آبادروبروي مسكن مهرفولادشهرشركت آبادگران جنوب</v>
      </c>
      <c r="D530" s="1">
        <v>12820</v>
      </c>
      <c r="E530" s="1">
        <v>40639</v>
      </c>
      <c r="F530" s="1">
        <v>96</v>
      </c>
      <c r="G530" s="1">
        <v>0</v>
      </c>
      <c r="H530" s="1" t="str">
        <f>"96/09/20"</f>
        <v>96/09/20</v>
      </c>
      <c r="I530" s="1" t="str">
        <f>"كيلوگرم"</f>
        <v>كيلوگرم</v>
      </c>
      <c r="J530" s="1" t="str">
        <f>"0000000076"</f>
        <v>0000000076</v>
      </c>
      <c r="K530" s="1" t="str">
        <f>"قير 60/70 - فله"</f>
        <v>قير 60/70 - فله</v>
      </c>
      <c r="L530" s="1">
        <v>100</v>
      </c>
      <c r="M530" s="1" t="str">
        <f>"مخازن قير اصفهان"</f>
        <v>مخازن قير اصفهان</v>
      </c>
      <c r="N530" s="1">
        <v>10666</v>
      </c>
      <c r="O530" s="1">
        <v>50037805</v>
      </c>
      <c r="P530" s="1" t="str">
        <f>"  شهرداري کهريز سنگ"</f>
        <v xml:space="preserve">  شهرداري کهريز سنگ</v>
      </c>
      <c r="Q530" s="1">
        <v>20</v>
      </c>
      <c r="R530" s="1" t="str">
        <f>"فروش داخلي - سازمان شهرداري ها و دهياري هاي كشور"</f>
        <v>فروش داخلي - سازمان شهرداري ها و دهياري هاي كشور</v>
      </c>
      <c r="S530" s="1" t="str">
        <f>"قرارداد فروش"</f>
        <v>قرارداد فروش</v>
      </c>
      <c r="T530" s="1" t="str">
        <f>"ندارد"</f>
        <v>ندارد</v>
      </c>
      <c r="U530" s="1" t="str">
        <f>"تعاوني جم گستر (1001 ج 89)"</f>
        <v>تعاوني جم گستر (1001 ج 89)</v>
      </c>
      <c r="V530" s="1">
        <v>962000483</v>
      </c>
      <c r="W530" s="1">
        <v>962000483</v>
      </c>
      <c r="X530" s="1" t="str">
        <f>"1396529711"</f>
        <v>1396529711</v>
      </c>
      <c r="Y530" s="1" t="str">
        <f>"96/09/20"</f>
        <v>96/09/20</v>
      </c>
      <c r="Z530" s="1" t="str">
        <f>"37217مرحله دوم"</f>
        <v>37217مرحله دوم</v>
      </c>
      <c r="AA530" s="1" t="str">
        <f>"شهرداريها"</f>
        <v>شهرداريها</v>
      </c>
      <c r="AB530" s="1" t="str">
        <f>"96/09/05"</f>
        <v>96/09/05</v>
      </c>
      <c r="AC530" s="1" t="str">
        <f>"استان اصفهان"</f>
        <v>استان اصفهان</v>
      </c>
      <c r="AD530" s="1" t="str">
        <f>"96/09/13"</f>
        <v>96/09/13</v>
      </c>
      <c r="AE530" s="1" t="str">
        <f>"اختتام"</f>
        <v>اختتام</v>
      </c>
      <c r="AF530" s="1" t="str">
        <f>""</f>
        <v/>
      </c>
      <c r="AG530" s="1" t="str">
        <f>""</f>
        <v/>
      </c>
      <c r="AH530" s="1" t="str">
        <f>""</f>
        <v/>
      </c>
      <c r="AI530" s="1" t="str">
        <f>""</f>
        <v/>
      </c>
      <c r="AJ530" s="1" t="str">
        <f>""</f>
        <v/>
      </c>
      <c r="AK530" s="1" t="str">
        <f>""</f>
        <v/>
      </c>
    </row>
    <row r="531" spans="1:37">
      <c r="A531" s="1">
        <v>183000</v>
      </c>
      <c r="B531" s="1">
        <v>966200662</v>
      </c>
      <c r="C531" s="1" t="str">
        <f>"تخليه -كرمان -رفسنجان كيلومتر20جاده يزد"</f>
        <v>تخليه -كرمان -رفسنجان كيلومتر20جاده يزد</v>
      </c>
      <c r="D531" s="1">
        <v>13350</v>
      </c>
      <c r="E531" s="1">
        <v>182880</v>
      </c>
      <c r="F531" s="1">
        <v>96</v>
      </c>
      <c r="G531" s="1">
        <v>120</v>
      </c>
      <c r="H531" s="1" t="str">
        <f>"96/12/16"</f>
        <v>96/12/16</v>
      </c>
      <c r="I531" s="1" t="str">
        <f>"كيلوگرم"</f>
        <v>كيلوگرم</v>
      </c>
      <c r="J531" s="1" t="str">
        <f>"0000000076"</f>
        <v>0000000076</v>
      </c>
      <c r="K531" s="1" t="str">
        <f>"قير 60/70 - فله"</f>
        <v>قير 60/70 - فله</v>
      </c>
      <c r="L531" s="1">
        <v>100</v>
      </c>
      <c r="M531" s="1" t="str">
        <f>"مخازن قير اصفهان"</f>
        <v>مخازن قير اصفهان</v>
      </c>
      <c r="N531" s="1">
        <v>10929</v>
      </c>
      <c r="O531" s="1">
        <v>50038798</v>
      </c>
      <c r="P531" s="1" t="str">
        <f>"  راهسازي وساختماني راه طلائي كوير"</f>
        <v xml:space="preserve">  راهسازي وساختماني راه طلائي كوير</v>
      </c>
      <c r="Q531" s="1">
        <v>62</v>
      </c>
      <c r="R531" s="1" t="str">
        <f>"فروش داخلي - سازمان بنيادمسكن انقلاب اسلامي"</f>
        <v>فروش داخلي - سازمان بنيادمسكن انقلاب اسلامي</v>
      </c>
      <c r="S531" s="1" t="str">
        <f>"قرارداد فروش"</f>
        <v>قرارداد فروش</v>
      </c>
      <c r="T531" s="1" t="str">
        <f>"ندارد"</f>
        <v>ندارد</v>
      </c>
      <c r="U531" s="1" t="str">
        <f>"خضرائي فريدون(4844003)"</f>
        <v>خضرائي فريدون(4844003)</v>
      </c>
      <c r="V531" s="1">
        <v>966200662</v>
      </c>
      <c r="W531" s="1">
        <v>966200662</v>
      </c>
      <c r="X531" s="1" t="str">
        <f>"1396552658"</f>
        <v>1396552658</v>
      </c>
      <c r="Y531" s="1" t="str">
        <f>"96/12/16"</f>
        <v>96/12/16</v>
      </c>
      <c r="Z531" s="1" t="str">
        <f>"57109/د"</f>
        <v>57109/د</v>
      </c>
      <c r="AA531" s="1" t="str">
        <f>"بنيادمسكن انقلاب اسلامي"</f>
        <v>بنيادمسكن انقلاب اسلامي</v>
      </c>
      <c r="AB531" s="1" t="str">
        <f>"96/12/15"</f>
        <v>96/12/15</v>
      </c>
      <c r="AC531" s="1" t="str">
        <f>"استان كرمان"</f>
        <v>استان كرمان</v>
      </c>
      <c r="AD531" s="1" t="str">
        <f>"96/12/15"</f>
        <v>96/12/15</v>
      </c>
      <c r="AE531" s="1" t="str">
        <f>"اختتام"</f>
        <v>اختتام</v>
      </c>
      <c r="AF531" s="1" t="str">
        <f>""</f>
        <v/>
      </c>
      <c r="AG531" s="1" t="str">
        <f>""</f>
        <v/>
      </c>
      <c r="AH531" s="1" t="str">
        <f>""</f>
        <v/>
      </c>
      <c r="AI531" s="1" t="str">
        <f>""</f>
        <v/>
      </c>
      <c r="AJ531" s="1" t="str">
        <f>""</f>
        <v/>
      </c>
      <c r="AK531" s="1" t="str">
        <f>""</f>
        <v/>
      </c>
    </row>
    <row r="532" spans="1:37">
      <c r="A532" s="1">
        <v>197000</v>
      </c>
      <c r="B532" s="1">
        <v>966200001</v>
      </c>
      <c r="C532" s="1" t="str">
        <f>"تخليه - کرمانشاه - سرپل ذهاب - دشت ذهاب - روستاي گرده نو-کارخانه آسفالت قدس"</f>
        <v>تخليه - کرمانشاه - سرپل ذهاب - دشت ذهاب - روستاي گرده نو-کارخانه آسفالت قدس</v>
      </c>
      <c r="D532" s="1">
        <v>8198</v>
      </c>
      <c r="E532" s="1">
        <v>197000</v>
      </c>
      <c r="F532" s="1">
        <v>96</v>
      </c>
      <c r="G532" s="1">
        <v>0</v>
      </c>
      <c r="H532" s="1" t="str">
        <f>"96/01/19"</f>
        <v>96/01/19</v>
      </c>
      <c r="I532" s="1" t="str">
        <f>"كيلوگرم"</f>
        <v>كيلوگرم</v>
      </c>
      <c r="J532" s="1" t="str">
        <f>"0000000076"</f>
        <v>0000000076</v>
      </c>
      <c r="K532" s="1" t="str">
        <f>"قير 60/70 - فله"</f>
        <v>قير 60/70 - فله</v>
      </c>
      <c r="L532" s="1">
        <v>100</v>
      </c>
      <c r="M532" s="1" t="str">
        <f>"مخازن قير اصفهان"</f>
        <v>مخازن قير اصفهان</v>
      </c>
      <c r="N532" s="1">
        <v>10976</v>
      </c>
      <c r="O532" s="1">
        <v>50034426</v>
      </c>
      <c r="P532" s="1" t="str">
        <f>"  پي سازان كلهرزاگرس"</f>
        <v xml:space="preserve">  پي سازان كلهرزاگرس</v>
      </c>
      <c r="Q532" s="1">
        <v>62</v>
      </c>
      <c r="R532" s="1" t="str">
        <f>"فروش داخلي - سازمان بنيادمسكن انقلاب اسلامي"</f>
        <v>فروش داخلي - سازمان بنيادمسكن انقلاب اسلامي</v>
      </c>
      <c r="S532" s="1" t="str">
        <f>"قرارداد فروش"</f>
        <v>قرارداد فروش</v>
      </c>
      <c r="T532" s="1" t="str">
        <f>"ندارد"</f>
        <v>ندارد</v>
      </c>
      <c r="U532" s="1" t="str">
        <f>"حاجيلوئي علي اصغر(2842019)"</f>
        <v>حاجيلوئي علي اصغر(2842019)</v>
      </c>
      <c r="V532" s="1">
        <v>966200001</v>
      </c>
      <c r="W532" s="1">
        <v>966200001</v>
      </c>
      <c r="X532" s="1" t="str">
        <f>"1396472562"</f>
        <v>1396472562</v>
      </c>
      <c r="Y532" s="1" t="str">
        <f>"96/01/19"</f>
        <v>96/01/19</v>
      </c>
      <c r="Z532" s="1" t="str">
        <f>"921/د"</f>
        <v>921/د</v>
      </c>
      <c r="AA532" s="1" t="str">
        <f>"بنيادمسكن انقلاب اسلامي"</f>
        <v>بنيادمسكن انقلاب اسلامي</v>
      </c>
      <c r="AB532" s="1" t="str">
        <f>"96/01/19"</f>
        <v>96/01/19</v>
      </c>
      <c r="AC532" s="1" t="str">
        <f>"استان كرمانشاه"</f>
        <v>استان كرمانشاه</v>
      </c>
      <c r="AD532" s="1" t="str">
        <f>"96/01/19"</f>
        <v>96/01/19</v>
      </c>
      <c r="AE532" s="1" t="str">
        <f>"اختتام"</f>
        <v>اختتام</v>
      </c>
      <c r="AF532" s="1" t="str">
        <f>""</f>
        <v/>
      </c>
      <c r="AG532" s="1" t="str">
        <f>""</f>
        <v/>
      </c>
      <c r="AH532" s="1" t="str">
        <f>""</f>
        <v/>
      </c>
      <c r="AI532" s="1" t="str">
        <f>""</f>
        <v/>
      </c>
      <c r="AJ532" s="1" t="str">
        <f>""</f>
        <v/>
      </c>
      <c r="AK532" s="1" t="str">
        <f>""</f>
        <v/>
      </c>
    </row>
    <row r="533" spans="1:37">
      <c r="A533" s="1">
        <v>189000</v>
      </c>
      <c r="B533" s="1">
        <v>966200590</v>
      </c>
      <c r="C533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533" s="1">
        <v>13350</v>
      </c>
      <c r="E533" s="1">
        <v>187720</v>
      </c>
      <c r="F533" s="1">
        <v>96</v>
      </c>
      <c r="G533" s="1">
        <v>1280</v>
      </c>
      <c r="H533" s="1" t="str">
        <f>"96/12/07"</f>
        <v>96/12/07</v>
      </c>
      <c r="I533" s="1" t="str">
        <f>"كيلوگرم"</f>
        <v>كيلوگرم</v>
      </c>
      <c r="J533" s="1" t="str">
        <f>"0000000076"</f>
        <v>0000000076</v>
      </c>
      <c r="K533" s="1" t="str">
        <f>"قير 60/70 - فله"</f>
        <v>قير 60/70 - فله</v>
      </c>
      <c r="L533" s="1">
        <v>100</v>
      </c>
      <c r="M533" s="1" t="str">
        <f>"مخازن قير اصفهان"</f>
        <v>مخازن قير اصفهان</v>
      </c>
      <c r="N533" s="1">
        <v>11001</v>
      </c>
      <c r="O533" s="1">
        <v>50038630</v>
      </c>
      <c r="P533" s="1" t="str">
        <f>"  بنياد مسکن انقلاب اسلامي نجف آباد"</f>
        <v xml:space="preserve">  بنياد مسکن انقلاب اسلامي نجف آباد</v>
      </c>
      <c r="Q533" s="1">
        <v>62</v>
      </c>
      <c r="R533" s="1" t="str">
        <f>"فروش داخلي - سازمان بنيادمسكن انقلاب اسلامي"</f>
        <v>فروش داخلي - سازمان بنيادمسكن انقلاب اسلامي</v>
      </c>
      <c r="S533" s="1" t="str">
        <f>"قرارداد فروش"</f>
        <v>قرارداد فروش</v>
      </c>
      <c r="T533" s="1" t="str">
        <f>"ندارد"</f>
        <v>ندارد</v>
      </c>
      <c r="U533" s="1" t="str">
        <f>"سيفي پور عبدالمجيد(1009ج89)"</f>
        <v>سيفي پور عبدالمجيد(1009ج89)</v>
      </c>
      <c r="V533" s="1">
        <v>966200590</v>
      </c>
      <c r="W533" s="1">
        <v>966200590</v>
      </c>
      <c r="X533" s="1" t="str">
        <f>"1396550585"</f>
        <v>1396550585</v>
      </c>
      <c r="Y533" s="1" t="str">
        <f>"96/12/07"</f>
        <v>96/12/07</v>
      </c>
      <c r="Z533" s="1" t="str">
        <f>"54839/د"</f>
        <v>54839/د</v>
      </c>
      <c r="AA533" s="1" t="str">
        <f>"بنيادمسكن انقلاب اسلامي"</f>
        <v>بنيادمسكن انقلاب اسلامي</v>
      </c>
      <c r="AB533" s="1" t="str">
        <f>"96/12/05"</f>
        <v>96/12/05</v>
      </c>
      <c r="AC533" s="1" t="str">
        <f>"استان اصفهان"</f>
        <v>استان اصفهان</v>
      </c>
      <c r="AD533" s="1" t="str">
        <f>"96/12/07"</f>
        <v>96/12/07</v>
      </c>
      <c r="AE533" s="1" t="str">
        <f>"اختتام"</f>
        <v>اختتام</v>
      </c>
      <c r="AF533" s="1" t="str">
        <f>""</f>
        <v/>
      </c>
      <c r="AG533" s="1" t="str">
        <f>""</f>
        <v/>
      </c>
      <c r="AH533" s="1" t="str">
        <f>""</f>
        <v/>
      </c>
      <c r="AI533" s="1" t="str">
        <f>""</f>
        <v/>
      </c>
      <c r="AJ533" s="1" t="str">
        <f>""</f>
        <v/>
      </c>
      <c r="AK533" s="1" t="str">
        <f>""</f>
        <v/>
      </c>
    </row>
    <row r="534" spans="1:37">
      <c r="A534" s="1">
        <v>70000</v>
      </c>
      <c r="B534" s="1">
        <v>966200764</v>
      </c>
      <c r="C534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534" s="1">
        <v>13350</v>
      </c>
      <c r="E534" s="1">
        <v>70000</v>
      </c>
      <c r="F534" s="1">
        <v>96</v>
      </c>
      <c r="G534" s="1">
        <v>0</v>
      </c>
      <c r="H534" s="1" t="str">
        <f>"96/12/27"</f>
        <v>96/12/27</v>
      </c>
      <c r="I534" s="1" t="str">
        <f>"كيلوگرم"</f>
        <v>كيلوگرم</v>
      </c>
      <c r="J534" s="1" t="str">
        <f>"0000000076"</f>
        <v>0000000076</v>
      </c>
      <c r="K534" s="1" t="str">
        <f>"قير 60/70 - فله"</f>
        <v>قير 60/70 - فله</v>
      </c>
      <c r="L534" s="1">
        <v>100</v>
      </c>
      <c r="M534" s="1" t="str">
        <f>"مخازن قير اصفهان"</f>
        <v>مخازن قير اصفهان</v>
      </c>
      <c r="N534" s="1">
        <v>11001</v>
      </c>
      <c r="O534" s="1">
        <v>50039134</v>
      </c>
      <c r="P534" s="1" t="str">
        <f>"  بنياد مسکن انقلاب اسلامي نجف آباد"</f>
        <v xml:space="preserve">  بنياد مسکن انقلاب اسلامي نجف آباد</v>
      </c>
      <c r="Q534" s="1">
        <v>62</v>
      </c>
      <c r="R534" s="1" t="str">
        <f>"فروش داخلي - سازمان بنيادمسكن انقلاب اسلامي"</f>
        <v>فروش داخلي - سازمان بنيادمسكن انقلاب اسلامي</v>
      </c>
      <c r="S534" s="1" t="str">
        <f>"قرارداد فروش"</f>
        <v>قرارداد فروش</v>
      </c>
      <c r="T534" s="1" t="str">
        <f>"ندارد"</f>
        <v>ندارد</v>
      </c>
      <c r="U534" s="1" t="str">
        <f>"سيفي پور عبدالمجيد(1009ج89)"</f>
        <v>سيفي پور عبدالمجيد(1009ج89)</v>
      </c>
      <c r="V534" s="1">
        <v>966200764</v>
      </c>
      <c r="W534" s="1">
        <v>966200764</v>
      </c>
      <c r="X534" s="1" t="str">
        <f>"1396555465"</f>
        <v>1396555465</v>
      </c>
      <c r="Y534" s="1" t="str">
        <f>"96/12/27"</f>
        <v>96/12/27</v>
      </c>
      <c r="Z534" s="1" t="str">
        <f>"59996/د"</f>
        <v>59996/د</v>
      </c>
      <c r="AA534" s="1" t="str">
        <f>"بنيادمسكن انقلاب اسلامي"</f>
        <v>بنيادمسكن انقلاب اسلامي</v>
      </c>
      <c r="AB534" s="1" t="str">
        <f>"96/12/26"</f>
        <v>96/12/26</v>
      </c>
      <c r="AC534" s="1" t="str">
        <f>"استان اصفهان"</f>
        <v>استان اصفهان</v>
      </c>
      <c r="AD534" s="1" t="str">
        <f>"96/12/27"</f>
        <v>96/12/27</v>
      </c>
      <c r="AE534" s="1" t="str">
        <f>"اختتام"</f>
        <v>اختتام</v>
      </c>
      <c r="AF534" s="1" t="str">
        <f>""</f>
        <v/>
      </c>
      <c r="AG534" s="1" t="str">
        <f>""</f>
        <v/>
      </c>
      <c r="AH534" s="1" t="str">
        <f>""</f>
        <v/>
      </c>
      <c r="AI534" s="1" t="str">
        <f>""</f>
        <v/>
      </c>
      <c r="AJ534" s="1" t="str">
        <f>""</f>
        <v/>
      </c>
      <c r="AK534" s="1" t="str">
        <f>""</f>
        <v/>
      </c>
    </row>
    <row r="535" spans="1:37">
      <c r="A535" s="1">
        <v>118257</v>
      </c>
      <c r="B535" s="1">
        <v>962000194</v>
      </c>
      <c r="C535" s="1" t="str">
        <f>"تخليه خراسان رضوي كيلومتر15جاده درگزمشهدكارخانه آسفالت شهرداري درگز"</f>
        <v>تخليه خراسان رضوي كيلومتر15جاده درگزمشهدكارخانه آسفالت شهرداري درگز</v>
      </c>
      <c r="D535" s="1">
        <v>9113</v>
      </c>
      <c r="E535" s="1">
        <v>118257</v>
      </c>
      <c r="F535" s="1">
        <v>96</v>
      </c>
      <c r="G535" s="1">
        <v>0</v>
      </c>
      <c r="H535" s="1" t="str">
        <f>"96/07/03"</f>
        <v>96/07/03</v>
      </c>
      <c r="I535" s="1" t="str">
        <f>"كيلوگرم"</f>
        <v>كيلوگرم</v>
      </c>
      <c r="J535" s="1" t="str">
        <f>"0000000076"</f>
        <v>0000000076</v>
      </c>
      <c r="K535" s="1" t="str">
        <f>"قير 60/70 - فله"</f>
        <v>قير 60/70 - فله</v>
      </c>
      <c r="L535" s="1">
        <v>100</v>
      </c>
      <c r="M535" s="1" t="str">
        <f>"مخازن قير اصفهان"</f>
        <v>مخازن قير اصفهان</v>
      </c>
      <c r="N535" s="1">
        <v>11456</v>
      </c>
      <c r="O535" s="1">
        <v>50036401</v>
      </c>
      <c r="P535" s="1" t="str">
        <f>"  شهرداري نوخندان"</f>
        <v xml:space="preserve">  شهرداري نوخندان</v>
      </c>
      <c r="Q535" s="1">
        <v>20</v>
      </c>
      <c r="R535" s="1" t="str">
        <f>"فروش داخلي - سازمان شهرداري ها و دهياري هاي كشور"</f>
        <v>فروش داخلي - سازمان شهرداري ها و دهياري هاي كشور</v>
      </c>
      <c r="S535" s="1" t="str">
        <f>"قرارداد فروش"</f>
        <v>قرارداد فروش</v>
      </c>
      <c r="T535" s="1" t="str">
        <f>"ندارد"</f>
        <v>ندارد</v>
      </c>
      <c r="U535" s="1" t="str">
        <f>"تعاوني جم گستر (1001 ج 89)"</f>
        <v>تعاوني جم گستر (1001 ج 89)</v>
      </c>
      <c r="V535" s="1">
        <v>962000194</v>
      </c>
      <c r="W535" s="1">
        <v>962000194</v>
      </c>
      <c r="X535" s="1" t="str">
        <f>"1396514467"</f>
        <v>1396514467</v>
      </c>
      <c r="Y535" s="1" t="str">
        <f>"96/07/03"</f>
        <v>96/07/03</v>
      </c>
      <c r="Z535" s="1" t="str">
        <f>"26625مرحله اول"</f>
        <v>26625مرحله اول</v>
      </c>
      <c r="AA535" s="1" t="str">
        <f>"شهرداريها"</f>
        <v>شهرداريها</v>
      </c>
      <c r="AB535" s="1" t="str">
        <f>"96/06/29"</f>
        <v>96/06/29</v>
      </c>
      <c r="AC535" s="1" t="str">
        <f>"خراسان رضوي"</f>
        <v>خراسان رضوي</v>
      </c>
      <c r="AD535" s="1" t="str">
        <f>"96/07/03"</f>
        <v>96/07/03</v>
      </c>
      <c r="AE535" s="1" t="str">
        <f>"اختتام"</f>
        <v>اختتام</v>
      </c>
      <c r="AF535" s="1" t="str">
        <f>""</f>
        <v/>
      </c>
      <c r="AG535" s="1" t="str">
        <f>""</f>
        <v/>
      </c>
      <c r="AH535" s="1" t="str">
        <f>""</f>
        <v/>
      </c>
      <c r="AI535" s="1" t="str">
        <f>""</f>
        <v/>
      </c>
      <c r="AJ535" s="1" t="str">
        <f>""</f>
        <v/>
      </c>
      <c r="AK535" s="1" t="str">
        <f>""</f>
        <v/>
      </c>
    </row>
    <row r="536" spans="1:37">
      <c r="A536" s="1">
        <v>116000</v>
      </c>
      <c r="B536" s="1">
        <v>966300033</v>
      </c>
      <c r="C536" s="1" t="str">
        <f>"تخليه اصفهان تونل شهركردكارخانه زرين استحكام"</f>
        <v>تخليه اصفهان تونل شهركردكارخانه زرين استحكام</v>
      </c>
      <c r="D536" s="1">
        <v>12820</v>
      </c>
      <c r="E536" s="1">
        <v>116000</v>
      </c>
      <c r="F536" s="1">
        <v>96</v>
      </c>
      <c r="G536" s="1">
        <v>0</v>
      </c>
      <c r="H536" s="1" t="str">
        <f>"96/09/12"</f>
        <v>96/09/12</v>
      </c>
      <c r="I536" s="1" t="str">
        <f>"كيلوگرم"</f>
        <v>كيلوگرم</v>
      </c>
      <c r="J536" s="1" t="str">
        <f>"0000000076"</f>
        <v>0000000076</v>
      </c>
      <c r="K536" s="1" t="str">
        <f>"قير 60/70 - فله"</f>
        <v>قير 60/70 - فله</v>
      </c>
      <c r="L536" s="1">
        <v>100</v>
      </c>
      <c r="M536" s="1" t="str">
        <f>"مخازن قير اصفهان"</f>
        <v>مخازن قير اصفهان</v>
      </c>
      <c r="N536" s="1">
        <v>11494</v>
      </c>
      <c r="O536" s="1">
        <v>50037418</v>
      </c>
      <c r="P536" s="1" t="str">
        <f>"  صنعت سازان صاعقه زاگرس"</f>
        <v xml:space="preserve">  صنعت سازان صاعقه زاگرس</v>
      </c>
      <c r="Q536" s="1">
        <v>63</v>
      </c>
      <c r="R536" s="1" t="str">
        <f>"سازمان نوسازي،توسعه و تجهيز مدارس كشور"</f>
        <v>سازمان نوسازي،توسعه و تجهيز مدارس كشور</v>
      </c>
      <c r="S536" s="1" t="str">
        <f>"قرارداد فروش"</f>
        <v>قرارداد فروش</v>
      </c>
      <c r="T536" s="1" t="str">
        <f>"ندارد"</f>
        <v>ندارد</v>
      </c>
      <c r="U536" s="1" t="str">
        <f>"قره باغي مجيد(1871065)"</f>
        <v>قره باغي مجيد(1871065)</v>
      </c>
      <c r="V536" s="1">
        <v>966300033</v>
      </c>
      <c r="W536" s="1">
        <v>966300033</v>
      </c>
      <c r="X536" s="1" t="str">
        <f>"1396529405"</f>
        <v>1396529405</v>
      </c>
      <c r="Y536" s="1" t="str">
        <f>"96/09/12"</f>
        <v>96/09/12</v>
      </c>
      <c r="Z536" s="1" t="str">
        <f>"18/96/1/7921"</f>
        <v>18/96/1/7921</v>
      </c>
      <c r="AA536" s="1" t="str">
        <f>"سازمان نوسازي توسعه وتجهيزمدارس كشور"</f>
        <v>سازمان نوسازي توسعه وتجهيزمدارس كشور</v>
      </c>
      <c r="AB536" s="1" t="str">
        <f>"96/08/24"</f>
        <v>96/08/24</v>
      </c>
      <c r="AC536" s="1" t="str">
        <f>"استان چهارمحال بختياري"</f>
        <v>استان چهارمحال بختياري</v>
      </c>
      <c r="AD536" s="1" t="str">
        <f>"96/09/11"</f>
        <v>96/09/11</v>
      </c>
      <c r="AE536" s="1" t="str">
        <f>"اختتام"</f>
        <v>اختتام</v>
      </c>
      <c r="AF536" s="1" t="str">
        <f>""</f>
        <v/>
      </c>
      <c r="AG536" s="1" t="str">
        <f>""</f>
        <v/>
      </c>
      <c r="AH536" s="1" t="str">
        <f>""</f>
        <v/>
      </c>
      <c r="AI536" s="1" t="str">
        <f>""</f>
        <v/>
      </c>
      <c r="AJ536" s="1" t="str">
        <f>""</f>
        <v/>
      </c>
      <c r="AK536" s="1" t="str">
        <f>""</f>
        <v/>
      </c>
    </row>
    <row r="537" spans="1:37">
      <c r="A537" s="1">
        <v>69423</v>
      </c>
      <c r="B537" s="1">
        <v>962000283</v>
      </c>
      <c r="C537" s="1" t="str">
        <f>"تخليه خراسان رضوي كيلومتر2جاده كاريزتايبادكارخانه آسفالت شهرداري تايباد"</f>
        <v>تخليه خراسان رضوي كيلومتر2جاده كاريزتايبادكارخانه آسفالت شهرداري تايباد</v>
      </c>
      <c r="D537" s="1">
        <v>9113</v>
      </c>
      <c r="E537" s="1">
        <v>66360</v>
      </c>
      <c r="F537" s="1">
        <v>96</v>
      </c>
      <c r="G537" s="1">
        <v>3063</v>
      </c>
      <c r="H537" s="1" t="str">
        <f>"96/09/13"</f>
        <v>96/09/13</v>
      </c>
      <c r="I537" s="1" t="str">
        <f>"كيلوگرم"</f>
        <v>كيلوگرم</v>
      </c>
      <c r="J537" s="1" t="str">
        <f>"0000000076"</f>
        <v>0000000076</v>
      </c>
      <c r="K537" s="1" t="str">
        <f>"قير 60/70 - فله"</f>
        <v>قير 60/70 - فله</v>
      </c>
      <c r="L537" s="1">
        <v>100</v>
      </c>
      <c r="M537" s="1" t="str">
        <f>"مخازن قير اصفهان"</f>
        <v>مخازن قير اصفهان</v>
      </c>
      <c r="N537" s="1">
        <v>11502</v>
      </c>
      <c r="O537" s="1">
        <v>50037483</v>
      </c>
      <c r="P537" s="1" t="str">
        <f>"  شهرداري كاريز"</f>
        <v xml:space="preserve">  شهرداري كاريز</v>
      </c>
      <c r="Q537" s="1">
        <v>20</v>
      </c>
      <c r="R537" s="1" t="str">
        <f>"فروش داخلي - سازمان شهرداري ها و دهياري هاي كشور"</f>
        <v>فروش داخلي - سازمان شهرداري ها و دهياري هاي كشور</v>
      </c>
      <c r="S537" s="1" t="str">
        <f>"قرارداد فروش"</f>
        <v>قرارداد فروش</v>
      </c>
      <c r="T537" s="1" t="str">
        <f>"ندارد"</f>
        <v>ندارد</v>
      </c>
      <c r="U537" s="1" t="str">
        <f>"تعاوني جم گستر (1001 ج 89)"</f>
        <v>تعاوني جم گستر (1001 ج 89)</v>
      </c>
      <c r="V537" s="1">
        <v>962000283</v>
      </c>
      <c r="W537" s="1">
        <v>962000283</v>
      </c>
      <c r="X537" s="1" t="str">
        <f>"1396514467"</f>
        <v>1396514467</v>
      </c>
      <c r="Y537" s="1" t="str">
        <f>"96/09/12"</f>
        <v>96/09/12</v>
      </c>
      <c r="Z537" s="1" t="str">
        <f>"37051مرحله دوم"</f>
        <v>37051مرحله دوم</v>
      </c>
      <c r="AA537" s="1" t="str">
        <f>"شهرداريها"</f>
        <v>شهرداريها</v>
      </c>
      <c r="AB537" s="1" t="str">
        <f>"96/09/04"</f>
        <v>96/09/04</v>
      </c>
      <c r="AC537" s="1" t="str">
        <f>"خراسان رضوي"</f>
        <v>خراسان رضوي</v>
      </c>
      <c r="AD537" s="1" t="str">
        <f>"96/07/03"</f>
        <v>96/07/03</v>
      </c>
      <c r="AE537" s="1" t="str">
        <f>"اختتام"</f>
        <v>اختتام</v>
      </c>
      <c r="AF537" s="1" t="str">
        <f>""</f>
        <v/>
      </c>
      <c r="AG537" s="1" t="str">
        <f>""</f>
        <v/>
      </c>
      <c r="AH537" s="1" t="str">
        <f>""</f>
        <v/>
      </c>
      <c r="AI537" s="1" t="str">
        <f>""</f>
        <v/>
      </c>
      <c r="AJ537" s="1" t="str">
        <f>""</f>
        <v/>
      </c>
      <c r="AK537" s="1" t="str">
        <f>""</f>
        <v/>
      </c>
    </row>
    <row r="538" spans="1:37">
      <c r="A538" s="1">
        <v>54889</v>
      </c>
      <c r="B538" s="1">
        <v>962000338</v>
      </c>
      <c r="C538" s="1" t="str">
        <f>"تخليه خراسان رضوي شهرستان فيروزه كيلومتر12جاده قوچان شركت دل حفره"</f>
        <v>تخليه خراسان رضوي شهرستان فيروزه كيلومتر12جاده قوچان شركت دل حفره</v>
      </c>
      <c r="D538" s="1">
        <v>9113</v>
      </c>
      <c r="E538" s="1">
        <v>54280</v>
      </c>
      <c r="F538" s="1">
        <v>96</v>
      </c>
      <c r="G538" s="1">
        <v>609</v>
      </c>
      <c r="H538" s="1" t="str">
        <f>"96/09/13"</f>
        <v>96/09/13</v>
      </c>
      <c r="I538" s="1" t="str">
        <f>"كيلوگرم"</f>
        <v>كيلوگرم</v>
      </c>
      <c r="J538" s="1" t="str">
        <f>"0000000076"</f>
        <v>0000000076</v>
      </c>
      <c r="K538" s="1" t="str">
        <f>"قير 60/70 - فله"</f>
        <v>قير 60/70 - فله</v>
      </c>
      <c r="L538" s="1">
        <v>100</v>
      </c>
      <c r="M538" s="1" t="str">
        <f>"مخازن قير اصفهان"</f>
        <v>مخازن قير اصفهان</v>
      </c>
      <c r="N538" s="1">
        <v>11515</v>
      </c>
      <c r="O538" s="1">
        <v>50037548</v>
      </c>
      <c r="P538" s="1" t="str">
        <f>"  شهرداري قدمگاه"</f>
        <v xml:space="preserve">  شهرداري قدمگاه</v>
      </c>
      <c r="Q538" s="1">
        <v>20</v>
      </c>
      <c r="R538" s="1" t="str">
        <f>"فروش داخلي - سازمان شهرداري ها و دهياري هاي كشور"</f>
        <v>فروش داخلي - سازمان شهرداري ها و دهياري هاي كشور</v>
      </c>
      <c r="S538" s="1" t="str">
        <f>"قرارداد فروش"</f>
        <v>قرارداد فروش</v>
      </c>
      <c r="T538" s="1" t="str">
        <f>"ندارد"</f>
        <v>ندارد</v>
      </c>
      <c r="U538" s="1" t="str">
        <f>"تعاوني جم گستر (1001 ج 89)"</f>
        <v>تعاوني جم گستر (1001 ج 89)</v>
      </c>
      <c r="V538" s="1">
        <v>962000338</v>
      </c>
      <c r="W538" s="1">
        <v>962000338</v>
      </c>
      <c r="X538" s="1" t="str">
        <f>"1396514467"</f>
        <v>1396514467</v>
      </c>
      <c r="Y538" s="1" t="str">
        <f>"96/09/12"</f>
        <v>96/09/12</v>
      </c>
      <c r="Z538" s="1" t="str">
        <f>"37048مرحله دوم"</f>
        <v>37048مرحله دوم</v>
      </c>
      <c r="AA538" s="1" t="str">
        <f>"شهرداريها"</f>
        <v>شهرداريها</v>
      </c>
      <c r="AB538" s="1" t="str">
        <f>"96/09/04"</f>
        <v>96/09/04</v>
      </c>
      <c r="AC538" s="1" t="str">
        <f>"خراسان رضوي"</f>
        <v>خراسان رضوي</v>
      </c>
      <c r="AD538" s="1" t="str">
        <f>"96/07/03"</f>
        <v>96/07/03</v>
      </c>
      <c r="AE538" s="1" t="str">
        <f>"اختتام"</f>
        <v>اختتام</v>
      </c>
      <c r="AF538" s="1" t="str">
        <f>""</f>
        <v/>
      </c>
      <c r="AG538" s="1" t="str">
        <f>""</f>
        <v/>
      </c>
      <c r="AH538" s="1" t="str">
        <f>""</f>
        <v/>
      </c>
      <c r="AI538" s="1" t="str">
        <f>""</f>
        <v/>
      </c>
      <c r="AJ538" s="1" t="str">
        <f>""</f>
        <v/>
      </c>
      <c r="AK538" s="1" t="str">
        <f>""</f>
        <v/>
      </c>
    </row>
    <row r="539" spans="1:37">
      <c r="A539" s="1">
        <v>37765</v>
      </c>
      <c r="B539" s="1">
        <v>962000345</v>
      </c>
      <c r="C539" s="1" t="str">
        <f>"تخليه كرمان كيلومتر15جاده كرمان زرندبعدازسنگبري وليعصركارخانه آسفالت گستران زنگلان"</f>
        <v>تخليه كرمان كيلومتر15جاده كرمان زرندبعدازسنگبري وليعصركارخانه آسفالت گستران زنگلان</v>
      </c>
      <c r="D539" s="1">
        <v>12820</v>
      </c>
      <c r="E539" s="1">
        <v>37765</v>
      </c>
      <c r="F539" s="1">
        <v>96</v>
      </c>
      <c r="G539" s="1">
        <v>0</v>
      </c>
      <c r="H539" s="1" t="str">
        <f>"96/09/18"</f>
        <v>96/09/18</v>
      </c>
      <c r="I539" s="1" t="str">
        <f>"كيلوگرم"</f>
        <v>كيلوگرم</v>
      </c>
      <c r="J539" s="1" t="str">
        <f>"0000000076"</f>
        <v>0000000076</v>
      </c>
      <c r="K539" s="1" t="str">
        <f>"قير 60/70 - فله"</f>
        <v>قير 60/70 - فله</v>
      </c>
      <c r="L539" s="1">
        <v>100</v>
      </c>
      <c r="M539" s="1" t="str">
        <f>"مخازن قير اصفهان"</f>
        <v>مخازن قير اصفهان</v>
      </c>
      <c r="N539" s="1">
        <v>11517</v>
      </c>
      <c r="O539" s="1">
        <v>50037601</v>
      </c>
      <c r="P539" s="1" t="str">
        <f>"  شهرداري خانوك"</f>
        <v xml:space="preserve">  شهرداري خانوك</v>
      </c>
      <c r="Q539" s="1">
        <v>20</v>
      </c>
      <c r="R539" s="1" t="str">
        <f>"فروش داخلي - سازمان شهرداري ها و دهياري هاي كشور"</f>
        <v>فروش داخلي - سازمان شهرداري ها و دهياري هاي كشور</v>
      </c>
      <c r="S539" s="1" t="str">
        <f>"قرارداد فروش"</f>
        <v>قرارداد فروش</v>
      </c>
      <c r="T539" s="1" t="str">
        <f>"ندارد"</f>
        <v>ندارد</v>
      </c>
      <c r="U539" s="1" t="str">
        <f>"تعاوني جم گستر (1001 ج 89)"</f>
        <v>تعاوني جم گستر (1001 ج 89)</v>
      </c>
      <c r="V539" s="1">
        <v>962000345</v>
      </c>
      <c r="W539" s="1">
        <v>962000345</v>
      </c>
      <c r="X539" s="1" t="str">
        <f>"1396529711"</f>
        <v>1396529711</v>
      </c>
      <c r="Y539" s="1" t="str">
        <f>"96/09/18"</f>
        <v>96/09/18</v>
      </c>
      <c r="Z539" s="1" t="str">
        <f>"38584مرحله دوم"</f>
        <v>38584مرحله دوم</v>
      </c>
      <c r="AA539" s="1" t="str">
        <f>"شهرداريها"</f>
        <v>شهرداريها</v>
      </c>
      <c r="AB539" s="1" t="str">
        <f>"96/09/11"</f>
        <v>96/09/11</v>
      </c>
      <c r="AC539" s="1" t="str">
        <f>"استان كرمان"</f>
        <v>استان كرمان</v>
      </c>
      <c r="AD539" s="1" t="str">
        <f>"96/09/13"</f>
        <v>96/09/13</v>
      </c>
      <c r="AE539" s="1" t="str">
        <f>"تاييدشده"</f>
        <v>تاييدشده</v>
      </c>
      <c r="AF539" s="1" t="str">
        <f>""</f>
        <v/>
      </c>
      <c r="AG539" s="1" t="str">
        <f>""</f>
        <v/>
      </c>
      <c r="AH539" s="1" t="str">
        <f>""</f>
        <v/>
      </c>
      <c r="AI539" s="1" t="str">
        <f>""</f>
        <v/>
      </c>
      <c r="AJ539" s="1" t="str">
        <f>""</f>
        <v/>
      </c>
      <c r="AK539" s="1" t="str">
        <f>""</f>
        <v/>
      </c>
    </row>
    <row r="540" spans="1:37">
      <c r="A540" s="1">
        <v>154000</v>
      </c>
      <c r="B540" s="1">
        <v>966300035</v>
      </c>
      <c r="C540" s="1" t="str">
        <f>"تخليه اصفهان شهرك صنعتي اشترجان خيابان 11شركت راه آژند"</f>
        <v>تخليه اصفهان شهرك صنعتي اشترجان خيابان 11شركت راه آژند</v>
      </c>
      <c r="D540" s="1">
        <v>12820</v>
      </c>
      <c r="E540" s="1">
        <v>154000</v>
      </c>
      <c r="F540" s="1">
        <v>96</v>
      </c>
      <c r="G540" s="1">
        <v>0</v>
      </c>
      <c r="H540" s="1" t="str">
        <f>"96/09/19"</f>
        <v>96/09/19</v>
      </c>
      <c r="I540" s="1" t="str">
        <f>"كيلوگرم"</f>
        <v>كيلوگرم</v>
      </c>
      <c r="J540" s="1" t="str">
        <f>"0000000076"</f>
        <v>0000000076</v>
      </c>
      <c r="K540" s="1" t="str">
        <f>"قير 60/70 - فله"</f>
        <v>قير 60/70 - فله</v>
      </c>
      <c r="L540" s="1">
        <v>100</v>
      </c>
      <c r="M540" s="1" t="str">
        <f>"مخازن قير اصفهان"</f>
        <v>مخازن قير اصفهان</v>
      </c>
      <c r="N540" s="1">
        <v>11519</v>
      </c>
      <c r="O540" s="1">
        <v>50037582</v>
      </c>
      <c r="P540" s="1" t="str">
        <f>"  زيباساخت زاگرس"</f>
        <v xml:space="preserve">  زيباساخت زاگرس</v>
      </c>
      <c r="Q540" s="1">
        <v>63</v>
      </c>
      <c r="R540" s="1" t="str">
        <f>"سازمان نوسازي،توسعه و تجهيز مدارس كشور"</f>
        <v>سازمان نوسازي،توسعه و تجهيز مدارس كشور</v>
      </c>
      <c r="S540" s="1" t="str">
        <f>"قرارداد فروش"</f>
        <v>قرارداد فروش</v>
      </c>
      <c r="T540" s="1" t="str">
        <f>"ندارد"</f>
        <v>ندارد</v>
      </c>
      <c r="U540" s="1" t="str">
        <f>"سيفي پور عبدالمجيد(1009ج89)"</f>
        <v>سيفي پور عبدالمجيد(1009ج89)</v>
      </c>
      <c r="V540" s="1">
        <v>966300035</v>
      </c>
      <c r="W540" s="1">
        <v>966300035</v>
      </c>
      <c r="X540" s="1" t="str">
        <f>"1396531220"</f>
        <v>1396531220</v>
      </c>
      <c r="Y540" s="1" t="str">
        <f>"96/09/19"</f>
        <v>96/09/19</v>
      </c>
      <c r="Z540" s="1" t="str">
        <f>"18/96/1/7573"</f>
        <v>18/96/1/7573</v>
      </c>
      <c r="AA540" s="1" t="str">
        <f>"سازمان نوسازي توسعه وتجهيزمدارس كشور"</f>
        <v>سازمان نوسازي توسعه وتجهيزمدارس كشور</v>
      </c>
      <c r="AB540" s="1" t="str">
        <f>"96/08/14"</f>
        <v>96/08/14</v>
      </c>
      <c r="AC540" s="1" t="str">
        <f>"استان چهارمحال بختياري"</f>
        <v>استان چهارمحال بختياري</v>
      </c>
      <c r="AD540" s="1" t="str">
        <f>"96/09/19"</f>
        <v>96/09/19</v>
      </c>
      <c r="AE540" s="1" t="str">
        <f>"اختتام"</f>
        <v>اختتام</v>
      </c>
      <c r="AF540" s="1" t="str">
        <f>""</f>
        <v/>
      </c>
      <c r="AG540" s="1" t="str">
        <f>""</f>
        <v/>
      </c>
      <c r="AH540" s="1" t="str">
        <f>""</f>
        <v/>
      </c>
      <c r="AI540" s="1" t="str">
        <f>""</f>
        <v/>
      </c>
      <c r="AJ540" s="1" t="str">
        <f>""</f>
        <v/>
      </c>
      <c r="AK540" s="1" t="str">
        <f>""</f>
        <v/>
      </c>
    </row>
    <row r="541" spans="1:37">
      <c r="A541" s="1">
        <v>172000</v>
      </c>
      <c r="B541" s="1">
        <v>966200714</v>
      </c>
      <c r="C541" s="1" t="str">
        <f>"تخليه - کهگيلويه و بيراحمد-ليکک-کارخانه آسفالت دموري نژاد"</f>
        <v>تخليه - کهگيلويه و بيراحمد-ليکک-کارخانه آسفالت دموري نژاد</v>
      </c>
      <c r="D541" s="1">
        <v>13350</v>
      </c>
      <c r="E541" s="1">
        <v>172000</v>
      </c>
      <c r="F541" s="1">
        <v>96</v>
      </c>
      <c r="G541" s="1">
        <v>0</v>
      </c>
      <c r="H541" s="1" t="str">
        <f>"96/12/26"</f>
        <v>96/12/26</v>
      </c>
      <c r="I541" s="1" t="str">
        <f>"كيلوگرم"</f>
        <v>كيلوگرم</v>
      </c>
      <c r="J541" s="1" t="str">
        <f>"0000000076"</f>
        <v>0000000076</v>
      </c>
      <c r="K541" s="1" t="str">
        <f>"قير 60/70 - فله"</f>
        <v>قير 60/70 - فله</v>
      </c>
      <c r="L541" s="1">
        <v>100</v>
      </c>
      <c r="M541" s="1" t="str">
        <f>"مخازن قير اصفهان"</f>
        <v>مخازن قير اصفهان</v>
      </c>
      <c r="N541" s="1">
        <v>11521</v>
      </c>
      <c r="O541" s="1">
        <v>50039073</v>
      </c>
      <c r="P541" s="1" t="str">
        <f>"  پس باغ گستر"</f>
        <v xml:space="preserve">  پس باغ گستر</v>
      </c>
      <c r="Q541" s="1">
        <v>62</v>
      </c>
      <c r="R541" s="1" t="str">
        <f>"فروش داخلي - سازمان بنيادمسكن انقلاب اسلامي"</f>
        <v>فروش داخلي - سازمان بنيادمسكن انقلاب اسلامي</v>
      </c>
      <c r="S541" s="1" t="str">
        <f>"قرارداد فروش"</f>
        <v>قرارداد فروش</v>
      </c>
      <c r="T541" s="1" t="str">
        <f>"ندارد"</f>
        <v>ندارد</v>
      </c>
      <c r="U541" s="1" t="str">
        <f>"غلام نجفي سيامك‌‌‌‌‌‌(1881082)"</f>
        <v>غلام نجفي سيامك‌‌‌‌‌‌(1881082)</v>
      </c>
      <c r="V541" s="1">
        <v>966200714</v>
      </c>
      <c r="W541" s="1">
        <v>966200714</v>
      </c>
      <c r="X541" s="1" t="str">
        <f>"1396555392"</f>
        <v>1396555392</v>
      </c>
      <c r="Y541" s="1" t="str">
        <f>"96/12/26"</f>
        <v>96/12/26</v>
      </c>
      <c r="Z541" s="1" t="str">
        <f>"59415/د"</f>
        <v>59415/د</v>
      </c>
      <c r="AA541" s="1" t="str">
        <f>"بنيادمسكن انقلاب اسلامي"</f>
        <v>بنيادمسكن انقلاب اسلامي</v>
      </c>
      <c r="AB541" s="1" t="str">
        <f>"96/12/23"</f>
        <v>96/12/23</v>
      </c>
      <c r="AC541" s="1" t="str">
        <f>"كهكيلويه و بوير احمد"</f>
        <v>كهكيلويه و بوير احمد</v>
      </c>
      <c r="AD541" s="1" t="str">
        <f>"96/12/26"</f>
        <v>96/12/26</v>
      </c>
      <c r="AE541" s="1" t="str">
        <f>"اختتام"</f>
        <v>اختتام</v>
      </c>
      <c r="AF541" s="1" t="str">
        <f>""</f>
        <v/>
      </c>
      <c r="AG541" s="1" t="str">
        <f>""</f>
        <v/>
      </c>
      <c r="AH541" s="1" t="str">
        <f>""</f>
        <v/>
      </c>
      <c r="AI541" s="1" t="str">
        <f>""</f>
        <v/>
      </c>
      <c r="AJ541" s="1" t="str">
        <f>""</f>
        <v/>
      </c>
      <c r="AK541" s="1" t="str">
        <f>""</f>
        <v/>
      </c>
    </row>
    <row r="542" spans="1:37">
      <c r="A542" s="1">
        <v>170000</v>
      </c>
      <c r="B542" s="1">
        <v>966200586</v>
      </c>
      <c r="C542" s="1" t="str">
        <f>"تخليه - کرمان- شهربابک-کمربندي خاتون آباد-مخازن شرکت پ-بل"</f>
        <v>تخليه - کرمان- شهربابک-کمربندي خاتون آباد-مخازن شرکت پ-بل</v>
      </c>
      <c r="D542" s="1">
        <v>13200</v>
      </c>
      <c r="E542" s="1">
        <v>169620</v>
      </c>
      <c r="F542" s="1">
        <v>96</v>
      </c>
      <c r="G542" s="1">
        <v>380</v>
      </c>
      <c r="H542" s="1" t="str">
        <f>"96/11/25"</f>
        <v>96/11/25</v>
      </c>
      <c r="I542" s="1" t="str">
        <f>"كيلوگرم"</f>
        <v>كيلوگرم</v>
      </c>
      <c r="J542" s="1" t="str">
        <f>"0000000076"</f>
        <v>0000000076</v>
      </c>
      <c r="K542" s="1" t="str">
        <f>"قير 60/70 - فله"</f>
        <v>قير 60/70 - فله</v>
      </c>
      <c r="L542" s="1">
        <v>100</v>
      </c>
      <c r="M542" s="1" t="str">
        <f>"مخازن قير اصفهان"</f>
        <v>مخازن قير اصفهان</v>
      </c>
      <c r="N542" s="1">
        <v>11523</v>
      </c>
      <c r="O542" s="1">
        <v>50038524</v>
      </c>
      <c r="P542" s="1" t="str">
        <f>"  ميمند عمران راه بابکان"</f>
        <v xml:space="preserve">  ميمند عمران راه بابکان</v>
      </c>
      <c r="Q542" s="1">
        <v>62</v>
      </c>
      <c r="R542" s="1" t="str">
        <f>"فروش داخلي - سازمان بنيادمسكن انقلاب اسلامي"</f>
        <v>فروش داخلي - سازمان بنيادمسكن انقلاب اسلامي</v>
      </c>
      <c r="S542" s="1" t="str">
        <f>"قرارداد فروش"</f>
        <v>قرارداد فروش</v>
      </c>
      <c r="T542" s="1" t="str">
        <f>"ندارد"</f>
        <v>ندارد</v>
      </c>
      <c r="U542" s="1" t="str">
        <f>"تعاوني جم گستر (1001 ج 89)"</f>
        <v>تعاوني جم گستر (1001 ج 89)</v>
      </c>
      <c r="V542" s="1">
        <v>966200586</v>
      </c>
      <c r="W542" s="1">
        <v>966200586</v>
      </c>
      <c r="X542" s="1" t="str">
        <f>"1396548725"</f>
        <v>1396548725</v>
      </c>
      <c r="Y542" s="1" t="str">
        <f>"96/11/25"</f>
        <v>96/11/25</v>
      </c>
      <c r="Z542" s="1" t="str">
        <f>"53052/د"</f>
        <v>53052/د</v>
      </c>
      <c r="AA542" s="1" t="str">
        <f>"بنيادمسكن انقلاب اسلامي"</f>
        <v>بنيادمسكن انقلاب اسلامي</v>
      </c>
      <c r="AB542" s="1" t="str">
        <f>"96/11/24"</f>
        <v>96/11/24</v>
      </c>
      <c r="AC542" s="1" t="str">
        <f>"استان كرمان"</f>
        <v>استان كرمان</v>
      </c>
      <c r="AD542" s="1" t="str">
        <f>"96/11/25"</f>
        <v>96/11/25</v>
      </c>
      <c r="AE542" s="1" t="str">
        <f>"اختتام"</f>
        <v>اختتام</v>
      </c>
      <c r="AF542" s="1" t="str">
        <f>""</f>
        <v/>
      </c>
      <c r="AG542" s="1" t="str">
        <f>""</f>
        <v/>
      </c>
      <c r="AH542" s="1" t="str">
        <f>""</f>
        <v/>
      </c>
      <c r="AI542" s="1" t="str">
        <f>""</f>
        <v/>
      </c>
      <c r="AJ542" s="1" t="str">
        <f>""</f>
        <v/>
      </c>
      <c r="AK542" s="1" t="str">
        <f>""</f>
        <v/>
      </c>
    </row>
    <row r="543" spans="1:37">
      <c r="A543" s="1">
        <v>32000</v>
      </c>
      <c r="B543" s="1">
        <v>966300054</v>
      </c>
      <c r="C543" s="1" t="str">
        <f>"تخليه چهارمحال بختياري شهركردكارخانه نگين"</f>
        <v>تخليه چهارمحال بختياري شهركردكارخانه نگين</v>
      </c>
      <c r="D543" s="1">
        <v>12850</v>
      </c>
      <c r="E543" s="1">
        <v>31540</v>
      </c>
      <c r="F543" s="1">
        <v>96</v>
      </c>
      <c r="G543" s="1">
        <v>460</v>
      </c>
      <c r="H543" s="1" t="str">
        <f>"96/10/24"</f>
        <v>96/10/24</v>
      </c>
      <c r="I543" s="1" t="str">
        <f>"كيلوگرم"</f>
        <v>كيلوگرم</v>
      </c>
      <c r="J543" s="1" t="str">
        <f>"0000000076"</f>
        <v>0000000076</v>
      </c>
      <c r="K543" s="1" t="str">
        <f>"قير 60/70 - فله"</f>
        <v>قير 60/70 - فله</v>
      </c>
      <c r="L543" s="1">
        <v>100</v>
      </c>
      <c r="M543" s="1" t="str">
        <f>"مخازن قير اصفهان"</f>
        <v>مخازن قير اصفهان</v>
      </c>
      <c r="N543" s="1">
        <v>11528</v>
      </c>
      <c r="O543" s="1">
        <v>50038166</v>
      </c>
      <c r="P543" s="1" t="str">
        <f>"  آذربناي كوهرنگ"</f>
        <v xml:space="preserve">  آذربناي كوهرنگ</v>
      </c>
      <c r="Q543" s="1">
        <v>63</v>
      </c>
      <c r="R543" s="1" t="str">
        <f>"سازمان نوسازي،توسعه و تجهيز مدارس كشور"</f>
        <v>سازمان نوسازي،توسعه و تجهيز مدارس كشور</v>
      </c>
      <c r="S543" s="1" t="str">
        <f>"قرارداد فروش"</f>
        <v>قرارداد فروش</v>
      </c>
      <c r="T543" s="1" t="str">
        <f>"ندارد"</f>
        <v>ندارد</v>
      </c>
      <c r="U543" s="1" t="str">
        <f>"سيفي پور عبدالمجيد(1009ج89)"</f>
        <v>سيفي پور عبدالمجيد(1009ج89)</v>
      </c>
      <c r="V543" s="1">
        <v>966300054</v>
      </c>
      <c r="W543" s="1">
        <v>966300054</v>
      </c>
      <c r="X543" s="1" t="str">
        <f>"1396539960"</f>
        <v>1396539960</v>
      </c>
      <c r="Y543" s="1" t="str">
        <f>"96/10/24"</f>
        <v>96/10/24</v>
      </c>
      <c r="Z543" s="1" t="str">
        <f>"18/96/1/8065"</f>
        <v>18/96/1/8065</v>
      </c>
      <c r="AA543" s="1" t="str">
        <f>"سازمان نوسازي توسعه وتجهيزمدارس كشور"</f>
        <v>سازمان نوسازي توسعه وتجهيزمدارس كشور</v>
      </c>
      <c r="AB543" s="1" t="str">
        <f>"96/09/01"</f>
        <v>96/09/01</v>
      </c>
      <c r="AC543" s="1" t="str">
        <f>"استان چهارمحال بختياري"</f>
        <v>استان چهارمحال بختياري</v>
      </c>
      <c r="AD543" s="1" t="str">
        <f>"96/10/24"</f>
        <v>96/10/24</v>
      </c>
      <c r="AE543" s="1" t="str">
        <f>"اختتام"</f>
        <v>اختتام</v>
      </c>
      <c r="AF543" s="1" t="str">
        <f>""</f>
        <v/>
      </c>
      <c r="AG543" s="1" t="str">
        <f>""</f>
        <v/>
      </c>
      <c r="AH543" s="1" t="str">
        <f>""</f>
        <v/>
      </c>
      <c r="AI543" s="1" t="str">
        <f>""</f>
        <v/>
      </c>
      <c r="AJ543" s="1" t="str">
        <f>""</f>
        <v/>
      </c>
      <c r="AK543" s="1" t="str">
        <f>""</f>
        <v/>
      </c>
    </row>
    <row r="544" spans="1:37">
      <c r="A544" s="1">
        <v>80000</v>
      </c>
      <c r="B544" s="1">
        <v>966200426</v>
      </c>
      <c r="C544" s="1" t="str">
        <f>"تخليه -اصفهان كيلومتر5جاده خوانسار-كارخانه آسفالت مصطفي احمدي"</f>
        <v>تخليه -اصفهان كيلومتر5جاده خوانسار-كارخانه آسفالت مصطفي احمدي</v>
      </c>
      <c r="D544" s="1">
        <v>12820</v>
      </c>
      <c r="E544" s="1">
        <v>78200</v>
      </c>
      <c r="F544" s="1">
        <v>96</v>
      </c>
      <c r="G544" s="1">
        <v>1800</v>
      </c>
      <c r="H544" s="1" t="str">
        <f>"96/09/18"</f>
        <v>96/09/18</v>
      </c>
      <c r="I544" s="1" t="str">
        <f>"كيلوگرم"</f>
        <v>كيلوگرم</v>
      </c>
      <c r="J544" s="1" t="str">
        <f>"0000000076"</f>
        <v>0000000076</v>
      </c>
      <c r="K544" s="1" t="str">
        <f>"قير 60/70 - فله"</f>
        <v>قير 60/70 - فله</v>
      </c>
      <c r="L544" s="1">
        <v>100</v>
      </c>
      <c r="M544" s="1" t="str">
        <f>"مخازن قير اصفهان"</f>
        <v>مخازن قير اصفهان</v>
      </c>
      <c r="N544" s="1">
        <v>9043</v>
      </c>
      <c r="O544" s="1">
        <v>50037553</v>
      </c>
      <c r="P544" s="1" t="str">
        <f>"  مهندسي صنعت راه گلپايگان"</f>
        <v xml:space="preserve">  مهندسي صنعت راه گلپايگان</v>
      </c>
      <c r="Q544" s="1">
        <v>62</v>
      </c>
      <c r="R544" s="1" t="str">
        <f>"فروش داخلي - سازمان بنيادمسكن انقلاب اسلامي"</f>
        <v>فروش داخلي - سازمان بنيادمسكن انقلاب اسلامي</v>
      </c>
      <c r="S544" s="1" t="str">
        <f>"قرارداد فروش"</f>
        <v>قرارداد فروش</v>
      </c>
      <c r="T544" s="1" t="str">
        <f>"ندارد"</f>
        <v>ندارد</v>
      </c>
      <c r="U544" s="1" t="str">
        <f>"شهبازي محمدرضا(1029ج89)"</f>
        <v>شهبازي محمدرضا(1029ج89)</v>
      </c>
      <c r="V544" s="1">
        <v>966200426</v>
      </c>
      <c r="W544" s="1">
        <v>966200426</v>
      </c>
      <c r="X544" s="1" t="str">
        <f>"1396531057"</f>
        <v>1396531057</v>
      </c>
      <c r="Y544" s="1" t="str">
        <f>"96/09/18"</f>
        <v>96/09/18</v>
      </c>
      <c r="Z544" s="1" t="str">
        <f>"40625/د"</f>
        <v>40625/د</v>
      </c>
      <c r="AA544" s="1" t="str">
        <f>"بنيادمسكن انقلاب اسلامي"</f>
        <v>بنيادمسكن انقلاب اسلامي</v>
      </c>
      <c r="AB544" s="1" t="str">
        <f>"96/09/14"</f>
        <v>96/09/14</v>
      </c>
      <c r="AC544" s="1" t="str">
        <f>"استان اصفهان"</f>
        <v>استان اصفهان</v>
      </c>
      <c r="AD544" s="1" t="str">
        <f>"96/09/18"</f>
        <v>96/09/18</v>
      </c>
      <c r="AE544" s="1" t="str">
        <f>"اختتام"</f>
        <v>اختتام</v>
      </c>
      <c r="AF544" s="1" t="str">
        <f>""</f>
        <v/>
      </c>
      <c r="AG544" s="1" t="str">
        <f>""</f>
        <v/>
      </c>
      <c r="AH544" s="1" t="str">
        <f>""</f>
        <v/>
      </c>
      <c r="AI544" s="1" t="str">
        <f>""</f>
        <v/>
      </c>
      <c r="AJ544" s="1" t="str">
        <f>""</f>
        <v/>
      </c>
      <c r="AK544" s="1" t="str">
        <f>""</f>
        <v/>
      </c>
    </row>
    <row r="545" spans="1:37">
      <c r="A545" s="1">
        <v>300000</v>
      </c>
      <c r="B545" s="1">
        <v>961100023</v>
      </c>
      <c r="C545" s="1" t="str">
        <f>"تخليه-جاده علويجه-کيلومتر12 شرکت افق راه ماندگار"</f>
        <v>تخليه-جاده علويجه-کيلومتر12 شرکت افق راه ماندگار</v>
      </c>
      <c r="D545" s="1">
        <v>9204</v>
      </c>
      <c r="E545" s="1">
        <v>299880</v>
      </c>
      <c r="F545" s="1">
        <v>96</v>
      </c>
      <c r="G545" s="1">
        <v>120</v>
      </c>
      <c r="H545" s="1" t="str">
        <f>"96/03/10"</f>
        <v>96/03/10</v>
      </c>
      <c r="I545" s="1" t="str">
        <f>"كيلوگرم"</f>
        <v>كيلوگرم</v>
      </c>
      <c r="J545" s="1" t="str">
        <f>"0000000076"</f>
        <v>0000000076</v>
      </c>
      <c r="K545" s="1" t="str">
        <f>"قير 60/70 - فله"</f>
        <v>قير 60/70 - فله</v>
      </c>
      <c r="L545" s="1">
        <v>100</v>
      </c>
      <c r="M545" s="1" t="str">
        <f>"مخازن قير اصفهان"</f>
        <v>مخازن قير اصفهان</v>
      </c>
      <c r="N545" s="1">
        <v>11008</v>
      </c>
      <c r="O545" s="1">
        <v>50034933</v>
      </c>
      <c r="P545" s="1" t="str">
        <f>"  افق راه ماندگار"</f>
        <v xml:space="preserve">  افق راه ماندگار</v>
      </c>
      <c r="Q545" s="1">
        <v>11</v>
      </c>
      <c r="R545" s="1" t="str">
        <f>"فروش داخلي تهران - بورس"</f>
        <v>فروش داخلي تهران - بورس</v>
      </c>
      <c r="S545" s="1" t="str">
        <f>"قرارداد فروش"</f>
        <v>قرارداد فروش</v>
      </c>
      <c r="T545" s="1" t="str">
        <f>"ندارد"</f>
        <v>ندارد</v>
      </c>
      <c r="U545" s="1" t="str">
        <f>"عزيزي صفر(1006ج 89)"</f>
        <v>عزيزي صفر(1006ج 89)</v>
      </c>
      <c r="V545" s="1">
        <v>961100023</v>
      </c>
      <c r="W545" s="1">
        <v>961100023</v>
      </c>
      <c r="X545" s="1" t="str">
        <f>"1396484400"</f>
        <v>1396484400</v>
      </c>
      <c r="Y545" s="1" t="str">
        <f>"96/03/10"</f>
        <v>96/03/10</v>
      </c>
      <c r="Z545" s="1" t="str">
        <f>"96-35567"</f>
        <v>96-35567</v>
      </c>
      <c r="AA545" s="1" t="str">
        <f>"راه سازي"</f>
        <v>راه سازي</v>
      </c>
      <c r="AB545" s="1" t="str">
        <f>"96/03/10"</f>
        <v>96/03/10</v>
      </c>
      <c r="AC545" s="1" t="str">
        <f>"استان اصفهان"</f>
        <v>استان اصفهان</v>
      </c>
      <c r="AD545" s="1" t="str">
        <f>"96/03/09"</f>
        <v>96/03/09</v>
      </c>
      <c r="AE545" s="1" t="str">
        <f>"اختتام"</f>
        <v>اختتام</v>
      </c>
      <c r="AF545" s="1" t="str">
        <f>""</f>
        <v/>
      </c>
      <c r="AG545" s="1" t="str">
        <f>""</f>
        <v/>
      </c>
      <c r="AH545" s="1" t="str">
        <f>""</f>
        <v/>
      </c>
      <c r="AI545" s="1" t="str">
        <f>""</f>
        <v/>
      </c>
      <c r="AJ545" s="1" t="str">
        <f>""</f>
        <v/>
      </c>
      <c r="AK545" s="1" t="str">
        <f>""</f>
        <v/>
      </c>
    </row>
    <row r="546" spans="1:37">
      <c r="A546" s="1">
        <v>150000</v>
      </c>
      <c r="B546" s="1">
        <v>966200116</v>
      </c>
      <c r="C546" s="1" t="str">
        <f>"تخليه - کهگيلويه و بويراحمد - ياسوج-کيلومتر 25 جاده اصفهان-ياسوج-کارخانه آسفالت ارسلان شکوهي"</f>
        <v>تخليه - کهگيلويه و بويراحمد - ياسوج-کيلومتر 25 جاده اصفهان-ياسوج-کارخانه آسفالت ارسلان شکوهي</v>
      </c>
      <c r="D546" s="1">
        <v>8704</v>
      </c>
      <c r="E546" s="1">
        <v>148000</v>
      </c>
      <c r="F546" s="1">
        <v>96</v>
      </c>
      <c r="G546" s="1">
        <v>2000</v>
      </c>
      <c r="H546" s="1" t="str">
        <f>"96/03/23"</f>
        <v>96/03/23</v>
      </c>
      <c r="I546" s="1" t="str">
        <f>"كيلوگرم"</f>
        <v>كيلوگرم</v>
      </c>
      <c r="J546" s="1" t="str">
        <f>"0000000076"</f>
        <v>0000000076</v>
      </c>
      <c r="K546" s="1" t="str">
        <f>"قير 60/70 - فله"</f>
        <v>قير 60/70 - فله</v>
      </c>
      <c r="L546" s="1">
        <v>100</v>
      </c>
      <c r="M546" s="1" t="str">
        <f>"مخازن قير اصفهان"</f>
        <v>مخازن قير اصفهان</v>
      </c>
      <c r="N546" s="1">
        <v>11009</v>
      </c>
      <c r="O546" s="1">
        <v>50035000</v>
      </c>
      <c r="P546" s="1" t="str">
        <f>"  راه و ساختماني کيهان  محور شيراز"</f>
        <v xml:space="preserve">  راه و ساختماني کيهان  محور شيراز</v>
      </c>
      <c r="Q546" s="1">
        <v>62</v>
      </c>
      <c r="R546" s="1" t="str">
        <f>"فروش داخلي - سازمان بنيادمسكن انقلاب اسلامي"</f>
        <v>فروش داخلي - سازمان بنيادمسكن انقلاب اسلامي</v>
      </c>
      <c r="S546" s="1" t="str">
        <f>"قرارداد فروش"</f>
        <v>قرارداد فروش</v>
      </c>
      <c r="T546" s="1" t="str">
        <f>"ندارد"</f>
        <v>ندارد</v>
      </c>
      <c r="U546" s="1" t="str">
        <f>"ريسماني حسن(1007ج89)"</f>
        <v>ريسماني حسن(1007ج89)</v>
      </c>
      <c r="V546" s="1">
        <v>966200116</v>
      </c>
      <c r="W546" s="1">
        <v>966200116</v>
      </c>
      <c r="X546" s="1" t="str">
        <f>"1396487417"</f>
        <v>1396487417</v>
      </c>
      <c r="Y546" s="1" t="str">
        <f>"96/03/23"</f>
        <v>96/03/23</v>
      </c>
      <c r="Z546" s="1" t="str">
        <f>"11012/د"</f>
        <v>11012/د</v>
      </c>
      <c r="AA546" s="1" t="str">
        <f>"بنيادمسكن انقلاب اسلامي"</f>
        <v>بنيادمسكن انقلاب اسلامي</v>
      </c>
      <c r="AB546" s="1" t="str">
        <f>"96/03/22"</f>
        <v>96/03/22</v>
      </c>
      <c r="AC546" s="1" t="str">
        <f>"استان اصفهان"</f>
        <v>استان اصفهان</v>
      </c>
      <c r="AD546" s="1" t="str">
        <f>"96/03/23"</f>
        <v>96/03/23</v>
      </c>
      <c r="AE546" s="1" t="str">
        <f>"اختتام"</f>
        <v>اختتام</v>
      </c>
      <c r="AF546" s="1" t="str">
        <f>""</f>
        <v/>
      </c>
      <c r="AG546" s="1" t="str">
        <f>""</f>
        <v/>
      </c>
      <c r="AH546" s="1" t="str">
        <f>""</f>
        <v/>
      </c>
      <c r="AI546" s="1" t="str">
        <f>""</f>
        <v/>
      </c>
      <c r="AJ546" s="1" t="str">
        <f>""</f>
        <v/>
      </c>
      <c r="AK546" s="1" t="str">
        <f>""</f>
        <v/>
      </c>
    </row>
    <row r="547" spans="1:37">
      <c r="A547" s="1">
        <v>200000</v>
      </c>
      <c r="B547" s="1">
        <v>966200721</v>
      </c>
      <c r="C547" s="1" t="str">
        <f>"تخليه- گچساران-روستاي بابا کلان کارخانه آسفالت خادمي"</f>
        <v>تخليه- گچساران-روستاي بابا کلان کارخانه آسفالت خادمي</v>
      </c>
      <c r="D547" s="1">
        <v>13350</v>
      </c>
      <c r="E547" s="1">
        <v>200000</v>
      </c>
      <c r="F547" s="1">
        <v>96</v>
      </c>
      <c r="G547" s="1">
        <v>0</v>
      </c>
      <c r="H547" s="1" t="str">
        <f>"96/12/26"</f>
        <v>96/12/26</v>
      </c>
      <c r="I547" s="1" t="str">
        <f>"كيلوگرم"</f>
        <v>كيلوگرم</v>
      </c>
      <c r="J547" s="1" t="str">
        <f>"0000000076"</f>
        <v>0000000076</v>
      </c>
      <c r="K547" s="1" t="str">
        <f>"قير 60/70 - فله"</f>
        <v>قير 60/70 - فله</v>
      </c>
      <c r="L547" s="1">
        <v>100</v>
      </c>
      <c r="M547" s="1" t="str">
        <f>"مخازن قير اصفهان"</f>
        <v>مخازن قير اصفهان</v>
      </c>
      <c r="N547" s="1">
        <v>11059</v>
      </c>
      <c r="O547" s="1">
        <v>50039081</v>
      </c>
      <c r="P547" s="1" t="str">
        <f>"  نگين گنبد زيدون"</f>
        <v xml:space="preserve">  نگين گنبد زيدون</v>
      </c>
      <c r="Q547" s="1">
        <v>62</v>
      </c>
      <c r="R547" s="1" t="str">
        <f>"فروش داخلي - سازمان بنيادمسكن انقلاب اسلامي"</f>
        <v>فروش داخلي - سازمان بنيادمسكن انقلاب اسلامي</v>
      </c>
      <c r="S547" s="1" t="str">
        <f>"قرارداد فروش"</f>
        <v>قرارداد فروش</v>
      </c>
      <c r="T547" s="1" t="str">
        <f>"ندارد"</f>
        <v>ندارد</v>
      </c>
      <c r="U547" s="1" t="str">
        <f>"غلام نجفي سيامك‌‌‌‌‌‌(1881082)"</f>
        <v>غلام نجفي سيامك‌‌‌‌‌‌(1881082)</v>
      </c>
      <c r="V547" s="1">
        <v>966200721</v>
      </c>
      <c r="W547" s="1">
        <v>966200721</v>
      </c>
      <c r="X547" s="1" t="str">
        <f>"1396555371"</f>
        <v>1396555371</v>
      </c>
      <c r="Y547" s="1" t="str">
        <f>"96/12/26"</f>
        <v>96/12/26</v>
      </c>
      <c r="Z547" s="1" t="str">
        <f>"59314/د"</f>
        <v>59314/د</v>
      </c>
      <c r="AA547" s="1" t="str">
        <f>"بنيادمسكن انقلاب اسلامي"</f>
        <v>بنيادمسكن انقلاب اسلامي</v>
      </c>
      <c r="AB547" s="1" t="str">
        <f>"96/12/23"</f>
        <v>96/12/23</v>
      </c>
      <c r="AC547" s="1" t="str">
        <f>"كهكيلويه و بوير احمد"</f>
        <v>كهكيلويه و بوير احمد</v>
      </c>
      <c r="AD547" s="1" t="str">
        <f>"96/12/26"</f>
        <v>96/12/26</v>
      </c>
      <c r="AE547" s="1" t="str">
        <f>"اختتام"</f>
        <v>اختتام</v>
      </c>
      <c r="AF547" s="1" t="str">
        <f>""</f>
        <v/>
      </c>
      <c r="AG547" s="1" t="str">
        <f>""</f>
        <v/>
      </c>
      <c r="AH547" s="1" t="str">
        <f>""</f>
        <v/>
      </c>
      <c r="AI547" s="1" t="str">
        <f>""</f>
        <v/>
      </c>
      <c r="AJ547" s="1" t="str">
        <f>""</f>
        <v/>
      </c>
      <c r="AK547" s="1" t="str">
        <f>""</f>
        <v/>
      </c>
    </row>
    <row r="548" spans="1:37">
      <c r="A548" s="1">
        <v>188000</v>
      </c>
      <c r="B548" s="1">
        <v>966200201</v>
      </c>
      <c r="C548" s="1" t="str">
        <f>"تخليه - سيستان و بلوچستان-هامون-شهرمحمدآباد -کارخانه آسفالت برادران طباطبايي"</f>
        <v>تخليه - سيستان و بلوچستان-هامون-شهرمحمدآباد -کارخانه آسفالت برادران طباطبايي</v>
      </c>
      <c r="D548" s="1">
        <v>8704</v>
      </c>
      <c r="E548" s="1">
        <v>187540</v>
      </c>
      <c r="F548" s="1">
        <v>96</v>
      </c>
      <c r="G548" s="1">
        <v>460</v>
      </c>
      <c r="H548" s="1" t="str">
        <f>"96/05/31"</f>
        <v>96/05/31</v>
      </c>
      <c r="I548" s="1" t="str">
        <f>"كيلوگرم"</f>
        <v>كيلوگرم</v>
      </c>
      <c r="J548" s="1" t="str">
        <f>"0000000076"</f>
        <v>0000000076</v>
      </c>
      <c r="K548" s="1" t="str">
        <f>"قير 60/70 - فله"</f>
        <v>قير 60/70 - فله</v>
      </c>
      <c r="L548" s="1">
        <v>100</v>
      </c>
      <c r="M548" s="1" t="str">
        <f>"مخازن قير اصفهان"</f>
        <v>مخازن قير اصفهان</v>
      </c>
      <c r="N548" s="1">
        <v>11360</v>
      </c>
      <c r="O548" s="1">
        <v>50035767</v>
      </c>
      <c r="P548" s="1" t="str">
        <f>"  پارت سازان هامون"</f>
        <v xml:space="preserve">  پارت سازان هامون</v>
      </c>
      <c r="Q548" s="1">
        <v>62</v>
      </c>
      <c r="R548" s="1" t="str">
        <f>"فروش داخلي - سازمان بنيادمسكن انقلاب اسلامي"</f>
        <v>فروش داخلي - سازمان بنيادمسكن انقلاب اسلامي</v>
      </c>
      <c r="S548" s="1" t="str">
        <f>"قرارداد فروش"</f>
        <v>قرارداد فروش</v>
      </c>
      <c r="T548" s="1" t="str">
        <f>"ندارد"</f>
        <v>ندارد</v>
      </c>
      <c r="U548" s="1" t="str">
        <f>"قانعي محمدرضا(1011ج89)"</f>
        <v>قانعي محمدرضا(1011ج89)</v>
      </c>
      <c r="V548" s="1">
        <v>966200201</v>
      </c>
      <c r="W548" s="1">
        <v>966200201</v>
      </c>
      <c r="X548" s="1" t="str">
        <f>"1396507045"</f>
        <v>1396507045</v>
      </c>
      <c r="Y548" s="1" t="str">
        <f>"96/05/31"</f>
        <v>96/05/31</v>
      </c>
      <c r="Z548" s="1" t="str">
        <f>"23005/د"</f>
        <v>23005/د</v>
      </c>
      <c r="AA548" s="1" t="str">
        <f>"بنيادمسكن انقلاب اسلامي"</f>
        <v>بنيادمسكن انقلاب اسلامي</v>
      </c>
      <c r="AB548" s="1" t="str">
        <f>"96/05/29"</f>
        <v>96/05/29</v>
      </c>
      <c r="AC548" s="1" t="str">
        <f>"استان سيستان بلوچستان"</f>
        <v>استان سيستان بلوچستان</v>
      </c>
      <c r="AD548" s="1" t="str">
        <f>"96/05/31"</f>
        <v>96/05/31</v>
      </c>
      <c r="AE548" s="1" t="str">
        <f>"اختتام"</f>
        <v>اختتام</v>
      </c>
      <c r="AF548" s="1" t="str">
        <f>""</f>
        <v/>
      </c>
      <c r="AG548" s="1" t="str">
        <f>""</f>
        <v/>
      </c>
      <c r="AH548" s="1" t="str">
        <f>""</f>
        <v/>
      </c>
      <c r="AI548" s="1" t="str">
        <f>""</f>
        <v/>
      </c>
      <c r="AJ548" s="1" t="str">
        <f>""</f>
        <v/>
      </c>
      <c r="AK548" s="1" t="str">
        <f>""</f>
        <v/>
      </c>
    </row>
    <row r="549" spans="1:37">
      <c r="A549" s="1">
        <v>375000</v>
      </c>
      <c r="B549" s="1">
        <v>966200513</v>
      </c>
      <c r="C549" s="1" t="str">
        <f>"تخليه - خراسان رضوي-مشهد-کيلومتر10جاده سرخس-نرسيده به روستاي تنگل شور-کارخانه رهپويان آريا گستر"</f>
        <v>تخليه - خراسان رضوي-مشهد-کيلومتر10جاده سرخس-نرسيده به روستاي تنگل شور-کارخانه رهپويان آريا گستر</v>
      </c>
      <c r="D549" s="1">
        <v>12850</v>
      </c>
      <c r="E549" s="1">
        <v>373620</v>
      </c>
      <c r="F549" s="1">
        <v>96</v>
      </c>
      <c r="G549" s="1">
        <v>1380</v>
      </c>
      <c r="H549" s="1" t="str">
        <f>"96/10/19"</f>
        <v>96/10/19</v>
      </c>
      <c r="I549" s="1" t="str">
        <f>"كيلوگرم"</f>
        <v>كيلوگرم</v>
      </c>
      <c r="J549" s="1" t="str">
        <f>"0000000076"</f>
        <v>0000000076</v>
      </c>
      <c r="K549" s="1" t="str">
        <f>"قير 60/70 - فله"</f>
        <v>قير 60/70 - فله</v>
      </c>
      <c r="L549" s="1">
        <v>100</v>
      </c>
      <c r="M549" s="1" t="str">
        <f>"مخازن قير اصفهان"</f>
        <v>مخازن قير اصفهان</v>
      </c>
      <c r="N549" s="1">
        <v>11395</v>
      </c>
      <c r="O549" s="1">
        <v>50038096</v>
      </c>
      <c r="P549" s="1" t="str">
        <f>"  سازه پرداس سناباد"</f>
        <v xml:space="preserve">  سازه پرداس سناباد</v>
      </c>
      <c r="Q549" s="1">
        <v>62</v>
      </c>
      <c r="R549" s="1" t="str">
        <f>"فروش داخلي - سازمان بنيادمسكن انقلاب اسلامي"</f>
        <v>فروش داخلي - سازمان بنيادمسكن انقلاب اسلامي</v>
      </c>
      <c r="S549" s="1" t="str">
        <f>"قرارداد فروش"</f>
        <v>قرارداد فروش</v>
      </c>
      <c r="T549" s="1" t="str">
        <f>"ندارد"</f>
        <v>ندارد</v>
      </c>
      <c r="U549" s="1" t="str">
        <f>"حسيني سيدجواد(1841076)"</f>
        <v>حسيني سيدجواد(1841076)</v>
      </c>
      <c r="V549" s="1">
        <v>966200513</v>
      </c>
      <c r="W549" s="1">
        <v>966200513</v>
      </c>
      <c r="X549" s="1" t="str">
        <f>"1396538734"</f>
        <v>1396538734</v>
      </c>
      <c r="Y549" s="1" t="str">
        <f>"96/10/19"</f>
        <v>96/10/19</v>
      </c>
      <c r="Z549" s="1" t="str">
        <f>"46538/د"</f>
        <v>46538/د</v>
      </c>
      <c r="AA549" s="1" t="str">
        <f>"بنيادمسكن انقلاب اسلامي"</f>
        <v>بنيادمسكن انقلاب اسلامي</v>
      </c>
      <c r="AB549" s="1" t="str">
        <f>"96/10/19"</f>
        <v>96/10/19</v>
      </c>
      <c r="AC549" s="1" t="str">
        <f>"خراسان رضوي"</f>
        <v>خراسان رضوي</v>
      </c>
      <c r="AD549" s="1" t="str">
        <f>"96/10/19"</f>
        <v>96/10/19</v>
      </c>
      <c r="AE549" s="1" t="str">
        <f>"اختتام"</f>
        <v>اختتام</v>
      </c>
      <c r="AF549" s="1" t="str">
        <f>""</f>
        <v/>
      </c>
      <c r="AG549" s="1" t="str">
        <f>""</f>
        <v/>
      </c>
      <c r="AH549" s="1" t="str">
        <f>""</f>
        <v/>
      </c>
      <c r="AI549" s="1" t="str">
        <f>""</f>
        <v/>
      </c>
      <c r="AJ549" s="1" t="str">
        <f>""</f>
        <v/>
      </c>
      <c r="AK549" s="1" t="str">
        <f>""</f>
        <v/>
      </c>
    </row>
    <row r="550" spans="1:37">
      <c r="A550" s="1">
        <v>130309</v>
      </c>
      <c r="B550" s="1">
        <v>962000153</v>
      </c>
      <c r="C550" s="1" t="str">
        <f>"تخليه خراسان رضوي تربت جام نرسيده به شهركاريزكارخانه آسفالت استحكام انديش طوس"</f>
        <v>تخليه خراسان رضوي تربت جام نرسيده به شهركاريزكارخانه آسفالت استحكام انديش طوس</v>
      </c>
      <c r="D550" s="1">
        <v>9113</v>
      </c>
      <c r="E550" s="1">
        <v>130309</v>
      </c>
      <c r="F550" s="1">
        <v>96</v>
      </c>
      <c r="G550" s="1">
        <v>0</v>
      </c>
      <c r="H550" s="1" t="str">
        <f>"96/07/03"</f>
        <v>96/07/03</v>
      </c>
      <c r="I550" s="1" t="str">
        <f>"كيلوگرم"</f>
        <v>كيلوگرم</v>
      </c>
      <c r="J550" s="1" t="str">
        <f>"0000000076"</f>
        <v>0000000076</v>
      </c>
      <c r="K550" s="1" t="str">
        <f>"قير 60/70 - فله"</f>
        <v>قير 60/70 - فله</v>
      </c>
      <c r="L550" s="1">
        <v>100</v>
      </c>
      <c r="M550" s="1" t="str">
        <f>"مخازن قير اصفهان"</f>
        <v>مخازن قير اصفهان</v>
      </c>
      <c r="N550" s="1">
        <v>11428</v>
      </c>
      <c r="O550" s="1">
        <v>50036357</v>
      </c>
      <c r="P550" s="1" t="str">
        <f>"  شهرداري احمدآبادصولت"</f>
        <v xml:space="preserve">  شهرداري احمدآبادصولت</v>
      </c>
      <c r="Q550" s="1">
        <v>20</v>
      </c>
      <c r="R550" s="1" t="str">
        <f>"فروش داخلي - سازمان شهرداري ها و دهياري هاي كشور"</f>
        <v>فروش داخلي - سازمان شهرداري ها و دهياري هاي كشور</v>
      </c>
      <c r="S550" s="1" t="str">
        <f>"قرارداد فروش"</f>
        <v>قرارداد فروش</v>
      </c>
      <c r="T550" s="1" t="str">
        <f>"ندارد"</f>
        <v>ندارد</v>
      </c>
      <c r="U550" s="1" t="str">
        <f>"تعاوني جم گستر (1001 ج 89)"</f>
        <v>تعاوني جم گستر (1001 ج 89)</v>
      </c>
      <c r="V550" s="1">
        <v>962000153</v>
      </c>
      <c r="W550" s="1">
        <v>962000153</v>
      </c>
      <c r="X550" s="1" t="str">
        <f>"1396514467"</f>
        <v>1396514467</v>
      </c>
      <c r="Y550" s="1" t="str">
        <f>"96/07/03"</f>
        <v>96/07/03</v>
      </c>
      <c r="Z550" s="1" t="str">
        <f>"26870مرحله اول"</f>
        <v>26870مرحله اول</v>
      </c>
      <c r="AA550" s="1" t="str">
        <f>"شهرداريها"</f>
        <v>شهرداريها</v>
      </c>
      <c r="AB550" s="1" t="str">
        <f>"96/06/29"</f>
        <v>96/06/29</v>
      </c>
      <c r="AC550" s="1" t="str">
        <f>"خراسان رضوي"</f>
        <v>خراسان رضوي</v>
      </c>
      <c r="AD550" s="1" t="str">
        <f>"96/07/03"</f>
        <v>96/07/03</v>
      </c>
      <c r="AE550" s="1" t="str">
        <f>"اختتام"</f>
        <v>اختتام</v>
      </c>
      <c r="AF550" s="1" t="str">
        <f>""</f>
        <v/>
      </c>
      <c r="AG550" s="1" t="str">
        <f>""</f>
        <v/>
      </c>
      <c r="AH550" s="1" t="str">
        <f>""</f>
        <v/>
      </c>
      <c r="AI550" s="1" t="str">
        <f>""</f>
        <v/>
      </c>
      <c r="AJ550" s="1" t="str">
        <f>""</f>
        <v/>
      </c>
      <c r="AK550" s="1" t="str">
        <f>""</f>
        <v/>
      </c>
    </row>
    <row r="551" spans="1:37">
      <c r="A551" s="1">
        <v>141000</v>
      </c>
      <c r="B551" s="1">
        <v>966200557</v>
      </c>
      <c r="C551" s="1" t="str">
        <f>"تخليه - کرمان-کيلومتر 10جاده بم-کرمان-کارخانه آسفالت آسان راه بم"</f>
        <v>تخليه - کرمان-کيلومتر 10جاده بم-کرمان-کارخانه آسفالت آسان راه بم</v>
      </c>
      <c r="D551" s="1">
        <v>13200</v>
      </c>
      <c r="E551" s="1">
        <v>139220</v>
      </c>
      <c r="F551" s="1">
        <v>96</v>
      </c>
      <c r="G551" s="1">
        <v>1780</v>
      </c>
      <c r="H551" s="1" t="str">
        <f>"96/11/14"</f>
        <v>96/11/14</v>
      </c>
      <c r="I551" s="1" t="str">
        <f>"كيلوگرم"</f>
        <v>كيلوگرم</v>
      </c>
      <c r="J551" s="1" t="str">
        <f>"0000000076"</f>
        <v>0000000076</v>
      </c>
      <c r="K551" s="1" t="str">
        <f>"قير 60/70 - فله"</f>
        <v>قير 60/70 - فله</v>
      </c>
      <c r="L551" s="1">
        <v>100</v>
      </c>
      <c r="M551" s="1" t="str">
        <f>"مخازن قير اصفهان"</f>
        <v>مخازن قير اصفهان</v>
      </c>
      <c r="N551" s="1">
        <v>11533</v>
      </c>
      <c r="O551" s="1">
        <v>50038363</v>
      </c>
      <c r="P551" s="1" t="str">
        <f>"  تارابناي افلاک"</f>
        <v xml:space="preserve">  تارابناي افلاک</v>
      </c>
      <c r="Q551" s="1">
        <v>62</v>
      </c>
      <c r="R551" s="1" t="str">
        <f>"فروش داخلي - سازمان بنيادمسكن انقلاب اسلامي"</f>
        <v>فروش داخلي - سازمان بنيادمسكن انقلاب اسلامي</v>
      </c>
      <c r="S551" s="1" t="str">
        <f>"قرارداد فروش"</f>
        <v>قرارداد فروش</v>
      </c>
      <c r="T551" s="1" t="str">
        <f>"ندارد"</f>
        <v>ندارد</v>
      </c>
      <c r="U551" s="1" t="str">
        <f>"دهقانيان بيژن (4954038)"</f>
        <v>دهقانيان بيژن (4954038)</v>
      </c>
      <c r="V551" s="1">
        <v>966200557</v>
      </c>
      <c r="W551" s="1">
        <v>966200557</v>
      </c>
      <c r="X551" s="1" t="str">
        <f>"1396545121"</f>
        <v>1396545121</v>
      </c>
      <c r="Y551" s="1" t="str">
        <f>"96/11/14"</f>
        <v>96/11/14</v>
      </c>
      <c r="Z551" s="1" t="str">
        <f>"50744/د"</f>
        <v>50744/د</v>
      </c>
      <c r="AA551" s="1" t="str">
        <f>"بنيادمسكن انقلاب اسلامي"</f>
        <v>بنيادمسكن انقلاب اسلامي</v>
      </c>
      <c r="AB551" s="1" t="str">
        <f>"96/11/11"</f>
        <v>96/11/11</v>
      </c>
      <c r="AC551" s="1" t="str">
        <f>"استان كرمان"</f>
        <v>استان كرمان</v>
      </c>
      <c r="AD551" s="1" t="str">
        <f>"96/11/14"</f>
        <v>96/11/14</v>
      </c>
      <c r="AE551" s="1" t="str">
        <f>"اختتام"</f>
        <v>اختتام</v>
      </c>
      <c r="AF551" s="1" t="str">
        <f>""</f>
        <v/>
      </c>
      <c r="AG551" s="1" t="str">
        <f>""</f>
        <v/>
      </c>
      <c r="AH551" s="1" t="str">
        <f>""</f>
        <v/>
      </c>
      <c r="AI551" s="1" t="str">
        <f>""</f>
        <v/>
      </c>
      <c r="AJ551" s="1" t="str">
        <f>""</f>
        <v/>
      </c>
      <c r="AK551" s="1" t="str">
        <f>""</f>
        <v/>
      </c>
    </row>
    <row r="552" spans="1:37">
      <c r="A552" s="1">
        <v>213000</v>
      </c>
      <c r="B552" s="1">
        <v>966200565</v>
      </c>
      <c r="C552" s="1" t="str">
        <f>"تخليه - سيستان و بلوچستان -زابل-روستاي شيب گوره و عباس رستم"</f>
        <v>تخليه - سيستان و بلوچستان -زابل-روستاي شيب گوره و عباس رستم</v>
      </c>
      <c r="D552" s="1">
        <v>13200</v>
      </c>
      <c r="E552" s="1">
        <v>212220</v>
      </c>
      <c r="F552" s="1">
        <v>96</v>
      </c>
      <c r="G552" s="1">
        <v>780</v>
      </c>
      <c r="H552" s="1" t="str">
        <f>"96/11/16"</f>
        <v>96/11/16</v>
      </c>
      <c r="I552" s="1" t="str">
        <f>"كيلوگرم"</f>
        <v>كيلوگرم</v>
      </c>
      <c r="J552" s="1" t="str">
        <f>"0000000076"</f>
        <v>0000000076</v>
      </c>
      <c r="K552" s="1" t="str">
        <f>"قير 60/70 - فله"</f>
        <v>قير 60/70 - فله</v>
      </c>
      <c r="L552" s="1">
        <v>100</v>
      </c>
      <c r="M552" s="1" t="str">
        <f>"مخازن قير اصفهان"</f>
        <v>مخازن قير اصفهان</v>
      </c>
      <c r="N552" s="1">
        <v>11537</v>
      </c>
      <c r="O552" s="1">
        <v>50038399</v>
      </c>
      <c r="P552" s="1" t="str">
        <f>"  بسترسازان زاهدان"</f>
        <v xml:space="preserve">  بسترسازان زاهدان</v>
      </c>
      <c r="Q552" s="1">
        <v>62</v>
      </c>
      <c r="R552" s="1" t="str">
        <f>"فروش داخلي - سازمان بنيادمسكن انقلاب اسلامي"</f>
        <v>فروش داخلي - سازمان بنيادمسكن انقلاب اسلامي</v>
      </c>
      <c r="S552" s="1" t="str">
        <f>"قرارداد فروش"</f>
        <v>قرارداد فروش</v>
      </c>
      <c r="T552" s="1" t="str">
        <f>"ندارد"</f>
        <v>ندارد</v>
      </c>
      <c r="U552" s="1" t="str">
        <f>"نظام دوست امين (1911102)"</f>
        <v>نظام دوست امين (1911102)</v>
      </c>
      <c r="V552" s="1">
        <v>966200565</v>
      </c>
      <c r="W552" s="1">
        <v>966200565</v>
      </c>
      <c r="X552" s="1" t="str">
        <f>"1396545590"</f>
        <v>1396545590</v>
      </c>
      <c r="Y552" s="1" t="str">
        <f>"96/11/16"</f>
        <v>96/11/16</v>
      </c>
      <c r="Z552" s="1" t="str">
        <f>"51330/د"</f>
        <v>51330/د</v>
      </c>
      <c r="AA552" s="1" t="str">
        <f>"بنيادمسكن انقلاب اسلامي"</f>
        <v>بنيادمسكن انقلاب اسلامي</v>
      </c>
      <c r="AB552" s="1" t="str">
        <f>"96/11/15"</f>
        <v>96/11/15</v>
      </c>
      <c r="AC552" s="1" t="str">
        <f>"استان سيستان بلوچستان"</f>
        <v>استان سيستان بلوچستان</v>
      </c>
      <c r="AD552" s="1" t="str">
        <f>"96/11/16"</f>
        <v>96/11/16</v>
      </c>
      <c r="AE552" s="1" t="str">
        <f>"اختتام"</f>
        <v>اختتام</v>
      </c>
      <c r="AF552" s="1" t="str">
        <f>""</f>
        <v/>
      </c>
      <c r="AG552" s="1" t="str">
        <f>""</f>
        <v/>
      </c>
      <c r="AH552" s="1" t="str">
        <f>""</f>
        <v/>
      </c>
      <c r="AI552" s="1" t="str">
        <f>""</f>
        <v/>
      </c>
      <c r="AJ552" s="1" t="str">
        <f>""</f>
        <v/>
      </c>
      <c r="AK552" s="1" t="str">
        <f>""</f>
        <v/>
      </c>
    </row>
    <row r="553" spans="1:37">
      <c r="A553" s="1">
        <v>61000</v>
      </c>
      <c r="B553" s="1">
        <v>966300069</v>
      </c>
      <c r="C553" s="1" t="str">
        <f>"تخليه اصفهان جاده حبيب آبادكارخانه آسفالت فاضلي"</f>
        <v>تخليه اصفهان جاده حبيب آبادكارخانه آسفالت فاضلي</v>
      </c>
      <c r="D553" s="1">
        <v>13350</v>
      </c>
      <c r="E553" s="1">
        <v>60860</v>
      </c>
      <c r="F553" s="1">
        <v>96</v>
      </c>
      <c r="G553" s="1">
        <v>140</v>
      </c>
      <c r="H553" s="1" t="str">
        <f>"96/12/06"</f>
        <v>96/12/06</v>
      </c>
      <c r="I553" s="1" t="str">
        <f>"كيلوگرم"</f>
        <v>كيلوگرم</v>
      </c>
      <c r="J553" s="1" t="str">
        <f>"0000000076"</f>
        <v>0000000076</v>
      </c>
      <c r="K553" s="1" t="str">
        <f>"قير 60/70 - فله"</f>
        <v>قير 60/70 - فله</v>
      </c>
      <c r="L553" s="1">
        <v>100</v>
      </c>
      <c r="M553" s="1" t="str">
        <f>"مخازن قير اصفهان"</f>
        <v>مخازن قير اصفهان</v>
      </c>
      <c r="N553" s="1">
        <v>11539</v>
      </c>
      <c r="O553" s="1">
        <v>50038627</v>
      </c>
      <c r="P553" s="1" t="str">
        <f>"  ابوذر گستر لردگان"</f>
        <v xml:space="preserve">  ابوذر گستر لردگان</v>
      </c>
      <c r="Q553" s="1">
        <v>63</v>
      </c>
      <c r="R553" s="1" t="str">
        <f>"سازمان نوسازي،توسعه و تجهيز مدارس كشور"</f>
        <v>سازمان نوسازي،توسعه و تجهيز مدارس كشور</v>
      </c>
      <c r="S553" s="1" t="str">
        <f>"قرارداد فروش"</f>
        <v>قرارداد فروش</v>
      </c>
      <c r="T553" s="1" t="str">
        <f>"ندارد"</f>
        <v>ندارد</v>
      </c>
      <c r="U553" s="1" t="str">
        <f>"ريسماني حسن(1007ج89)"</f>
        <v>ريسماني حسن(1007ج89)</v>
      </c>
      <c r="V553" s="1">
        <v>966300069</v>
      </c>
      <c r="W553" s="1">
        <v>966300069</v>
      </c>
      <c r="X553" s="1" t="str">
        <f>"1396550456"</f>
        <v>1396550456</v>
      </c>
      <c r="Y553" s="1" t="str">
        <f>"96/12/06"</f>
        <v>96/12/06</v>
      </c>
      <c r="Z553" s="1" t="str">
        <f>"18/96/1/8330"</f>
        <v>18/96/1/8330</v>
      </c>
      <c r="AA553" s="1" t="str">
        <f>"سازمان نوسازي توسعه وتجهيزمدارس كشور"</f>
        <v>سازمان نوسازي توسعه وتجهيزمدارس كشور</v>
      </c>
      <c r="AB553" s="1" t="str">
        <f>"96/09/08"</f>
        <v>96/09/08</v>
      </c>
      <c r="AC553" s="1" t="str">
        <f>"استان چهارمحال بختياري"</f>
        <v>استان چهارمحال بختياري</v>
      </c>
      <c r="AD553" s="1" t="str">
        <f>"96/12/06"</f>
        <v>96/12/06</v>
      </c>
      <c r="AE553" s="1" t="str">
        <f>"اختتام"</f>
        <v>اختتام</v>
      </c>
      <c r="AF553" s="1" t="str">
        <f>""</f>
        <v/>
      </c>
      <c r="AG553" s="1" t="str">
        <f>""</f>
        <v/>
      </c>
      <c r="AH553" s="1" t="str">
        <f>""</f>
        <v/>
      </c>
      <c r="AI553" s="1" t="str">
        <f>""</f>
        <v/>
      </c>
      <c r="AJ553" s="1" t="str">
        <f>""</f>
        <v/>
      </c>
      <c r="AK553" s="1" t="str">
        <f>""</f>
        <v/>
      </c>
    </row>
    <row r="554" spans="1:37">
      <c r="A554" s="1">
        <v>108000</v>
      </c>
      <c r="B554" s="1">
        <v>966200767</v>
      </c>
      <c r="C554" s="1" t="str">
        <f>"تخليه - کرمان-کيلومتر 10جاده بم-کرمان-کارخانه آسفالت آسان راه بم"</f>
        <v>تخليه - کرمان-کيلومتر 10جاده بم-کرمان-کارخانه آسفالت آسان راه بم</v>
      </c>
      <c r="D554" s="1">
        <v>13350</v>
      </c>
      <c r="E554" s="1">
        <v>108000</v>
      </c>
      <c r="F554" s="1">
        <v>96</v>
      </c>
      <c r="G554" s="1">
        <v>0</v>
      </c>
      <c r="H554" s="1" t="str">
        <f>"96/12/28"</f>
        <v>96/12/28</v>
      </c>
      <c r="I554" s="1" t="str">
        <f>"كيلوگرم"</f>
        <v>كيلوگرم</v>
      </c>
      <c r="J554" s="1" t="str">
        <f>"0000000076"</f>
        <v>0000000076</v>
      </c>
      <c r="K554" s="1" t="str">
        <f>"قير 60/70 - فله"</f>
        <v>قير 60/70 - فله</v>
      </c>
      <c r="L554" s="1">
        <v>100</v>
      </c>
      <c r="M554" s="1" t="str">
        <f>"مخازن قير اصفهان"</f>
        <v>مخازن قير اصفهان</v>
      </c>
      <c r="N554" s="1">
        <v>11558</v>
      </c>
      <c r="O554" s="1">
        <v>50039149</v>
      </c>
      <c r="P554" s="1" t="str">
        <f>"  سوله سازي گستر ليلان"</f>
        <v xml:space="preserve">  سوله سازي گستر ليلان</v>
      </c>
      <c r="Q554" s="1">
        <v>62</v>
      </c>
      <c r="R554" s="1" t="str">
        <f>"فروش داخلي - سازمان بنيادمسكن انقلاب اسلامي"</f>
        <v>فروش داخلي - سازمان بنيادمسكن انقلاب اسلامي</v>
      </c>
      <c r="S554" s="1" t="str">
        <f>"قرارداد فروش"</f>
        <v>قرارداد فروش</v>
      </c>
      <c r="T554" s="1" t="str">
        <f>"ندارد"</f>
        <v>ندارد</v>
      </c>
      <c r="U554" s="1" t="str">
        <f>"دهقانيان بيژن (4954038)"</f>
        <v>دهقانيان بيژن (4954038)</v>
      </c>
      <c r="V554" s="1">
        <v>966200767</v>
      </c>
      <c r="W554" s="1">
        <v>966200767</v>
      </c>
      <c r="X554" s="1" t="str">
        <f>"1396555465"</f>
        <v>1396555465</v>
      </c>
      <c r="Y554" s="1" t="str">
        <f>"96/12/28"</f>
        <v>96/12/28</v>
      </c>
      <c r="Z554" s="1" t="str">
        <f>"59991/د"</f>
        <v>59991/د</v>
      </c>
      <c r="AA554" s="1" t="str">
        <f>"بنيادمسكن انقلاب اسلامي"</f>
        <v>بنيادمسكن انقلاب اسلامي</v>
      </c>
      <c r="AB554" s="1" t="str">
        <f>"96/12/26"</f>
        <v>96/12/26</v>
      </c>
      <c r="AC554" s="1" t="str">
        <f>"استان كرمان"</f>
        <v>استان كرمان</v>
      </c>
      <c r="AD554" s="1" t="str">
        <f>"96/12/27"</f>
        <v>96/12/27</v>
      </c>
      <c r="AE554" s="1" t="str">
        <f>"اختتام"</f>
        <v>اختتام</v>
      </c>
      <c r="AF554" s="1" t="str">
        <f>""</f>
        <v/>
      </c>
      <c r="AG554" s="1" t="str">
        <f>""</f>
        <v/>
      </c>
      <c r="AH554" s="1" t="str">
        <f>""</f>
        <v/>
      </c>
      <c r="AI554" s="1" t="str">
        <f>""</f>
        <v/>
      </c>
      <c r="AJ554" s="1" t="str">
        <f>""</f>
        <v/>
      </c>
      <c r="AK554" s="1" t="str">
        <f>""</f>
        <v/>
      </c>
    </row>
    <row r="555" spans="1:37">
      <c r="A555" s="1">
        <v>39000</v>
      </c>
      <c r="B555" s="1">
        <v>966200192</v>
      </c>
      <c r="C555" s="1" t="str">
        <f>"تخليه-سراوان-احمدآباد-کارگاه شن و ماسه ملک محمدي"</f>
        <v>تخليه-سراوان-احمدآباد-کارگاه شن و ماسه ملک محمدي</v>
      </c>
      <c r="D555" s="1">
        <v>8704</v>
      </c>
      <c r="E555" s="1">
        <v>38340</v>
      </c>
      <c r="F555" s="1">
        <v>96</v>
      </c>
      <c r="G555" s="1">
        <v>660</v>
      </c>
      <c r="H555" s="1" t="str">
        <f>"96/05/25"</f>
        <v>96/05/25</v>
      </c>
      <c r="I555" s="1" t="str">
        <f>"كيلوگرم"</f>
        <v>كيلوگرم</v>
      </c>
      <c r="J555" s="1" t="str">
        <f>"0000000076"</f>
        <v>0000000076</v>
      </c>
      <c r="K555" s="1" t="str">
        <f>"قير 60/70 - فله"</f>
        <v>قير 60/70 - فله</v>
      </c>
      <c r="L555" s="1">
        <v>100</v>
      </c>
      <c r="M555" s="1" t="str">
        <f>"مخازن قير اصفهان"</f>
        <v>مخازن قير اصفهان</v>
      </c>
      <c r="N555" s="1">
        <v>11070</v>
      </c>
      <c r="O555" s="1">
        <v>50035682</v>
      </c>
      <c r="P555" s="1" t="str">
        <f>"  شايان نقشه جنوب"</f>
        <v xml:space="preserve">  شايان نقشه جنوب</v>
      </c>
      <c r="Q555" s="1">
        <v>62</v>
      </c>
      <c r="R555" s="1" t="str">
        <f>"فروش داخلي - سازمان بنيادمسكن انقلاب اسلامي"</f>
        <v>فروش داخلي - سازمان بنيادمسكن انقلاب اسلامي</v>
      </c>
      <c r="S555" s="1" t="str">
        <f>"قرارداد فروش"</f>
        <v>قرارداد فروش</v>
      </c>
      <c r="T555" s="1" t="str">
        <f>"ندارد"</f>
        <v>ندارد</v>
      </c>
      <c r="U555" s="1" t="str">
        <f>"بهرام زنگنه (1038 ج 93)"</f>
        <v>بهرام زنگنه (1038 ج 93)</v>
      </c>
      <c r="V555" s="1">
        <v>966200192</v>
      </c>
      <c r="W555" s="1">
        <v>966200192</v>
      </c>
      <c r="X555" s="1" t="str">
        <f>"1396506150"</f>
        <v>1396506150</v>
      </c>
      <c r="Y555" s="1" t="str">
        <f>"96/05/25"</f>
        <v>96/05/25</v>
      </c>
      <c r="Z555" s="1" t="str">
        <f>"22063/د"</f>
        <v>22063/د</v>
      </c>
      <c r="AA555" s="1" t="str">
        <f>"بنيادمسكن انقلاب اسلامي"</f>
        <v>بنيادمسكن انقلاب اسلامي</v>
      </c>
      <c r="AB555" s="1" t="str">
        <f>"96/05/24"</f>
        <v>96/05/24</v>
      </c>
      <c r="AC555" s="1" t="str">
        <f>"استان سيستان بلوچستان"</f>
        <v>استان سيستان بلوچستان</v>
      </c>
      <c r="AD555" s="1" t="str">
        <f>"96/05/25"</f>
        <v>96/05/25</v>
      </c>
      <c r="AE555" s="1" t="str">
        <f>"اختتام"</f>
        <v>اختتام</v>
      </c>
      <c r="AF555" s="1" t="str">
        <f>""</f>
        <v/>
      </c>
      <c r="AG555" s="1" t="str">
        <f>""</f>
        <v/>
      </c>
      <c r="AH555" s="1" t="str">
        <f>""</f>
        <v/>
      </c>
      <c r="AI555" s="1" t="str">
        <f>""</f>
        <v/>
      </c>
      <c r="AJ555" s="1" t="str">
        <f>""</f>
        <v/>
      </c>
      <c r="AK555" s="1" t="str">
        <f>""</f>
        <v/>
      </c>
    </row>
    <row r="556" spans="1:37">
      <c r="A556" s="1">
        <v>15000</v>
      </c>
      <c r="B556" s="1">
        <v>966200612</v>
      </c>
      <c r="C556" s="1" t="str">
        <f>"تخليه- ياسوج-روستاي دارشاهي-کارخانه آسفالت شکوهي"</f>
        <v>تخليه- ياسوج-روستاي دارشاهي-کارخانه آسفالت شکوهي</v>
      </c>
      <c r="D556" s="1">
        <v>13350</v>
      </c>
      <c r="E556" s="1">
        <v>15000</v>
      </c>
      <c r="F556" s="1">
        <v>96</v>
      </c>
      <c r="G556" s="1">
        <v>0</v>
      </c>
      <c r="H556" s="1" t="str">
        <f>"96/12/09"</f>
        <v>96/12/09</v>
      </c>
      <c r="I556" s="1" t="str">
        <f>"كيلوگرم"</f>
        <v>كيلوگرم</v>
      </c>
      <c r="J556" s="1" t="str">
        <f>"0000000076"</f>
        <v>0000000076</v>
      </c>
      <c r="K556" s="1" t="str">
        <f>"قير 60/70 - فله"</f>
        <v>قير 60/70 - فله</v>
      </c>
      <c r="L556" s="1">
        <v>100</v>
      </c>
      <c r="M556" s="1" t="str">
        <f>"مخازن قير اصفهان"</f>
        <v>مخازن قير اصفهان</v>
      </c>
      <c r="N556" s="1">
        <v>11077</v>
      </c>
      <c r="O556" s="1">
        <v>50038671</v>
      </c>
      <c r="P556" s="1" t="str">
        <f>"  امير سازه بوير"</f>
        <v xml:space="preserve">  امير سازه بوير</v>
      </c>
      <c r="Q556" s="1">
        <v>62</v>
      </c>
      <c r="R556" s="1" t="str">
        <f>"فروش داخلي - سازمان بنيادمسكن انقلاب اسلامي"</f>
        <v>فروش داخلي - سازمان بنيادمسكن انقلاب اسلامي</v>
      </c>
      <c r="S556" s="1" t="str">
        <f>"قرارداد فروش"</f>
        <v>قرارداد فروش</v>
      </c>
      <c r="T556" s="1" t="str">
        <f>"ندارد"</f>
        <v>ندارد</v>
      </c>
      <c r="U556" s="1" t="str">
        <f>"غلام نجفي سيامك‌‌‌‌‌‌(1881082)"</f>
        <v>غلام نجفي سيامك‌‌‌‌‌‌(1881082)</v>
      </c>
      <c r="V556" s="1">
        <v>966200612</v>
      </c>
      <c r="W556" s="1">
        <v>966200612</v>
      </c>
      <c r="X556" s="1" t="str">
        <f>"1396551611"</f>
        <v>1396551611</v>
      </c>
      <c r="Y556" s="1" t="str">
        <f>"96/12/09"</f>
        <v>96/12/09</v>
      </c>
      <c r="Z556" s="1" t="str">
        <f>"55772/د"</f>
        <v>55772/د</v>
      </c>
      <c r="AA556" s="1" t="str">
        <f>"بنيادمسكن انقلاب اسلامي"</f>
        <v>بنيادمسكن انقلاب اسلامي</v>
      </c>
      <c r="AB556" s="1" t="str">
        <f>"96/12/08"</f>
        <v>96/12/08</v>
      </c>
      <c r="AC556" s="1" t="str">
        <f>"كهكيلويه و بوير احمد"</f>
        <v>كهكيلويه و بوير احمد</v>
      </c>
      <c r="AD556" s="1" t="str">
        <f>"96/12/09"</f>
        <v>96/12/09</v>
      </c>
      <c r="AE556" s="1" t="str">
        <f>"اختتام"</f>
        <v>اختتام</v>
      </c>
      <c r="AF556" s="1" t="str">
        <f>""</f>
        <v/>
      </c>
      <c r="AG556" s="1" t="str">
        <f>""</f>
        <v/>
      </c>
      <c r="AH556" s="1" t="str">
        <f>""</f>
        <v/>
      </c>
      <c r="AI556" s="1" t="str">
        <f>""</f>
        <v/>
      </c>
      <c r="AJ556" s="1" t="str">
        <f>""</f>
        <v/>
      </c>
      <c r="AK556" s="1" t="str">
        <f>""</f>
        <v/>
      </c>
    </row>
    <row r="557" spans="1:37">
      <c r="A557" s="1">
        <v>68000</v>
      </c>
      <c r="B557" s="1">
        <v>966200654</v>
      </c>
      <c r="C557" s="1" t="str">
        <f>"تخليه - لرستان - اليگودرز - شهرک صنعتي سنگ -استحكام بتن خرمي"</f>
        <v>تخليه - لرستان - اليگودرز - شهرک صنعتي سنگ -استحكام بتن خرمي</v>
      </c>
      <c r="D557" s="1">
        <v>13350</v>
      </c>
      <c r="E557" s="1">
        <v>68000</v>
      </c>
      <c r="F557" s="1">
        <v>96</v>
      </c>
      <c r="G557" s="1">
        <v>0</v>
      </c>
      <c r="H557" s="1" t="str">
        <f>"96/12/15"</f>
        <v>96/12/15</v>
      </c>
      <c r="I557" s="1" t="str">
        <f>"كيلوگرم"</f>
        <v>كيلوگرم</v>
      </c>
      <c r="J557" s="1" t="str">
        <f>"0000000076"</f>
        <v>0000000076</v>
      </c>
      <c r="K557" s="1" t="str">
        <f>"قير 60/70 - فله"</f>
        <v>قير 60/70 - فله</v>
      </c>
      <c r="L557" s="1">
        <v>100</v>
      </c>
      <c r="M557" s="1" t="str">
        <f>"مخازن قير اصفهان"</f>
        <v>مخازن قير اصفهان</v>
      </c>
      <c r="N557" s="1">
        <v>11081</v>
      </c>
      <c r="O557" s="1">
        <v>50038782</v>
      </c>
      <c r="P557" s="1" t="str">
        <f>"  استحكام بتون خرمي"</f>
        <v xml:space="preserve">  استحكام بتون خرمي</v>
      </c>
      <c r="Q557" s="1">
        <v>62</v>
      </c>
      <c r="R557" s="1" t="str">
        <f>"فروش داخلي - سازمان بنيادمسكن انقلاب اسلامي"</f>
        <v>فروش داخلي - سازمان بنيادمسكن انقلاب اسلامي</v>
      </c>
      <c r="S557" s="1" t="str">
        <f>"قرارداد فروش"</f>
        <v>قرارداد فروش</v>
      </c>
      <c r="T557" s="1" t="str">
        <f>"ندارد"</f>
        <v>ندارد</v>
      </c>
      <c r="U557" s="1" t="str">
        <f>"عظيمي محمد(2842015)"</f>
        <v>عظيمي محمد(2842015)</v>
      </c>
      <c r="V557" s="1">
        <v>966200654</v>
      </c>
      <c r="W557" s="1">
        <v>966200654</v>
      </c>
      <c r="X557" s="1" t="str">
        <f>"1396552658"</f>
        <v>1396552658</v>
      </c>
      <c r="Y557" s="1" t="str">
        <f>"96/12/15"</f>
        <v>96/12/15</v>
      </c>
      <c r="Z557" s="1" t="str">
        <f>"57123/د"</f>
        <v>57123/د</v>
      </c>
      <c r="AA557" s="1" t="str">
        <f>"بنيادمسكن انقلاب اسلامي"</f>
        <v>بنيادمسكن انقلاب اسلامي</v>
      </c>
      <c r="AB557" s="1" t="str">
        <f>"96/12/15"</f>
        <v>96/12/15</v>
      </c>
      <c r="AC557" s="1" t="str">
        <f>"لرستان"</f>
        <v>لرستان</v>
      </c>
      <c r="AD557" s="1" t="str">
        <f>"96/12/15"</f>
        <v>96/12/15</v>
      </c>
      <c r="AE557" s="1" t="str">
        <f>"اختتام"</f>
        <v>اختتام</v>
      </c>
      <c r="AF557" s="1" t="str">
        <f>""</f>
        <v/>
      </c>
      <c r="AG557" s="1" t="str">
        <f>""</f>
        <v/>
      </c>
      <c r="AH557" s="1" t="str">
        <f>""</f>
        <v/>
      </c>
      <c r="AI557" s="1" t="str">
        <f>""</f>
        <v/>
      </c>
      <c r="AJ557" s="1" t="str">
        <f>""</f>
        <v/>
      </c>
      <c r="AK557" s="1" t="str">
        <f>""</f>
        <v/>
      </c>
    </row>
    <row r="558" spans="1:37">
      <c r="A558" s="1">
        <v>200000</v>
      </c>
      <c r="B558" s="1">
        <v>966200380</v>
      </c>
      <c r="C558" s="1" t="str">
        <f>"تخليه -اصفهان داران بلواردانشگاه خيابان شهرك صنعتي مجتمع توليدي جهاد"</f>
        <v>تخليه -اصفهان داران بلواردانشگاه خيابان شهرك صنعتي مجتمع توليدي جهاد</v>
      </c>
      <c r="D558" s="1">
        <v>12820</v>
      </c>
      <c r="E558" s="1">
        <v>200000</v>
      </c>
      <c r="F558" s="1">
        <v>96</v>
      </c>
      <c r="G558" s="1">
        <v>0</v>
      </c>
      <c r="H558" s="1" t="str">
        <f>"96/09/08"</f>
        <v>96/09/08</v>
      </c>
      <c r="I558" s="1" t="str">
        <f>"كيلوگرم"</f>
        <v>كيلوگرم</v>
      </c>
      <c r="J558" s="1" t="str">
        <f>"0000000076"</f>
        <v>0000000076</v>
      </c>
      <c r="K558" s="1" t="str">
        <f>"قير 60/70 - فله"</f>
        <v>قير 60/70 - فله</v>
      </c>
      <c r="L558" s="1">
        <v>100</v>
      </c>
      <c r="M558" s="1" t="str">
        <f>"مخازن قير اصفهان"</f>
        <v>مخازن قير اصفهان</v>
      </c>
      <c r="N558" s="1">
        <v>11082</v>
      </c>
      <c r="O558" s="1">
        <v>50037319</v>
      </c>
      <c r="P558" s="1" t="str">
        <f>"  پارسيان كاني پاسارگاد"</f>
        <v xml:space="preserve">  پارسيان كاني پاسارگاد</v>
      </c>
      <c r="Q558" s="1">
        <v>62</v>
      </c>
      <c r="R558" s="1" t="str">
        <f>"فروش داخلي - سازمان بنيادمسكن انقلاب اسلامي"</f>
        <v>فروش داخلي - سازمان بنيادمسكن انقلاب اسلامي</v>
      </c>
      <c r="S558" s="1" t="str">
        <f>"قرارداد فروش"</f>
        <v>قرارداد فروش</v>
      </c>
      <c r="T558" s="1" t="str">
        <f>"ندارد"</f>
        <v>ندارد</v>
      </c>
      <c r="U558" s="1" t="str">
        <f>"مرادي نجاتعلي(1020ج89)"</f>
        <v>مرادي نجاتعلي(1020ج89)</v>
      </c>
      <c r="V558" s="1">
        <v>966200380</v>
      </c>
      <c r="W558" s="1">
        <v>966200380</v>
      </c>
      <c r="X558" s="1" t="str">
        <f>"1396529172"</f>
        <v>1396529172</v>
      </c>
      <c r="Y558" s="1" t="str">
        <f>"96/09/08"</f>
        <v>96/09/08</v>
      </c>
      <c r="Z558" s="1" t="str">
        <f>"37342/د"</f>
        <v>37342/د</v>
      </c>
      <c r="AA558" s="1" t="str">
        <f>"بنيادمسكن انقلاب اسلامي"</f>
        <v>بنيادمسكن انقلاب اسلامي</v>
      </c>
      <c r="AB558" s="1" t="str">
        <f>"96/08/21"</f>
        <v>96/08/21</v>
      </c>
      <c r="AC558" s="1" t="str">
        <f>"استان اصفهان"</f>
        <v>استان اصفهان</v>
      </c>
      <c r="AD558" s="1" t="str">
        <f>"96/09/08"</f>
        <v>96/09/08</v>
      </c>
      <c r="AE558" s="1" t="str">
        <f>"اختتام"</f>
        <v>اختتام</v>
      </c>
      <c r="AF558" s="1" t="str">
        <f>""</f>
        <v/>
      </c>
      <c r="AG558" s="1" t="str">
        <f>""</f>
        <v/>
      </c>
      <c r="AH558" s="1" t="str">
        <f>""</f>
        <v/>
      </c>
      <c r="AI558" s="1" t="str">
        <f>""</f>
        <v/>
      </c>
      <c r="AJ558" s="1" t="str">
        <f>""</f>
        <v/>
      </c>
      <c r="AK558" s="1" t="str">
        <f>""</f>
        <v/>
      </c>
    </row>
    <row r="559" spans="1:37">
      <c r="A559" s="1">
        <v>71000</v>
      </c>
      <c r="B559" s="1">
        <v>966300049</v>
      </c>
      <c r="C559" s="1" t="str">
        <f>"تخليه اصفهان اشترجان شهرك صنعتي اشترجان كارخانه آسفالت راه آژند-محمدعلي كمالي"</f>
        <v>تخليه اصفهان اشترجان شهرك صنعتي اشترجان كارخانه آسفالت راه آژند-محمدعلي كمالي</v>
      </c>
      <c r="D559" s="1">
        <v>12850</v>
      </c>
      <c r="E559" s="1">
        <v>70240</v>
      </c>
      <c r="F559" s="1">
        <v>96</v>
      </c>
      <c r="G559" s="1">
        <v>760</v>
      </c>
      <c r="H559" s="1" t="str">
        <f>"96/10/11"</f>
        <v>96/10/11</v>
      </c>
      <c r="I559" s="1" t="str">
        <f>"كيلوگرم"</f>
        <v>كيلوگرم</v>
      </c>
      <c r="J559" s="1" t="str">
        <f>"0000000076"</f>
        <v>0000000076</v>
      </c>
      <c r="K559" s="1" t="str">
        <f>"قير 60/70 - فله"</f>
        <v>قير 60/70 - فله</v>
      </c>
      <c r="L559" s="1">
        <v>100</v>
      </c>
      <c r="M559" s="1" t="str">
        <f>"مخازن قير اصفهان"</f>
        <v>مخازن قير اصفهان</v>
      </c>
      <c r="N559" s="1">
        <v>11098</v>
      </c>
      <c r="O559" s="1">
        <v>50038022</v>
      </c>
      <c r="P559" s="1" t="str">
        <f>"  اداره كل نوسازي توسعه وتجهيزمدارس استان اصفهان"</f>
        <v xml:space="preserve">  اداره كل نوسازي توسعه وتجهيزمدارس استان اصفهان</v>
      </c>
      <c r="Q559" s="1">
        <v>63</v>
      </c>
      <c r="R559" s="1" t="str">
        <f>"سازمان نوسازي،توسعه و تجهيز مدارس كشور"</f>
        <v>سازمان نوسازي،توسعه و تجهيز مدارس كشور</v>
      </c>
      <c r="S559" s="1" t="str">
        <f>"قرارداد فروش"</f>
        <v>قرارداد فروش</v>
      </c>
      <c r="T559" s="1" t="str">
        <f>"ندارد"</f>
        <v>ندارد</v>
      </c>
      <c r="U559" s="1" t="str">
        <f>"سيفي پور عبدالمجيد(1009ج89)"</f>
        <v>سيفي پور عبدالمجيد(1009ج89)</v>
      </c>
      <c r="V559" s="1">
        <v>966300049</v>
      </c>
      <c r="W559" s="1">
        <v>966300049</v>
      </c>
      <c r="X559" s="1" t="str">
        <f>"1396536458"</f>
        <v>1396536458</v>
      </c>
      <c r="Y559" s="1" t="str">
        <f>"96/10/11"</f>
        <v>96/10/11</v>
      </c>
      <c r="Z559" s="1" t="str">
        <f>"3-96/422-27039"</f>
        <v>3-96/422-27039</v>
      </c>
      <c r="AA559" s="1" t="str">
        <f>"سازمان نوسازي توسعه وتجهيزمدارس كشور"</f>
        <v>سازمان نوسازي توسعه وتجهيزمدارس كشور</v>
      </c>
      <c r="AB559" s="1" t="str">
        <f>"96/10/07"</f>
        <v>96/10/07</v>
      </c>
      <c r="AC559" s="1" t="str">
        <f>"استان اصفهان"</f>
        <v>استان اصفهان</v>
      </c>
      <c r="AD559" s="1" t="str">
        <f>"96/10/11"</f>
        <v>96/10/11</v>
      </c>
      <c r="AE559" s="1" t="str">
        <f>"اختتام"</f>
        <v>اختتام</v>
      </c>
      <c r="AF559" s="1" t="str">
        <f>""</f>
        <v/>
      </c>
      <c r="AG559" s="1" t="str">
        <f>""</f>
        <v/>
      </c>
      <c r="AH559" s="1" t="str">
        <f>""</f>
        <v/>
      </c>
      <c r="AI559" s="1" t="str">
        <f>""</f>
        <v/>
      </c>
      <c r="AJ559" s="1" t="str">
        <f>""</f>
        <v/>
      </c>
      <c r="AK559" s="1" t="str">
        <f>""</f>
        <v/>
      </c>
    </row>
    <row r="560" spans="1:37">
      <c r="A560" s="1">
        <v>62418</v>
      </c>
      <c r="B560" s="1">
        <v>962000322</v>
      </c>
      <c r="C560" s="1" t="str">
        <f>"تخليه خراسان رضوي كيلومتر15جاده قوچان فاروج كارخانه آسفالت توس راديه"</f>
        <v>تخليه خراسان رضوي كيلومتر15جاده قوچان فاروج كارخانه آسفالت توس راديه</v>
      </c>
      <c r="D560" s="1">
        <v>9113</v>
      </c>
      <c r="E560" s="1">
        <v>61204</v>
      </c>
      <c r="F560" s="1">
        <v>96</v>
      </c>
      <c r="G560" s="1">
        <v>1214</v>
      </c>
      <c r="H560" s="1" t="str">
        <f>"96/09/13"</f>
        <v>96/09/13</v>
      </c>
      <c r="I560" s="1" t="str">
        <f>"كيلوگرم"</f>
        <v>كيلوگرم</v>
      </c>
      <c r="J560" s="1" t="str">
        <f>"0000000076"</f>
        <v>0000000076</v>
      </c>
      <c r="K560" s="1" t="str">
        <f>"قير 60/70 - فله"</f>
        <v>قير 60/70 - فله</v>
      </c>
      <c r="L560" s="1">
        <v>100</v>
      </c>
      <c r="M560" s="1" t="str">
        <f>"مخازن قير اصفهان"</f>
        <v>مخازن قير اصفهان</v>
      </c>
      <c r="N560" s="1">
        <v>11430</v>
      </c>
      <c r="O560" s="1">
        <v>50037527</v>
      </c>
      <c r="P560" s="1" t="str">
        <f>"  شهرداري باجگيران"</f>
        <v xml:space="preserve">  شهرداري باجگيران</v>
      </c>
      <c r="Q560" s="1">
        <v>20</v>
      </c>
      <c r="R560" s="1" t="str">
        <f>"فروش داخلي - سازمان شهرداري ها و دهياري هاي كشور"</f>
        <v>فروش داخلي - سازمان شهرداري ها و دهياري هاي كشور</v>
      </c>
      <c r="S560" s="1" t="str">
        <f>"قرارداد فروش"</f>
        <v>قرارداد فروش</v>
      </c>
      <c r="T560" s="1" t="str">
        <f>"ندارد"</f>
        <v>ندارد</v>
      </c>
      <c r="U560" s="1" t="str">
        <f>"تعاوني جم گستر (1001 ج 89)"</f>
        <v>تعاوني جم گستر (1001 ج 89)</v>
      </c>
      <c r="V560" s="1">
        <v>962000322</v>
      </c>
      <c r="W560" s="1">
        <v>962000322</v>
      </c>
      <c r="X560" s="1" t="str">
        <f>"1396514467"</f>
        <v>1396514467</v>
      </c>
      <c r="Y560" s="1" t="str">
        <f>"96/09/12"</f>
        <v>96/09/12</v>
      </c>
      <c r="Z560" s="1" t="str">
        <f>"37072مرحله دوم"</f>
        <v>37072مرحله دوم</v>
      </c>
      <c r="AA560" s="1" t="str">
        <f>"شهرداريها"</f>
        <v>شهرداريها</v>
      </c>
      <c r="AB560" s="1" t="str">
        <f>"96/09/04"</f>
        <v>96/09/04</v>
      </c>
      <c r="AC560" s="1" t="str">
        <f>"خراسان رضوي"</f>
        <v>خراسان رضوي</v>
      </c>
      <c r="AD560" s="1" t="str">
        <f>"96/07/03"</f>
        <v>96/07/03</v>
      </c>
      <c r="AE560" s="1" t="str">
        <f>"اختتام"</f>
        <v>اختتام</v>
      </c>
      <c r="AF560" s="1" t="str">
        <f>""</f>
        <v/>
      </c>
      <c r="AG560" s="1" t="str">
        <f>""</f>
        <v/>
      </c>
      <c r="AH560" s="1" t="str">
        <f>""</f>
        <v/>
      </c>
      <c r="AI560" s="1" t="str">
        <f>""</f>
        <v/>
      </c>
      <c r="AJ560" s="1" t="str">
        <f>""</f>
        <v/>
      </c>
      <c r="AK560" s="1" t="str">
        <f>""</f>
        <v/>
      </c>
    </row>
    <row r="561" spans="1:37">
      <c r="A561" s="1">
        <v>84663</v>
      </c>
      <c r="B561" s="1">
        <v>962000298</v>
      </c>
      <c r="C561" s="1" t="str">
        <f>"تخليه خراسان رضوي انتهاي بلوار72تن شهيدميدان شهيدصبوري كارخانه آسفالت شهرداري خواف"</f>
        <v>تخليه خراسان رضوي انتهاي بلوار72تن شهيدميدان شهيدصبوري كارخانه آسفالت شهرداري خواف</v>
      </c>
      <c r="D561" s="1">
        <v>9113</v>
      </c>
      <c r="E561" s="1">
        <v>82933</v>
      </c>
      <c r="F561" s="1">
        <v>96</v>
      </c>
      <c r="G561" s="1">
        <v>1730</v>
      </c>
      <c r="H561" s="1" t="str">
        <f>"96/09/13"</f>
        <v>96/09/13</v>
      </c>
      <c r="I561" s="1" t="str">
        <f>"كيلوگرم"</f>
        <v>كيلوگرم</v>
      </c>
      <c r="J561" s="1" t="str">
        <f>"0000000076"</f>
        <v>0000000076</v>
      </c>
      <c r="K561" s="1" t="str">
        <f>"قير 60/70 - فله"</f>
        <v>قير 60/70 - فله</v>
      </c>
      <c r="L561" s="1">
        <v>100</v>
      </c>
      <c r="M561" s="1" t="str">
        <f>"مخازن قير اصفهان"</f>
        <v>مخازن قير اصفهان</v>
      </c>
      <c r="N561" s="1">
        <v>11439</v>
      </c>
      <c r="O561" s="1">
        <v>50037499</v>
      </c>
      <c r="P561" s="1" t="str">
        <f>"  شهرداري خواف"</f>
        <v xml:space="preserve">  شهرداري خواف</v>
      </c>
      <c r="Q561" s="1">
        <v>20</v>
      </c>
      <c r="R561" s="1" t="str">
        <f>"فروش داخلي - سازمان شهرداري ها و دهياري هاي كشور"</f>
        <v>فروش داخلي - سازمان شهرداري ها و دهياري هاي كشور</v>
      </c>
      <c r="S561" s="1" t="str">
        <f>"قرارداد فروش"</f>
        <v>قرارداد فروش</v>
      </c>
      <c r="T561" s="1" t="str">
        <f>"ندارد"</f>
        <v>ندارد</v>
      </c>
      <c r="U561" s="1" t="str">
        <f>"تعاوني جم گستر (1001 ج 89)"</f>
        <v>تعاوني جم گستر (1001 ج 89)</v>
      </c>
      <c r="V561" s="1">
        <v>962000298</v>
      </c>
      <c r="W561" s="1">
        <v>962000298</v>
      </c>
      <c r="X561" s="1" t="str">
        <f>"1396514467"</f>
        <v>1396514467</v>
      </c>
      <c r="Y561" s="1" t="str">
        <f>"96/09/12"</f>
        <v>96/09/12</v>
      </c>
      <c r="Z561" s="1" t="str">
        <f>"37018مرحله دوم"</f>
        <v>37018مرحله دوم</v>
      </c>
      <c r="AA561" s="1" t="str">
        <f>"شهرداريها"</f>
        <v>شهرداريها</v>
      </c>
      <c r="AB561" s="1" t="str">
        <f>"96/09/04"</f>
        <v>96/09/04</v>
      </c>
      <c r="AC561" s="1" t="str">
        <f>"خراسان رضوي"</f>
        <v>خراسان رضوي</v>
      </c>
      <c r="AD561" s="1" t="str">
        <f>"96/07/03"</f>
        <v>96/07/03</v>
      </c>
      <c r="AE561" s="1" t="str">
        <f>"اختتام"</f>
        <v>اختتام</v>
      </c>
      <c r="AF561" s="1" t="str">
        <f>""</f>
        <v/>
      </c>
      <c r="AG561" s="1" t="str">
        <f>""</f>
        <v/>
      </c>
      <c r="AH561" s="1" t="str">
        <f>""</f>
        <v/>
      </c>
      <c r="AI561" s="1" t="str">
        <f>""</f>
        <v/>
      </c>
      <c r="AJ561" s="1" t="str">
        <f>""</f>
        <v/>
      </c>
      <c r="AK561" s="1" t="str">
        <f>""</f>
        <v/>
      </c>
    </row>
    <row r="562" spans="1:37">
      <c r="A562" s="1">
        <v>64928</v>
      </c>
      <c r="B562" s="1">
        <v>962000310</v>
      </c>
      <c r="C562" s="1" t="str">
        <f>"تخليه خراسان رضوي تربت حيدريه جاده بوري آبادكارخانه آسفالت وليعصر(عج )"</f>
        <v>تخليه خراسان رضوي تربت حيدريه جاده بوري آبادكارخانه آسفالت وليعصر(عج )</v>
      </c>
      <c r="D562" s="1">
        <v>9113</v>
      </c>
      <c r="E562" s="1">
        <v>64680</v>
      </c>
      <c r="F562" s="1">
        <v>96</v>
      </c>
      <c r="G562" s="1">
        <v>248</v>
      </c>
      <c r="H562" s="1" t="str">
        <f>"96/09/13"</f>
        <v>96/09/13</v>
      </c>
      <c r="I562" s="1" t="str">
        <f>"كيلوگرم"</f>
        <v>كيلوگرم</v>
      </c>
      <c r="J562" s="1" t="str">
        <f>"0000000076"</f>
        <v>0000000076</v>
      </c>
      <c r="K562" s="1" t="str">
        <f>"قير 60/70 - فله"</f>
        <v>قير 60/70 - فله</v>
      </c>
      <c r="L562" s="1">
        <v>100</v>
      </c>
      <c r="M562" s="1" t="str">
        <f>"مخازن قير اصفهان"</f>
        <v>مخازن قير اصفهان</v>
      </c>
      <c r="N562" s="1">
        <v>11440</v>
      </c>
      <c r="O562" s="1">
        <v>50037512</v>
      </c>
      <c r="P562" s="1" t="str">
        <f>"  شهرداري رشتخوار"</f>
        <v xml:space="preserve">  شهرداري رشتخوار</v>
      </c>
      <c r="Q562" s="1">
        <v>20</v>
      </c>
      <c r="R562" s="1" t="str">
        <f>"فروش داخلي - سازمان شهرداري ها و دهياري هاي كشور"</f>
        <v>فروش داخلي - سازمان شهرداري ها و دهياري هاي كشور</v>
      </c>
      <c r="S562" s="1" t="str">
        <f>"قرارداد فروش"</f>
        <v>قرارداد فروش</v>
      </c>
      <c r="T562" s="1" t="str">
        <f>"ندارد"</f>
        <v>ندارد</v>
      </c>
      <c r="U562" s="1" t="str">
        <f>"تعاوني جم گستر (1001 ج 89)"</f>
        <v>تعاوني جم گستر (1001 ج 89)</v>
      </c>
      <c r="V562" s="1">
        <v>962000310</v>
      </c>
      <c r="W562" s="1">
        <v>962000310</v>
      </c>
      <c r="X562" s="1" t="str">
        <f>"1396514467"</f>
        <v>1396514467</v>
      </c>
      <c r="Y562" s="1" t="str">
        <f>"96/09/12"</f>
        <v>96/09/12</v>
      </c>
      <c r="Z562" s="1" t="str">
        <f>"37025مرحله دوم"</f>
        <v>37025مرحله دوم</v>
      </c>
      <c r="AA562" s="1" t="str">
        <f>"شهرداريها"</f>
        <v>شهرداريها</v>
      </c>
      <c r="AB562" s="1" t="str">
        <f>"96/09/04"</f>
        <v>96/09/04</v>
      </c>
      <c r="AC562" s="1" t="str">
        <f>"خراسان رضوي"</f>
        <v>خراسان رضوي</v>
      </c>
      <c r="AD562" s="1" t="str">
        <f>"96/07/03"</f>
        <v>96/07/03</v>
      </c>
      <c r="AE562" s="1" t="str">
        <f>"اختتام"</f>
        <v>اختتام</v>
      </c>
      <c r="AF562" s="1" t="str">
        <f>""</f>
        <v/>
      </c>
      <c r="AG562" s="1" t="str">
        <f>""</f>
        <v/>
      </c>
      <c r="AH562" s="1" t="str">
        <f>""</f>
        <v/>
      </c>
      <c r="AI562" s="1" t="str">
        <f>""</f>
        <v/>
      </c>
      <c r="AJ562" s="1" t="str">
        <f>""</f>
        <v/>
      </c>
      <c r="AK562" s="1" t="str">
        <f>""</f>
        <v/>
      </c>
    </row>
    <row r="563" spans="1:37">
      <c r="A563" s="1">
        <v>197950</v>
      </c>
      <c r="B563" s="1">
        <v>962000174</v>
      </c>
      <c r="C563" s="1" t="str">
        <f>"تخليه خراسان رضوي سرخس كيلومتر7جاده روستاي قوش عظيم كارخانه آسفالت شهرداري"</f>
        <v>تخليه خراسان رضوي سرخس كيلومتر7جاده روستاي قوش عظيم كارخانه آسفالت شهرداري</v>
      </c>
      <c r="D563" s="1">
        <v>9113</v>
      </c>
      <c r="E563" s="1">
        <v>197950</v>
      </c>
      <c r="F563" s="1">
        <v>96</v>
      </c>
      <c r="G563" s="1">
        <v>0</v>
      </c>
      <c r="H563" s="1" t="str">
        <f>"96/07/03"</f>
        <v>96/07/03</v>
      </c>
      <c r="I563" s="1" t="str">
        <f>"كيلوگرم"</f>
        <v>كيلوگرم</v>
      </c>
      <c r="J563" s="1" t="str">
        <f>"0000000076"</f>
        <v>0000000076</v>
      </c>
      <c r="K563" s="1" t="str">
        <f>"قير 60/70 - فله"</f>
        <v>قير 60/70 - فله</v>
      </c>
      <c r="L563" s="1">
        <v>100</v>
      </c>
      <c r="M563" s="1" t="str">
        <f>"مخازن قير اصفهان"</f>
        <v>مخازن قير اصفهان</v>
      </c>
      <c r="N563" s="1">
        <v>11443</v>
      </c>
      <c r="O563" s="1">
        <v>50036379</v>
      </c>
      <c r="P563" s="1" t="str">
        <f>"  شهرداري سرخس"</f>
        <v xml:space="preserve">  شهرداري سرخس</v>
      </c>
      <c r="Q563" s="1">
        <v>20</v>
      </c>
      <c r="R563" s="1" t="str">
        <f>"فروش داخلي - سازمان شهرداري ها و دهياري هاي كشور"</f>
        <v>فروش داخلي - سازمان شهرداري ها و دهياري هاي كشور</v>
      </c>
      <c r="S563" s="1" t="str">
        <f>"قرارداد فروش"</f>
        <v>قرارداد فروش</v>
      </c>
      <c r="T563" s="1" t="str">
        <f>"ندارد"</f>
        <v>ندارد</v>
      </c>
      <c r="U563" s="1" t="str">
        <f>"تعاوني جم گستر (1001 ج 89)"</f>
        <v>تعاوني جم گستر (1001 ج 89)</v>
      </c>
      <c r="V563" s="1">
        <v>962000174</v>
      </c>
      <c r="W563" s="1">
        <v>962000174</v>
      </c>
      <c r="X563" s="1" t="str">
        <f>"1396514467"</f>
        <v>1396514467</v>
      </c>
      <c r="Y563" s="1" t="str">
        <f>"96/07/03"</f>
        <v>96/07/03</v>
      </c>
      <c r="Z563" s="1" t="str">
        <f>"26773مرحله اول"</f>
        <v>26773مرحله اول</v>
      </c>
      <c r="AA563" s="1" t="str">
        <f>"شهرداريها"</f>
        <v>شهرداريها</v>
      </c>
      <c r="AB563" s="1" t="str">
        <f>"96/06/29"</f>
        <v>96/06/29</v>
      </c>
      <c r="AC563" s="1" t="str">
        <f>"خراسان رضوي"</f>
        <v>خراسان رضوي</v>
      </c>
      <c r="AD563" s="1" t="str">
        <f>"96/07/03"</f>
        <v>96/07/03</v>
      </c>
      <c r="AE563" s="1" t="str">
        <f>"اختتام"</f>
        <v>اختتام</v>
      </c>
      <c r="AF563" s="1" t="str">
        <f>""</f>
        <v/>
      </c>
      <c r="AG563" s="1" t="str">
        <f>""</f>
        <v/>
      </c>
      <c r="AH563" s="1" t="str">
        <f>""</f>
        <v/>
      </c>
      <c r="AI563" s="1" t="str">
        <f>""</f>
        <v/>
      </c>
      <c r="AJ563" s="1" t="str">
        <f>""</f>
        <v/>
      </c>
      <c r="AK563" s="1" t="str">
        <f>""</f>
        <v/>
      </c>
    </row>
    <row r="564" spans="1:37">
      <c r="A564" s="1">
        <v>63321</v>
      </c>
      <c r="B564" s="1">
        <v>962000281</v>
      </c>
      <c r="C564" s="1" t="str">
        <f>"تخليه خراسان رضويجاده آرامگاه فردوسي بعدازروستاي اسفنديان شركت آسفالت ملاوي"</f>
        <v>تخليه خراسان رضويجاده آرامگاه فردوسي بعدازروستاي اسفنديان شركت آسفالت ملاوي</v>
      </c>
      <c r="D564" s="1">
        <v>9113</v>
      </c>
      <c r="E564" s="1">
        <v>62517</v>
      </c>
      <c r="F564" s="1">
        <v>96</v>
      </c>
      <c r="G564" s="1">
        <v>804</v>
      </c>
      <c r="H564" s="1" t="str">
        <f>"96/09/13"</f>
        <v>96/09/13</v>
      </c>
      <c r="I564" s="1" t="str">
        <f>"كيلوگرم"</f>
        <v>كيلوگرم</v>
      </c>
      <c r="J564" s="1" t="str">
        <f>"0000000076"</f>
        <v>0000000076</v>
      </c>
      <c r="K564" s="1" t="str">
        <f>"قير 60/70 - فله"</f>
        <v>قير 60/70 - فله</v>
      </c>
      <c r="L564" s="1">
        <v>100</v>
      </c>
      <c r="M564" s="1" t="str">
        <f>"مخازن قير اصفهان"</f>
        <v>مخازن قير اصفهان</v>
      </c>
      <c r="N564" s="1">
        <v>11445</v>
      </c>
      <c r="O564" s="1">
        <v>50037481</v>
      </c>
      <c r="P564" s="1" t="str">
        <f>"  شهرداري شانديز"</f>
        <v xml:space="preserve">  شهرداري شانديز</v>
      </c>
      <c r="Q564" s="1">
        <v>20</v>
      </c>
      <c r="R564" s="1" t="str">
        <f>"فروش داخلي - سازمان شهرداري ها و دهياري هاي كشور"</f>
        <v>فروش داخلي - سازمان شهرداري ها و دهياري هاي كشور</v>
      </c>
      <c r="S564" s="1" t="str">
        <f>"قرارداد فروش"</f>
        <v>قرارداد فروش</v>
      </c>
      <c r="T564" s="1" t="str">
        <f>"ندارد"</f>
        <v>ندارد</v>
      </c>
      <c r="U564" s="1" t="str">
        <f>"تعاوني جم گستر (1001 ج 89)"</f>
        <v>تعاوني جم گستر (1001 ج 89)</v>
      </c>
      <c r="V564" s="1">
        <v>962000281</v>
      </c>
      <c r="W564" s="1">
        <v>962000281</v>
      </c>
      <c r="X564" s="1" t="str">
        <f>"1396514467"</f>
        <v>1396514467</v>
      </c>
      <c r="Y564" s="1" t="str">
        <f>"96/09/12"</f>
        <v>96/09/12</v>
      </c>
      <c r="Z564" s="1" t="str">
        <f>"37036مرحله دوم"</f>
        <v>37036مرحله دوم</v>
      </c>
      <c r="AA564" s="1" t="str">
        <f>"شهرداريها"</f>
        <v>شهرداريها</v>
      </c>
      <c r="AB564" s="1" t="str">
        <f>"96/09/04"</f>
        <v>96/09/04</v>
      </c>
      <c r="AC564" s="1" t="str">
        <f>"خراسان رضوي"</f>
        <v>خراسان رضوي</v>
      </c>
      <c r="AD564" s="1" t="str">
        <f>"96/07/03"</f>
        <v>96/07/03</v>
      </c>
      <c r="AE564" s="1" t="str">
        <f>"اختتام"</f>
        <v>اختتام</v>
      </c>
      <c r="AF564" s="1" t="str">
        <f>""</f>
        <v/>
      </c>
      <c r="AG564" s="1" t="str">
        <f>""</f>
        <v/>
      </c>
      <c r="AH564" s="1" t="str">
        <f>""</f>
        <v/>
      </c>
      <c r="AI564" s="1" t="str">
        <f>""</f>
        <v/>
      </c>
      <c r="AJ564" s="1" t="str">
        <f>""</f>
        <v/>
      </c>
      <c r="AK564" s="1" t="str">
        <f>""</f>
        <v/>
      </c>
    </row>
    <row r="565" spans="1:37">
      <c r="A565" s="1">
        <v>64878</v>
      </c>
      <c r="B565" s="1">
        <v>962000325</v>
      </c>
      <c r="C565" s="1" t="str">
        <f>"تخليه خراسان رضوي مشهدجاده اسفنديان كارخانه آسفالت مجتمع توليدي عرش سازه"</f>
        <v>تخليه خراسان رضوي مشهدجاده اسفنديان كارخانه آسفالت مجتمع توليدي عرش سازه</v>
      </c>
      <c r="D565" s="1">
        <v>9113</v>
      </c>
      <c r="E565" s="1">
        <v>61243</v>
      </c>
      <c r="F565" s="1">
        <v>96</v>
      </c>
      <c r="G565" s="1">
        <v>3635</v>
      </c>
      <c r="H565" s="1" t="str">
        <f>"96/09/13"</f>
        <v>96/09/13</v>
      </c>
      <c r="I565" s="1" t="str">
        <f>"كيلوگرم"</f>
        <v>كيلوگرم</v>
      </c>
      <c r="J565" s="1" t="str">
        <f>"0000000076"</f>
        <v>0000000076</v>
      </c>
      <c r="K565" s="1" t="str">
        <f>"قير 60/70 - فله"</f>
        <v>قير 60/70 - فله</v>
      </c>
      <c r="L565" s="1">
        <v>100</v>
      </c>
      <c r="M565" s="1" t="str">
        <f>"مخازن قير اصفهان"</f>
        <v>مخازن قير اصفهان</v>
      </c>
      <c r="N565" s="1">
        <v>11450</v>
      </c>
      <c r="O565" s="1">
        <v>50037532</v>
      </c>
      <c r="P565" s="1" t="str">
        <f>"  شهرداري كلات نادر"</f>
        <v xml:space="preserve">  شهرداري كلات نادر</v>
      </c>
      <c r="Q565" s="1">
        <v>20</v>
      </c>
      <c r="R565" s="1" t="str">
        <f>"فروش داخلي - سازمان شهرداري ها و دهياري هاي كشور"</f>
        <v>فروش داخلي - سازمان شهرداري ها و دهياري هاي كشور</v>
      </c>
      <c r="S565" s="1" t="str">
        <f>"قرارداد فروش"</f>
        <v>قرارداد فروش</v>
      </c>
      <c r="T565" s="1" t="str">
        <f>"ندارد"</f>
        <v>ندارد</v>
      </c>
      <c r="U565" s="1" t="str">
        <f>"تعاوني جم گستر (1001 ج 89)"</f>
        <v>تعاوني جم گستر (1001 ج 89)</v>
      </c>
      <c r="V565" s="1">
        <v>962000325</v>
      </c>
      <c r="W565" s="1">
        <v>962000325</v>
      </c>
      <c r="X565" s="1" t="str">
        <f>"1396514467"</f>
        <v>1396514467</v>
      </c>
      <c r="Y565" s="1" t="str">
        <f>"96/09/12"</f>
        <v>96/09/12</v>
      </c>
      <c r="Z565" s="1" t="str">
        <f>"37053مرحله دوم"</f>
        <v>37053مرحله دوم</v>
      </c>
      <c r="AA565" s="1" t="str">
        <f>"شهرداريها"</f>
        <v>شهرداريها</v>
      </c>
      <c r="AB565" s="1" t="str">
        <f>"96/09/04"</f>
        <v>96/09/04</v>
      </c>
      <c r="AC565" s="1" t="str">
        <f>"خراسان رضوي"</f>
        <v>خراسان رضوي</v>
      </c>
      <c r="AD565" s="1" t="str">
        <f>"96/07/03"</f>
        <v>96/07/03</v>
      </c>
      <c r="AE565" s="1" t="str">
        <f>"اختتام"</f>
        <v>اختتام</v>
      </c>
      <c r="AF565" s="1" t="str">
        <f>""</f>
        <v/>
      </c>
      <c r="AG565" s="1" t="str">
        <f>""</f>
        <v/>
      </c>
      <c r="AH565" s="1" t="str">
        <f>""</f>
        <v/>
      </c>
      <c r="AI565" s="1" t="str">
        <f>""</f>
        <v/>
      </c>
      <c r="AJ565" s="1" t="str">
        <f>""</f>
        <v/>
      </c>
      <c r="AK565" s="1" t="str">
        <f>""</f>
        <v/>
      </c>
    </row>
    <row r="566" spans="1:37">
      <c r="A566" s="1">
        <v>134377</v>
      </c>
      <c r="B566" s="1">
        <v>962000190</v>
      </c>
      <c r="C566" s="1" t="str">
        <f>"تخليه خراسان رضوي كيلومتر5جاده تايبادمشهدجاده كمربندي كارخانه آسفالت شهرداري تايباد"</f>
        <v>تخليه خراسان رضوي كيلومتر5جاده تايبادمشهدجاده كمربندي كارخانه آسفالت شهرداري تايباد</v>
      </c>
      <c r="D566" s="1">
        <v>9113</v>
      </c>
      <c r="E566" s="1">
        <v>134377</v>
      </c>
      <c r="F566" s="1">
        <v>96</v>
      </c>
      <c r="G566" s="1">
        <v>0</v>
      </c>
      <c r="H566" s="1" t="str">
        <f>"96/07/03"</f>
        <v>96/07/03</v>
      </c>
      <c r="I566" s="1" t="str">
        <f>"كيلوگرم"</f>
        <v>كيلوگرم</v>
      </c>
      <c r="J566" s="1" t="str">
        <f>"0000000076"</f>
        <v>0000000076</v>
      </c>
      <c r="K566" s="1" t="str">
        <f>"قير 60/70 - فله"</f>
        <v>قير 60/70 - فله</v>
      </c>
      <c r="L566" s="1">
        <v>100</v>
      </c>
      <c r="M566" s="1" t="str">
        <f>"مخازن قير اصفهان"</f>
        <v>مخازن قير اصفهان</v>
      </c>
      <c r="N566" s="1">
        <v>11453</v>
      </c>
      <c r="O566" s="1">
        <v>50036396</v>
      </c>
      <c r="P566" s="1" t="str">
        <f>"  شهرداري مشهدريزه"</f>
        <v xml:space="preserve">  شهرداري مشهدريزه</v>
      </c>
      <c r="Q566" s="1">
        <v>20</v>
      </c>
      <c r="R566" s="1" t="str">
        <f>"فروش داخلي - سازمان شهرداري ها و دهياري هاي كشور"</f>
        <v>فروش داخلي - سازمان شهرداري ها و دهياري هاي كشور</v>
      </c>
      <c r="S566" s="1" t="str">
        <f>"قرارداد فروش"</f>
        <v>قرارداد فروش</v>
      </c>
      <c r="T566" s="1" t="str">
        <f>"ندارد"</f>
        <v>ندارد</v>
      </c>
      <c r="U566" s="1" t="str">
        <f>"تعاوني جم گستر (1001 ج 89)"</f>
        <v>تعاوني جم گستر (1001 ج 89)</v>
      </c>
      <c r="V566" s="1">
        <v>962000190</v>
      </c>
      <c r="W566" s="1">
        <v>962000190</v>
      </c>
      <c r="X566" s="1" t="str">
        <f>"1396514467"</f>
        <v>1396514467</v>
      </c>
      <c r="Y566" s="1" t="str">
        <f>"96/07/03"</f>
        <v>96/07/03</v>
      </c>
      <c r="Z566" s="1" t="str">
        <f>"26650مرحله اول"</f>
        <v>26650مرحله اول</v>
      </c>
      <c r="AA566" s="1" t="str">
        <f>"شهرداريها"</f>
        <v>شهرداريها</v>
      </c>
      <c r="AB566" s="1" t="str">
        <f>"96/06/29"</f>
        <v>96/06/29</v>
      </c>
      <c r="AC566" s="1" t="str">
        <f>"خراسان رضوي"</f>
        <v>خراسان رضوي</v>
      </c>
      <c r="AD566" s="1" t="str">
        <f>"96/07/03"</f>
        <v>96/07/03</v>
      </c>
      <c r="AE566" s="1" t="str">
        <f>"اختتام"</f>
        <v>اختتام</v>
      </c>
      <c r="AF566" s="1" t="str">
        <f>""</f>
        <v/>
      </c>
      <c r="AG566" s="1" t="str">
        <f>""</f>
        <v/>
      </c>
      <c r="AH566" s="1" t="str">
        <f>""</f>
        <v/>
      </c>
      <c r="AI566" s="1" t="str">
        <f>""</f>
        <v/>
      </c>
      <c r="AJ566" s="1" t="str">
        <f>""</f>
        <v/>
      </c>
      <c r="AK566" s="1" t="str">
        <f>""</f>
        <v/>
      </c>
    </row>
    <row r="567" spans="1:37">
      <c r="A567" s="1">
        <v>105000</v>
      </c>
      <c r="B567" s="1">
        <v>966200300</v>
      </c>
      <c r="C567" s="1" t="str">
        <f>"تخليه - خراسان رضوي-تربت حيدريه-جاده صنوبر-کارخانه 120تني شرکت جاسک"</f>
        <v>تخليه - خراسان رضوي-تربت حيدريه-جاده صنوبر-کارخانه 120تني شرکت جاسک</v>
      </c>
      <c r="D567" s="1">
        <v>9113</v>
      </c>
      <c r="E567" s="1">
        <v>102940</v>
      </c>
      <c r="F567" s="1">
        <v>96</v>
      </c>
      <c r="G567" s="1">
        <v>2060</v>
      </c>
      <c r="H567" s="1" t="str">
        <f>"96/07/15"</f>
        <v>96/07/15</v>
      </c>
      <c r="I567" s="1" t="str">
        <f>"كيلوگرم"</f>
        <v>كيلوگرم</v>
      </c>
      <c r="J567" s="1" t="str">
        <f>"0000000076"</f>
        <v>0000000076</v>
      </c>
      <c r="K567" s="1" t="str">
        <f>"قير 60/70 - فله"</f>
        <v>قير 60/70 - فله</v>
      </c>
      <c r="L567" s="1">
        <v>100</v>
      </c>
      <c r="M567" s="1" t="str">
        <f>"مخازن قير اصفهان"</f>
        <v>مخازن قير اصفهان</v>
      </c>
      <c r="N567" s="1">
        <v>11471</v>
      </c>
      <c r="O567" s="1">
        <v>50036568</v>
      </c>
      <c r="P567" s="1" t="str">
        <f>"  هرم راه بار ثاوا"</f>
        <v xml:space="preserve">  هرم راه بار ثاوا</v>
      </c>
      <c r="Q567" s="1">
        <v>62</v>
      </c>
      <c r="R567" s="1" t="str">
        <f>"فروش داخلي - سازمان بنيادمسكن انقلاب اسلامي"</f>
        <v>فروش داخلي - سازمان بنيادمسكن انقلاب اسلامي</v>
      </c>
      <c r="S567" s="1" t="str">
        <f>"قرارداد فروش"</f>
        <v>قرارداد فروش</v>
      </c>
      <c r="T567" s="1" t="str">
        <f>"ندارد"</f>
        <v>ندارد</v>
      </c>
      <c r="U567" s="1" t="str">
        <f>"حسيني سيدجواد(1841076)"</f>
        <v>حسيني سيدجواد(1841076)</v>
      </c>
      <c r="V567" s="1">
        <v>966200300</v>
      </c>
      <c r="W567" s="1">
        <v>966200300</v>
      </c>
      <c r="X567" s="1" t="str">
        <f>"1396516997"</f>
        <v>1396516997</v>
      </c>
      <c r="Y567" s="1" t="str">
        <f>"96/07/15"</f>
        <v>96/07/15</v>
      </c>
      <c r="Z567" s="1" t="str">
        <f>"30883/د"</f>
        <v>30883/د</v>
      </c>
      <c r="AA567" s="1" t="str">
        <f>"بنيادمسكن انقلاب اسلامي"</f>
        <v>بنيادمسكن انقلاب اسلامي</v>
      </c>
      <c r="AB567" s="1" t="str">
        <f>"96/07/12"</f>
        <v>96/07/12</v>
      </c>
      <c r="AC567" s="1" t="str">
        <f>"خراسان رضوي"</f>
        <v>خراسان رضوي</v>
      </c>
      <c r="AD567" s="1" t="str">
        <f>"96/07/15"</f>
        <v>96/07/15</v>
      </c>
      <c r="AE567" s="1" t="str">
        <f>"اختتام"</f>
        <v>اختتام</v>
      </c>
      <c r="AF567" s="1" t="str">
        <f>""</f>
        <v/>
      </c>
      <c r="AG567" s="1" t="str">
        <f>""</f>
        <v/>
      </c>
      <c r="AH567" s="1" t="str">
        <f>""</f>
        <v/>
      </c>
      <c r="AI567" s="1" t="str">
        <f>""</f>
        <v/>
      </c>
      <c r="AJ567" s="1" t="str">
        <f>""</f>
        <v/>
      </c>
      <c r="AK567" s="1" t="str">
        <f>""</f>
        <v/>
      </c>
    </row>
    <row r="568" spans="1:37">
      <c r="A568" s="1">
        <v>67000</v>
      </c>
      <c r="B568" s="1">
        <v>966200527</v>
      </c>
      <c r="C568" s="1" t="str">
        <f>"تخليه خراسان رضوي كيلومتر13جاده فيروزه -قوچان"</f>
        <v>تخليه خراسان رضوي كيلومتر13جاده فيروزه -قوچان</v>
      </c>
      <c r="D568" s="1">
        <v>12850</v>
      </c>
      <c r="E568" s="1">
        <v>65700</v>
      </c>
      <c r="F568" s="1">
        <v>96</v>
      </c>
      <c r="G568" s="1">
        <v>1300</v>
      </c>
      <c r="H568" s="1" t="str">
        <f>"96/10/23"</f>
        <v>96/10/23</v>
      </c>
      <c r="I568" s="1" t="str">
        <f>"كيلوگرم"</f>
        <v>كيلوگرم</v>
      </c>
      <c r="J568" s="1" t="str">
        <f>"0000000076"</f>
        <v>0000000076</v>
      </c>
      <c r="K568" s="1" t="str">
        <f>"قير 60/70 - فله"</f>
        <v>قير 60/70 - فله</v>
      </c>
      <c r="L568" s="1">
        <v>100</v>
      </c>
      <c r="M568" s="1" t="str">
        <f>"مخازن قير اصفهان"</f>
        <v>مخازن قير اصفهان</v>
      </c>
      <c r="N568" s="1">
        <v>11473</v>
      </c>
      <c r="O568" s="1">
        <v>50038151</v>
      </c>
      <c r="P568" s="1" t="str">
        <f>"  دل حفره نيشابور"</f>
        <v xml:space="preserve">  دل حفره نيشابور</v>
      </c>
      <c r="Q568" s="1">
        <v>62</v>
      </c>
      <c r="R568" s="1" t="str">
        <f>"فروش داخلي - سازمان بنيادمسكن انقلاب اسلامي"</f>
        <v>فروش داخلي - سازمان بنيادمسكن انقلاب اسلامي</v>
      </c>
      <c r="S568" s="1" t="str">
        <f>"قرارداد فروش"</f>
        <v>قرارداد فروش</v>
      </c>
      <c r="T568" s="1" t="str">
        <f>"ندارد"</f>
        <v>ندارد</v>
      </c>
      <c r="U568" s="1" t="str">
        <f>"حسيني سيدجواد(1841076)"</f>
        <v>حسيني سيدجواد(1841076)</v>
      </c>
      <c r="V568" s="1">
        <v>966200527</v>
      </c>
      <c r="W568" s="1">
        <v>966200527</v>
      </c>
      <c r="X568" s="1" t="str">
        <f>"1396539696"</f>
        <v>1396539696</v>
      </c>
      <c r="Y568" s="1" t="str">
        <f>"96/10/23"</f>
        <v>96/10/23</v>
      </c>
      <c r="Z568" s="1" t="str">
        <f>"47045/د"</f>
        <v>47045/د</v>
      </c>
      <c r="AA568" s="1" t="str">
        <f>"بنيادمسكن انقلاب اسلامي"</f>
        <v>بنيادمسكن انقلاب اسلامي</v>
      </c>
      <c r="AB568" s="1" t="str">
        <f>"96/10/23"</f>
        <v>96/10/23</v>
      </c>
      <c r="AC568" s="1" t="str">
        <f>"خراسان رضوي"</f>
        <v>خراسان رضوي</v>
      </c>
      <c r="AD568" s="1" t="str">
        <f>"96/10/23"</f>
        <v>96/10/23</v>
      </c>
      <c r="AE568" s="1" t="str">
        <f>"اختتام"</f>
        <v>اختتام</v>
      </c>
      <c r="AF568" s="1" t="str">
        <f>""</f>
        <v/>
      </c>
      <c r="AG568" s="1" t="str">
        <f>""</f>
        <v/>
      </c>
      <c r="AH568" s="1" t="str">
        <f>""</f>
        <v/>
      </c>
      <c r="AI568" s="1" t="str">
        <f>""</f>
        <v/>
      </c>
      <c r="AJ568" s="1" t="str">
        <f>""</f>
        <v/>
      </c>
      <c r="AK568" s="1" t="str">
        <f>""</f>
        <v/>
      </c>
    </row>
    <row r="569" spans="1:37">
      <c r="A569" s="1">
        <v>196000</v>
      </c>
      <c r="B569" s="1">
        <v>966200395</v>
      </c>
      <c r="C569" s="1" t="str">
        <f>"تخليه - لرستان-دلفان-جاده 24 کيلومتر-بابا بزرگ پايين تر تنگ پري"</f>
        <v>تخليه - لرستان-دلفان-جاده 24 کيلومتر-بابا بزرگ پايين تر تنگ پري</v>
      </c>
      <c r="D569" s="1">
        <v>12820</v>
      </c>
      <c r="E569" s="1">
        <v>195160</v>
      </c>
      <c r="F569" s="1">
        <v>96</v>
      </c>
      <c r="G569" s="1">
        <v>840</v>
      </c>
      <c r="H569" s="1" t="str">
        <f>"96/09/08"</f>
        <v>96/09/08</v>
      </c>
      <c r="I569" s="1" t="str">
        <f>"كيلوگرم"</f>
        <v>كيلوگرم</v>
      </c>
      <c r="J569" s="1" t="str">
        <f>"0000000076"</f>
        <v>0000000076</v>
      </c>
      <c r="K569" s="1" t="str">
        <f>"قير 60/70 - فله"</f>
        <v>قير 60/70 - فله</v>
      </c>
      <c r="L569" s="1">
        <v>100</v>
      </c>
      <c r="M569" s="1" t="str">
        <f>"مخازن قير اصفهان"</f>
        <v>مخازن قير اصفهان</v>
      </c>
      <c r="N569" s="1">
        <v>11475</v>
      </c>
      <c r="O569" s="1">
        <v>50037349</v>
      </c>
      <c r="P569" s="1" t="str">
        <f>"  خاتم سازه جم"</f>
        <v xml:space="preserve">  خاتم سازه جم</v>
      </c>
      <c r="Q569" s="1">
        <v>62</v>
      </c>
      <c r="R569" s="1" t="str">
        <f>"فروش داخلي - سازمان بنيادمسكن انقلاب اسلامي"</f>
        <v>فروش داخلي - سازمان بنيادمسكن انقلاب اسلامي</v>
      </c>
      <c r="S569" s="1" t="str">
        <f>"قرارداد فروش"</f>
        <v>قرارداد فروش</v>
      </c>
      <c r="T569" s="1" t="str">
        <f>"ندارد"</f>
        <v>ندارد</v>
      </c>
      <c r="U569" s="1" t="str">
        <f>"ريسماني حسن(1007ج89)"</f>
        <v>ريسماني حسن(1007ج89)</v>
      </c>
      <c r="V569" s="1">
        <v>966200395</v>
      </c>
      <c r="W569" s="1">
        <v>966200395</v>
      </c>
      <c r="X569" s="1" t="str">
        <f>"1396529172"</f>
        <v>1396529172</v>
      </c>
      <c r="Y569" s="1" t="str">
        <f>"96/09/08"</f>
        <v>96/09/08</v>
      </c>
      <c r="Z569" s="1" t="str">
        <f>"37706/د"</f>
        <v>37706/د</v>
      </c>
      <c r="AA569" s="1" t="str">
        <f>"بنيادمسكن انقلاب اسلامي"</f>
        <v>بنيادمسكن انقلاب اسلامي</v>
      </c>
      <c r="AB569" s="1" t="str">
        <f>"96/08/22"</f>
        <v>96/08/22</v>
      </c>
      <c r="AC569" s="1" t="str">
        <f>"لرستان"</f>
        <v>لرستان</v>
      </c>
      <c r="AD569" s="1" t="str">
        <f>"96/09/08"</f>
        <v>96/09/08</v>
      </c>
      <c r="AE569" s="1" t="str">
        <f>"اختتام"</f>
        <v>اختتام</v>
      </c>
      <c r="AF569" s="1" t="str">
        <f>""</f>
        <v/>
      </c>
      <c r="AG569" s="1" t="str">
        <f>""</f>
        <v/>
      </c>
      <c r="AH569" s="1" t="str">
        <f>""</f>
        <v/>
      </c>
      <c r="AI569" s="1" t="str">
        <f>""</f>
        <v/>
      </c>
      <c r="AJ569" s="1" t="str">
        <f>""</f>
        <v/>
      </c>
      <c r="AK569" s="1" t="str">
        <f>""</f>
        <v/>
      </c>
    </row>
    <row r="570" spans="1:37">
      <c r="A570" s="1">
        <v>379000</v>
      </c>
      <c r="B570" s="1">
        <v>966200397</v>
      </c>
      <c r="C570" s="1" t="str">
        <f>"تخليه-لرستان-فيروزآباد-کارخانه آسفالت زاگرس راه نصر"</f>
        <v>تخليه-لرستان-فيروزآباد-کارخانه آسفالت زاگرس راه نصر</v>
      </c>
      <c r="D570" s="1">
        <v>12820</v>
      </c>
      <c r="E570" s="1">
        <v>375960</v>
      </c>
      <c r="F570" s="1">
        <v>96</v>
      </c>
      <c r="G570" s="1">
        <v>3040</v>
      </c>
      <c r="H570" s="1" t="str">
        <f>"96/09/08"</f>
        <v>96/09/08</v>
      </c>
      <c r="I570" s="1" t="str">
        <f>"كيلوگرم"</f>
        <v>كيلوگرم</v>
      </c>
      <c r="J570" s="1" t="str">
        <f>"0000000076"</f>
        <v>0000000076</v>
      </c>
      <c r="K570" s="1" t="str">
        <f>"قير 60/70 - فله"</f>
        <v>قير 60/70 - فله</v>
      </c>
      <c r="L570" s="1">
        <v>100</v>
      </c>
      <c r="M570" s="1" t="str">
        <f>"مخازن قير اصفهان"</f>
        <v>مخازن قير اصفهان</v>
      </c>
      <c r="N570" s="1">
        <v>11482</v>
      </c>
      <c r="O570" s="1">
        <v>50037361</v>
      </c>
      <c r="P570" s="1" t="str">
        <f>"  عمران گستران کاسيت"</f>
        <v xml:space="preserve">  عمران گستران کاسيت</v>
      </c>
      <c r="Q570" s="1">
        <v>62</v>
      </c>
      <c r="R570" s="1" t="str">
        <f>"فروش داخلي - سازمان بنيادمسكن انقلاب اسلامي"</f>
        <v>فروش داخلي - سازمان بنيادمسكن انقلاب اسلامي</v>
      </c>
      <c r="S570" s="1" t="str">
        <f>"قرارداد فروش"</f>
        <v>قرارداد فروش</v>
      </c>
      <c r="T570" s="1" t="str">
        <f>"ندارد"</f>
        <v>ندارد</v>
      </c>
      <c r="U570" s="1" t="str">
        <f>"عظيمي محمد(2842015)"</f>
        <v>عظيمي محمد(2842015)</v>
      </c>
      <c r="V570" s="1">
        <v>966200397</v>
      </c>
      <c r="W570" s="1">
        <v>966200397</v>
      </c>
      <c r="X570" s="1" t="str">
        <f>"1396529172"</f>
        <v>1396529172</v>
      </c>
      <c r="Y570" s="1" t="str">
        <f>"96/09/08"</f>
        <v>96/09/08</v>
      </c>
      <c r="Z570" s="1" t="str">
        <f>"38625/د"</f>
        <v>38625/د</v>
      </c>
      <c r="AA570" s="1" t="str">
        <f>"بنيادمسكن انقلاب اسلامي"</f>
        <v>بنيادمسكن انقلاب اسلامي</v>
      </c>
      <c r="AB570" s="1" t="str">
        <f>"96/08/30"</f>
        <v>96/08/30</v>
      </c>
      <c r="AC570" s="1" t="str">
        <f>"لرستان"</f>
        <v>لرستان</v>
      </c>
      <c r="AD570" s="1" t="str">
        <f>"96/09/08"</f>
        <v>96/09/08</v>
      </c>
      <c r="AE570" s="1" t="str">
        <f>"اختتام"</f>
        <v>اختتام</v>
      </c>
      <c r="AF570" s="1" t="str">
        <f>""</f>
        <v/>
      </c>
      <c r="AG570" s="1" t="str">
        <f>""</f>
        <v/>
      </c>
      <c r="AH570" s="1" t="str">
        <f>""</f>
        <v/>
      </c>
      <c r="AI570" s="1" t="str">
        <f>""</f>
        <v/>
      </c>
      <c r="AJ570" s="1" t="str">
        <f>""</f>
        <v/>
      </c>
      <c r="AK570" s="1" t="str">
        <f>""</f>
        <v/>
      </c>
    </row>
    <row r="571" spans="1:37">
      <c r="A571" s="1">
        <v>66736</v>
      </c>
      <c r="B571" s="1">
        <v>962000282</v>
      </c>
      <c r="C571" s="1" t="str">
        <f>"تخليه - خراسان رضوي - جاده آرامگاه فردوسي-بعداز روستاي اسفديان سمت چپ-شرکت آسفالت ملاوي"</f>
        <v>تخليه - خراسان رضوي - جاده آرامگاه فردوسي-بعداز روستاي اسفديان سمت چپ-شرکت آسفالت ملاوي</v>
      </c>
      <c r="D571" s="1">
        <v>9113</v>
      </c>
      <c r="E571" s="1">
        <v>65360</v>
      </c>
      <c r="F571" s="1">
        <v>96</v>
      </c>
      <c r="G571" s="1">
        <v>1376</v>
      </c>
      <c r="H571" s="1" t="str">
        <f>"96/09/13"</f>
        <v>96/09/13</v>
      </c>
      <c r="I571" s="1" t="str">
        <f>"كيلوگرم"</f>
        <v>كيلوگرم</v>
      </c>
      <c r="J571" s="1" t="str">
        <f>"0000000076"</f>
        <v>0000000076</v>
      </c>
      <c r="K571" s="1" t="str">
        <f>"قير 60/70 - فله"</f>
        <v>قير 60/70 - فله</v>
      </c>
      <c r="L571" s="1">
        <v>100</v>
      </c>
      <c r="M571" s="1" t="str">
        <f>"مخازن قير اصفهان"</f>
        <v>مخازن قير اصفهان</v>
      </c>
      <c r="N571" s="1">
        <v>11501</v>
      </c>
      <c r="O571" s="1">
        <v>50037482</v>
      </c>
      <c r="P571" s="1" t="str">
        <f>"  شهرداري طرقبه"</f>
        <v xml:space="preserve">  شهرداري طرقبه</v>
      </c>
      <c r="Q571" s="1">
        <v>20</v>
      </c>
      <c r="R571" s="1" t="str">
        <f>"فروش داخلي - سازمان شهرداري ها و دهياري هاي كشور"</f>
        <v>فروش داخلي - سازمان شهرداري ها و دهياري هاي كشور</v>
      </c>
      <c r="S571" s="1" t="str">
        <f>"قرارداد فروش"</f>
        <v>قرارداد فروش</v>
      </c>
      <c r="T571" s="1" t="str">
        <f>"ندارد"</f>
        <v>ندارد</v>
      </c>
      <c r="U571" s="1" t="str">
        <f>"تعاوني جم گستر (1001 ج 89)"</f>
        <v>تعاوني جم گستر (1001 ج 89)</v>
      </c>
      <c r="V571" s="1">
        <v>962000282</v>
      </c>
      <c r="W571" s="1">
        <v>962000282</v>
      </c>
      <c r="X571" s="1" t="str">
        <f>"1396514467"</f>
        <v>1396514467</v>
      </c>
      <c r="Y571" s="1" t="str">
        <f>"96/09/12"</f>
        <v>96/09/12</v>
      </c>
      <c r="Z571" s="1" t="str">
        <f>"37041مرحله دوم"</f>
        <v>37041مرحله دوم</v>
      </c>
      <c r="AA571" s="1" t="str">
        <f>"شهرداريها"</f>
        <v>شهرداريها</v>
      </c>
      <c r="AB571" s="1" t="str">
        <f>"96/09/04"</f>
        <v>96/09/04</v>
      </c>
      <c r="AC571" s="1" t="str">
        <f>"خراسان رضوي"</f>
        <v>خراسان رضوي</v>
      </c>
      <c r="AD571" s="1" t="str">
        <f>"96/07/03"</f>
        <v>96/07/03</v>
      </c>
      <c r="AE571" s="1" t="str">
        <f>"اختتام"</f>
        <v>اختتام</v>
      </c>
      <c r="AF571" s="1" t="str">
        <f>""</f>
        <v/>
      </c>
      <c r="AG571" s="1" t="str">
        <f>""</f>
        <v/>
      </c>
      <c r="AH571" s="1" t="str">
        <f>""</f>
        <v/>
      </c>
      <c r="AI571" s="1" t="str">
        <f>""</f>
        <v/>
      </c>
      <c r="AJ571" s="1" t="str">
        <f>""</f>
        <v/>
      </c>
      <c r="AK571" s="1" t="str">
        <f>""</f>
        <v/>
      </c>
    </row>
    <row r="572" spans="1:37">
      <c r="A572" s="1">
        <v>58651</v>
      </c>
      <c r="B572" s="1">
        <v>962000292</v>
      </c>
      <c r="C572" s="1" t="str">
        <f>"تخليه خراسان رضوي شهرجغتاي كيلومتر5محورجغتاي به سبزواركارخانه آسفالت شهرداري"</f>
        <v>تخليه خراسان رضوي شهرجغتاي كيلومتر5محورجغتاي به سبزواركارخانه آسفالت شهرداري</v>
      </c>
      <c r="D572" s="1">
        <v>9113</v>
      </c>
      <c r="E572" s="1">
        <v>58320</v>
      </c>
      <c r="F572" s="1">
        <v>96</v>
      </c>
      <c r="G572" s="1">
        <v>331</v>
      </c>
      <c r="H572" s="1" t="str">
        <f>"96/09/13"</f>
        <v>96/09/13</v>
      </c>
      <c r="I572" s="1" t="str">
        <f>"كيلوگرم"</f>
        <v>كيلوگرم</v>
      </c>
      <c r="J572" s="1" t="str">
        <f>"0000000076"</f>
        <v>0000000076</v>
      </c>
      <c r="K572" s="1" t="str">
        <f>"قير 60/70 - فله"</f>
        <v>قير 60/70 - فله</v>
      </c>
      <c r="L572" s="1">
        <v>100</v>
      </c>
      <c r="M572" s="1" t="str">
        <f>"مخازن قير اصفهان"</f>
        <v>مخازن قير اصفهان</v>
      </c>
      <c r="N572" s="1">
        <v>11503</v>
      </c>
      <c r="O572" s="1">
        <v>50037493</v>
      </c>
      <c r="P572" s="1" t="str">
        <f>"  شهرداري جغتاي"</f>
        <v xml:space="preserve">  شهرداري جغتاي</v>
      </c>
      <c r="Q572" s="1">
        <v>20</v>
      </c>
      <c r="R572" s="1" t="str">
        <f>"فروش داخلي - سازمان شهرداري ها و دهياري هاي كشور"</f>
        <v>فروش داخلي - سازمان شهرداري ها و دهياري هاي كشور</v>
      </c>
      <c r="S572" s="1" t="str">
        <f>"قرارداد فروش"</f>
        <v>قرارداد فروش</v>
      </c>
      <c r="T572" s="1" t="str">
        <f>"ندارد"</f>
        <v>ندارد</v>
      </c>
      <c r="U572" s="1" t="str">
        <f>"تعاوني جم گستر (1001 ج 89)"</f>
        <v>تعاوني جم گستر (1001 ج 89)</v>
      </c>
      <c r="V572" s="1">
        <v>962000292</v>
      </c>
      <c r="W572" s="1">
        <v>962000292</v>
      </c>
      <c r="X572" s="1" t="str">
        <f>"1396514467"</f>
        <v>1396514467</v>
      </c>
      <c r="Y572" s="1" t="str">
        <f>"96/09/12"</f>
        <v>96/09/12</v>
      </c>
      <c r="Z572" s="1" t="str">
        <f>"37010مرحله دوم"</f>
        <v>37010مرحله دوم</v>
      </c>
      <c r="AA572" s="1" t="str">
        <f>"شهرداريها"</f>
        <v>شهرداريها</v>
      </c>
      <c r="AB572" s="1" t="str">
        <f>"96/09/04"</f>
        <v>96/09/04</v>
      </c>
      <c r="AC572" s="1" t="str">
        <f>"خراسان رضوي"</f>
        <v>خراسان رضوي</v>
      </c>
      <c r="AD572" s="1" t="str">
        <f>"96/07/03"</f>
        <v>96/07/03</v>
      </c>
      <c r="AE572" s="1" t="str">
        <f>"اختتام"</f>
        <v>اختتام</v>
      </c>
      <c r="AF572" s="1" t="str">
        <f>""</f>
        <v/>
      </c>
      <c r="AG572" s="1" t="str">
        <f>""</f>
        <v/>
      </c>
      <c r="AH572" s="1" t="str">
        <f>""</f>
        <v/>
      </c>
      <c r="AI572" s="1" t="str">
        <f>""</f>
        <v/>
      </c>
      <c r="AJ572" s="1" t="str">
        <f>""</f>
        <v/>
      </c>
      <c r="AK572" s="1" t="str">
        <f>""</f>
        <v/>
      </c>
    </row>
    <row r="573" spans="1:37">
      <c r="A573" s="1">
        <v>25000</v>
      </c>
      <c r="B573" s="1">
        <v>961100055</v>
      </c>
      <c r="C573" s="1" t="str">
        <f>"تخليه-شهرستان آباده-روبروي کارخانه سيمان"</f>
        <v>تخليه-شهرستان آباده-روبروي کارخانه سيمان</v>
      </c>
      <c r="D573" s="1">
        <v>8704</v>
      </c>
      <c r="E573" s="1">
        <v>25000</v>
      </c>
      <c r="F573" s="1">
        <v>96</v>
      </c>
      <c r="G573" s="1">
        <v>0</v>
      </c>
      <c r="H573" s="1" t="str">
        <f>"96/05/31"</f>
        <v>96/05/31</v>
      </c>
      <c r="I573" s="1" t="str">
        <f>"كيلوگرم"</f>
        <v>كيلوگرم</v>
      </c>
      <c r="J573" s="1" t="str">
        <f>"0000000076"</f>
        <v>0000000076</v>
      </c>
      <c r="K573" s="1" t="str">
        <f>"قير 60/70 - فله"</f>
        <v>قير 60/70 - فله</v>
      </c>
      <c r="L573" s="1">
        <v>100</v>
      </c>
      <c r="M573" s="1" t="str">
        <f>"مخازن قير اصفهان"</f>
        <v>مخازن قير اصفهان</v>
      </c>
      <c r="N573" s="1">
        <v>10683</v>
      </c>
      <c r="O573" s="1">
        <v>50035781</v>
      </c>
      <c r="P573" s="1" t="str">
        <f>"  عايق اندود شرق سيصدو دو آسيا"</f>
        <v xml:space="preserve">  عايق اندود شرق سيصدو دو آسيا</v>
      </c>
      <c r="Q573" s="1">
        <v>11</v>
      </c>
      <c r="R573" s="1" t="str">
        <f>"فروش داخلي تهران - بورس"</f>
        <v>فروش داخلي تهران - بورس</v>
      </c>
      <c r="S573" s="1" t="str">
        <f>"قرارداد فروش"</f>
        <v>قرارداد فروش</v>
      </c>
      <c r="T573" s="1" t="str">
        <f>"ندارد"</f>
        <v>ندارد</v>
      </c>
      <c r="U573" s="1" t="str">
        <f>"تاج سعيد هوشنگ (1031ج 89)"</f>
        <v>تاج سعيد هوشنگ (1031ج 89)</v>
      </c>
      <c r="V573" s="1">
        <v>961100055</v>
      </c>
      <c r="W573" s="1">
        <v>961100055</v>
      </c>
      <c r="X573" s="1" t="str">
        <f>"1396506332"</f>
        <v>1396506332</v>
      </c>
      <c r="Y573" s="1" t="str">
        <f>"96/05/31"</f>
        <v>96/05/31</v>
      </c>
      <c r="Z573" s="1" t="str">
        <f>"96-36069"</f>
        <v>96-36069</v>
      </c>
      <c r="AA573" s="1" t="str">
        <f>"راه سازي"</f>
        <v>راه سازي</v>
      </c>
      <c r="AB573" s="1" t="str">
        <f>"96/05/31"</f>
        <v>96/05/31</v>
      </c>
      <c r="AC573" s="1" t="str">
        <f>"استان فارس"</f>
        <v>استان فارس</v>
      </c>
      <c r="AD573" s="1" t="str">
        <f>"96/05/28"</f>
        <v>96/05/28</v>
      </c>
      <c r="AE573" s="1" t="str">
        <f>"اختتام"</f>
        <v>اختتام</v>
      </c>
      <c r="AF573" s="1" t="str">
        <f>""</f>
        <v/>
      </c>
      <c r="AG573" s="1" t="str">
        <f>""</f>
        <v/>
      </c>
      <c r="AH573" s="1" t="str">
        <f>""</f>
        <v/>
      </c>
      <c r="AI573" s="1" t="str">
        <f>""</f>
        <v/>
      </c>
      <c r="AJ573" s="1" t="str">
        <f>""</f>
        <v/>
      </c>
      <c r="AK573" s="1" t="str">
        <f>""</f>
        <v/>
      </c>
    </row>
    <row r="574" spans="1:37">
      <c r="A574" s="1">
        <v>38551</v>
      </c>
      <c r="B574" s="1">
        <v>962000425</v>
      </c>
      <c r="C574" s="1" t="str">
        <f>"تخليه اصفهان جاده اصفهان مباركه جنب پلي اكريل جاده چشمه باباعبدالله كارخانه آسفالت اصفهان بتن راه"</f>
        <v>تخليه اصفهان جاده اصفهان مباركه جنب پلي اكريل جاده چشمه باباعبدالله كارخانه آسفالت اصفهان بتن راه</v>
      </c>
      <c r="D574" s="1">
        <v>12820</v>
      </c>
      <c r="E574" s="1">
        <v>38551</v>
      </c>
      <c r="F574" s="1">
        <v>96</v>
      </c>
      <c r="G574" s="1">
        <v>0</v>
      </c>
      <c r="H574" s="1" t="str">
        <f>"96/09/20"</f>
        <v>96/09/20</v>
      </c>
      <c r="I574" s="1" t="str">
        <f>"كيلوگرم"</f>
        <v>كيلوگرم</v>
      </c>
      <c r="J574" s="1" t="str">
        <f>"0000000076"</f>
        <v>0000000076</v>
      </c>
      <c r="K574" s="1" t="str">
        <f>"قير 60/70 - فله"</f>
        <v>قير 60/70 - فله</v>
      </c>
      <c r="L574" s="1">
        <v>100</v>
      </c>
      <c r="M574" s="1" t="str">
        <f>"مخازن قير اصفهان"</f>
        <v>مخازن قير اصفهان</v>
      </c>
      <c r="N574" s="1">
        <v>10687</v>
      </c>
      <c r="O574" s="1">
        <v>50037742</v>
      </c>
      <c r="P574" s="1" t="str">
        <f>"  شهرداري اصغرآباد"</f>
        <v xml:space="preserve">  شهرداري اصغرآباد</v>
      </c>
      <c r="Q574" s="1">
        <v>20</v>
      </c>
      <c r="R574" s="1" t="str">
        <f>"فروش داخلي - سازمان شهرداري ها و دهياري هاي كشور"</f>
        <v>فروش داخلي - سازمان شهرداري ها و دهياري هاي كشور</v>
      </c>
      <c r="S574" s="1" t="str">
        <f>"قرارداد فروش"</f>
        <v>قرارداد فروش</v>
      </c>
      <c r="T574" s="1" t="str">
        <f>"ندارد"</f>
        <v>ندارد</v>
      </c>
      <c r="U574" s="1" t="str">
        <f>"تعاوني جم گستر (1001 ج 89)"</f>
        <v>تعاوني جم گستر (1001 ج 89)</v>
      </c>
      <c r="V574" s="1">
        <v>962000425</v>
      </c>
      <c r="W574" s="1">
        <v>962000425</v>
      </c>
      <c r="X574" s="1" t="str">
        <f>"1396529711"</f>
        <v>1396529711</v>
      </c>
      <c r="Y574" s="1" t="str">
        <f>"96/09/20"</f>
        <v>96/09/20</v>
      </c>
      <c r="Z574" s="1" t="str">
        <f>"37104مرحله دوم"</f>
        <v>37104مرحله دوم</v>
      </c>
      <c r="AA574" s="1" t="str">
        <f>"شهرداريها"</f>
        <v>شهرداريها</v>
      </c>
      <c r="AB574" s="1" t="str">
        <f>"96/09/04"</f>
        <v>96/09/04</v>
      </c>
      <c r="AC574" s="1" t="str">
        <f>"استان اصفهان"</f>
        <v>استان اصفهان</v>
      </c>
      <c r="AD574" s="1" t="str">
        <f>"96/09/13"</f>
        <v>96/09/13</v>
      </c>
      <c r="AE574" s="1" t="str">
        <f>"اختتام"</f>
        <v>اختتام</v>
      </c>
      <c r="AF574" s="1" t="str">
        <f>""</f>
        <v/>
      </c>
      <c r="AG574" s="1" t="str">
        <f>""</f>
        <v/>
      </c>
      <c r="AH574" s="1" t="str">
        <f>""</f>
        <v/>
      </c>
      <c r="AI574" s="1" t="str">
        <f>""</f>
        <v/>
      </c>
      <c r="AJ574" s="1" t="str">
        <f>""</f>
        <v/>
      </c>
      <c r="AK574" s="1" t="str">
        <f>""</f>
        <v/>
      </c>
    </row>
    <row r="575" spans="1:37">
      <c r="A575" s="1">
        <v>123731</v>
      </c>
      <c r="B575" s="1">
        <v>962000172</v>
      </c>
      <c r="C575" s="1" t="str">
        <f>"تخليه خراسان رضوي كاشمرشركت كيمياسروش پاسارگاد"</f>
        <v>تخليه خراسان رضوي كاشمرشركت كيمياسروش پاسارگاد</v>
      </c>
      <c r="D575" s="1">
        <v>9113</v>
      </c>
      <c r="E575" s="1">
        <v>123731</v>
      </c>
      <c r="F575" s="1">
        <v>96</v>
      </c>
      <c r="G575" s="1">
        <v>0</v>
      </c>
      <c r="H575" s="1" t="str">
        <f>"96/07/03"</f>
        <v>96/07/03</v>
      </c>
      <c r="I575" s="1" t="str">
        <f>"كيلوگرم"</f>
        <v>كيلوگرم</v>
      </c>
      <c r="J575" s="1" t="str">
        <f>"0000000076"</f>
        <v>0000000076</v>
      </c>
      <c r="K575" s="1" t="str">
        <f>"قير 60/70 - فله"</f>
        <v>قير 60/70 - فله</v>
      </c>
      <c r="L575" s="1">
        <v>100</v>
      </c>
      <c r="M575" s="1" t="str">
        <f>"مخازن قير اصفهان"</f>
        <v>مخازن قير اصفهان</v>
      </c>
      <c r="N575" s="1">
        <v>10690</v>
      </c>
      <c r="O575" s="1">
        <v>50036377</v>
      </c>
      <c r="P575" s="1" t="str">
        <f>"  شهرداري ريوش"</f>
        <v xml:space="preserve">  شهرداري ريوش</v>
      </c>
      <c r="Q575" s="1">
        <v>20</v>
      </c>
      <c r="R575" s="1" t="str">
        <f>"فروش داخلي - سازمان شهرداري ها و دهياري هاي كشور"</f>
        <v>فروش داخلي - سازمان شهرداري ها و دهياري هاي كشور</v>
      </c>
      <c r="S575" s="1" t="str">
        <f>"قرارداد فروش"</f>
        <v>قرارداد فروش</v>
      </c>
      <c r="T575" s="1" t="str">
        <f>"ندارد"</f>
        <v>ندارد</v>
      </c>
      <c r="U575" s="1" t="str">
        <f>"تعاوني جم گستر (1001 ج 89)"</f>
        <v>تعاوني جم گستر (1001 ج 89)</v>
      </c>
      <c r="V575" s="1">
        <v>962000172</v>
      </c>
      <c r="W575" s="1">
        <v>962000172</v>
      </c>
      <c r="X575" s="1" t="str">
        <f>"1396514467"</f>
        <v>1396514467</v>
      </c>
      <c r="Y575" s="1" t="str">
        <f>"96/07/03"</f>
        <v>96/07/03</v>
      </c>
      <c r="Z575" s="1" t="str">
        <f>"26790مرحله اول"</f>
        <v>26790مرحله اول</v>
      </c>
      <c r="AA575" s="1" t="str">
        <f>"شهرداريها"</f>
        <v>شهرداريها</v>
      </c>
      <c r="AB575" s="1" t="str">
        <f>"96/06/29"</f>
        <v>96/06/29</v>
      </c>
      <c r="AC575" s="1" t="str">
        <f>"خراسان رضوي"</f>
        <v>خراسان رضوي</v>
      </c>
      <c r="AD575" s="1" t="str">
        <f>"96/07/03"</f>
        <v>96/07/03</v>
      </c>
      <c r="AE575" s="1" t="str">
        <f>"اختتام"</f>
        <v>اختتام</v>
      </c>
      <c r="AF575" s="1" t="str">
        <f>""</f>
        <v/>
      </c>
      <c r="AG575" s="1" t="str">
        <f>""</f>
        <v/>
      </c>
      <c r="AH575" s="1" t="str">
        <f>""</f>
        <v/>
      </c>
      <c r="AI575" s="1" t="str">
        <f>""</f>
        <v/>
      </c>
      <c r="AJ575" s="1" t="str">
        <f>""</f>
        <v/>
      </c>
      <c r="AK575" s="1" t="str">
        <f>""</f>
        <v/>
      </c>
    </row>
    <row r="576" spans="1:37">
      <c r="A576" s="1">
        <v>125991</v>
      </c>
      <c r="B576" s="1">
        <v>962000022</v>
      </c>
      <c r="C576" s="1" t="str">
        <f>"تخليه اصفهان جاده علويجه كيلومتر12كارخانه افق راه ماندگار"</f>
        <v>تخليه اصفهان جاده علويجه كيلومتر12كارخانه افق راه ماندگار</v>
      </c>
      <c r="D576" s="1">
        <v>9113</v>
      </c>
      <c r="E576" s="1">
        <v>125991</v>
      </c>
      <c r="F576" s="1">
        <v>96</v>
      </c>
      <c r="G576" s="1">
        <v>0</v>
      </c>
      <c r="H576" s="1" t="str">
        <f>"96/07/03"</f>
        <v>96/07/03</v>
      </c>
      <c r="I576" s="1" t="str">
        <f>"كيلوگرم"</f>
        <v>كيلوگرم</v>
      </c>
      <c r="J576" s="1" t="str">
        <f>"0000000076"</f>
        <v>0000000076</v>
      </c>
      <c r="K576" s="1" t="str">
        <f>"قير 60/70 - فله"</f>
        <v>قير 60/70 - فله</v>
      </c>
      <c r="L576" s="1">
        <v>100</v>
      </c>
      <c r="M576" s="1" t="str">
        <f>"مخازن قير اصفهان"</f>
        <v>مخازن قير اصفهان</v>
      </c>
      <c r="N576" s="1">
        <v>10691</v>
      </c>
      <c r="O576" s="1">
        <v>50036163</v>
      </c>
      <c r="P576" s="1" t="str">
        <f>"  شهرداري تيران"</f>
        <v xml:space="preserve">  شهرداري تيران</v>
      </c>
      <c r="Q576" s="1">
        <v>20</v>
      </c>
      <c r="R576" s="1" t="str">
        <f>"فروش داخلي - سازمان شهرداري ها و دهياري هاي كشور"</f>
        <v>فروش داخلي - سازمان شهرداري ها و دهياري هاي كشور</v>
      </c>
      <c r="S576" s="1" t="str">
        <f>"قرارداد فروش"</f>
        <v>قرارداد فروش</v>
      </c>
      <c r="T576" s="1" t="str">
        <f>"ندارد"</f>
        <v>ندارد</v>
      </c>
      <c r="U576" s="1" t="str">
        <f>"تعاوني جم گستر (1001 ج 89)"</f>
        <v>تعاوني جم گستر (1001 ج 89)</v>
      </c>
      <c r="V576" s="1">
        <v>962000022</v>
      </c>
      <c r="W576" s="1">
        <v>962000022</v>
      </c>
      <c r="X576" s="1" t="str">
        <f>"1396514467"</f>
        <v>1396514467</v>
      </c>
      <c r="Y576" s="1" t="str">
        <f>"96/07/03"</f>
        <v>96/07/03</v>
      </c>
      <c r="Z576" s="1" t="str">
        <f>"26849مرحله اول"</f>
        <v>26849مرحله اول</v>
      </c>
      <c r="AA576" s="1" t="str">
        <f>"شهرداريها"</f>
        <v>شهرداريها</v>
      </c>
      <c r="AB576" s="1" t="str">
        <f>"96/06/29"</f>
        <v>96/06/29</v>
      </c>
      <c r="AC576" s="1" t="str">
        <f>"استان اصفهان"</f>
        <v>استان اصفهان</v>
      </c>
      <c r="AD576" s="1" t="str">
        <f>"96/07/03"</f>
        <v>96/07/03</v>
      </c>
      <c r="AE576" s="1" t="str">
        <f>"اختتام"</f>
        <v>اختتام</v>
      </c>
      <c r="AF576" s="1" t="str">
        <f>""</f>
        <v/>
      </c>
      <c r="AG576" s="1" t="str">
        <f>""</f>
        <v/>
      </c>
      <c r="AH576" s="1" t="str">
        <f>""</f>
        <v/>
      </c>
      <c r="AI576" s="1" t="str">
        <f>""</f>
        <v/>
      </c>
      <c r="AJ576" s="1" t="str">
        <f>""</f>
        <v/>
      </c>
      <c r="AK576" s="1" t="str">
        <f>""</f>
        <v/>
      </c>
    </row>
    <row r="577" spans="1:37">
      <c r="A577" s="1">
        <v>60309</v>
      </c>
      <c r="B577" s="1">
        <v>962000304</v>
      </c>
      <c r="C577" s="1" t="str">
        <f>"تخليه خراسان رضوي كيلومتر28جاده سبزوارشاهرودشركت رعدراه بيهق كارخانه آسفالت كوهدشت"</f>
        <v>تخليه خراسان رضوي كيلومتر28جاده سبزوارشاهرودشركت رعدراه بيهق كارخانه آسفالت كوهدشت</v>
      </c>
      <c r="D577" s="1">
        <v>9113</v>
      </c>
      <c r="E577" s="1">
        <v>58520</v>
      </c>
      <c r="F577" s="1">
        <v>96</v>
      </c>
      <c r="G577" s="1">
        <v>1789</v>
      </c>
      <c r="H577" s="1" t="str">
        <f>"96/09/13"</f>
        <v>96/09/13</v>
      </c>
      <c r="I577" s="1" t="str">
        <f>"كيلوگرم"</f>
        <v>كيلوگرم</v>
      </c>
      <c r="J577" s="1" t="str">
        <f>"0000000076"</f>
        <v>0000000076</v>
      </c>
      <c r="K577" s="1" t="str">
        <f>"قير 60/70 - فله"</f>
        <v>قير 60/70 - فله</v>
      </c>
      <c r="L577" s="1">
        <v>100</v>
      </c>
      <c r="M577" s="1" t="str">
        <f>"مخازن قير اصفهان"</f>
        <v>مخازن قير اصفهان</v>
      </c>
      <c r="N577" s="1">
        <v>11507</v>
      </c>
      <c r="O577" s="1">
        <v>50037506</v>
      </c>
      <c r="P577" s="1" t="str">
        <f>"  شهرداري داورزن"</f>
        <v xml:space="preserve">  شهرداري داورزن</v>
      </c>
      <c r="Q577" s="1">
        <v>20</v>
      </c>
      <c r="R577" s="1" t="str">
        <f>"فروش داخلي - سازمان شهرداري ها و دهياري هاي كشور"</f>
        <v>فروش داخلي - سازمان شهرداري ها و دهياري هاي كشور</v>
      </c>
      <c r="S577" s="1" t="str">
        <f>"قرارداد فروش"</f>
        <v>قرارداد فروش</v>
      </c>
      <c r="T577" s="1" t="str">
        <f>"ندارد"</f>
        <v>ندارد</v>
      </c>
      <c r="U577" s="1" t="str">
        <f>"تعاوني جم گستر (1001 ج 89)"</f>
        <v>تعاوني جم گستر (1001 ج 89)</v>
      </c>
      <c r="V577" s="1">
        <v>962000304</v>
      </c>
      <c r="W577" s="1">
        <v>962000304</v>
      </c>
      <c r="X577" s="1" t="str">
        <f>"1396514467"</f>
        <v>1396514467</v>
      </c>
      <c r="Y577" s="1" t="str">
        <f>"96/09/12"</f>
        <v>96/09/12</v>
      </c>
      <c r="Z577" s="1" t="str">
        <f>"37020مرحله دوم"</f>
        <v>37020مرحله دوم</v>
      </c>
      <c r="AA577" s="1" t="str">
        <f>"شهرداريها"</f>
        <v>شهرداريها</v>
      </c>
      <c r="AB577" s="1" t="str">
        <f>"96/09/04"</f>
        <v>96/09/04</v>
      </c>
      <c r="AC577" s="1" t="str">
        <f>"خراسان رضوي"</f>
        <v>خراسان رضوي</v>
      </c>
      <c r="AD577" s="1" t="str">
        <f>"96/07/03"</f>
        <v>96/07/03</v>
      </c>
      <c r="AE577" s="1" t="str">
        <f>"اختتام"</f>
        <v>اختتام</v>
      </c>
      <c r="AF577" s="1" t="str">
        <f>""</f>
        <v/>
      </c>
      <c r="AG577" s="1" t="str">
        <f>""</f>
        <v/>
      </c>
      <c r="AH577" s="1" t="str">
        <f>""</f>
        <v/>
      </c>
      <c r="AI577" s="1" t="str">
        <f>""</f>
        <v/>
      </c>
      <c r="AJ577" s="1" t="str">
        <f>""</f>
        <v/>
      </c>
      <c r="AK577" s="1" t="str">
        <f>""</f>
        <v/>
      </c>
    </row>
    <row r="578" spans="1:37">
      <c r="A578" s="1">
        <v>84000</v>
      </c>
      <c r="B578" s="1">
        <v>966300037</v>
      </c>
      <c r="C578" s="1" t="str">
        <f>"تخليه اصفهان شهرك صنعتي اشترجان خيابان 11شركت راه آژند"</f>
        <v>تخليه اصفهان شهرك صنعتي اشترجان خيابان 11شركت راه آژند</v>
      </c>
      <c r="D578" s="1">
        <v>12820</v>
      </c>
      <c r="E578" s="1">
        <v>84000</v>
      </c>
      <c r="F578" s="1">
        <v>96</v>
      </c>
      <c r="G578" s="1">
        <v>0</v>
      </c>
      <c r="H578" s="1" t="str">
        <f>"96/09/19"</f>
        <v>96/09/19</v>
      </c>
      <c r="I578" s="1" t="str">
        <f>"كيلوگرم"</f>
        <v>كيلوگرم</v>
      </c>
      <c r="J578" s="1" t="str">
        <f>"0000000076"</f>
        <v>0000000076</v>
      </c>
      <c r="K578" s="1" t="str">
        <f>"قير 60/70 - فله"</f>
        <v>قير 60/70 - فله</v>
      </c>
      <c r="L578" s="1">
        <v>100</v>
      </c>
      <c r="M578" s="1" t="str">
        <f>"مخازن قير اصفهان"</f>
        <v>مخازن قير اصفهان</v>
      </c>
      <c r="N578" s="1">
        <v>11519</v>
      </c>
      <c r="O578" s="1">
        <v>50037586</v>
      </c>
      <c r="P578" s="1" t="str">
        <f>"  زيباساخت زاگرس"</f>
        <v xml:space="preserve">  زيباساخت زاگرس</v>
      </c>
      <c r="Q578" s="1">
        <v>63</v>
      </c>
      <c r="R578" s="1" t="str">
        <f>"سازمان نوسازي،توسعه و تجهيز مدارس كشور"</f>
        <v>سازمان نوسازي،توسعه و تجهيز مدارس كشور</v>
      </c>
      <c r="S578" s="1" t="str">
        <f>"قرارداد فروش"</f>
        <v>قرارداد فروش</v>
      </c>
      <c r="T578" s="1" t="str">
        <f>"ندارد"</f>
        <v>ندارد</v>
      </c>
      <c r="U578" s="1" t="str">
        <f>"سيفي پور عبدالمجيد(1009ج89)"</f>
        <v>سيفي پور عبدالمجيد(1009ج89)</v>
      </c>
      <c r="V578" s="1">
        <v>966300037</v>
      </c>
      <c r="W578" s="1">
        <v>966300037</v>
      </c>
      <c r="X578" s="1" t="str">
        <f>"1396531220"</f>
        <v>1396531220</v>
      </c>
      <c r="Y578" s="1" t="str">
        <f>"96/09/19"</f>
        <v>96/09/19</v>
      </c>
      <c r="Z578" s="1" t="str">
        <f>"18/96/1/7571"</f>
        <v>18/96/1/7571</v>
      </c>
      <c r="AA578" s="1" t="str">
        <f>"سازمان نوسازي توسعه وتجهيزمدارس كشور"</f>
        <v>سازمان نوسازي توسعه وتجهيزمدارس كشور</v>
      </c>
      <c r="AB578" s="1" t="str">
        <f>"96/08/14"</f>
        <v>96/08/14</v>
      </c>
      <c r="AC578" s="1" t="str">
        <f>"استان چهارمحال بختياري"</f>
        <v>استان چهارمحال بختياري</v>
      </c>
      <c r="AD578" s="1" t="str">
        <f>"96/09/19"</f>
        <v>96/09/19</v>
      </c>
      <c r="AE578" s="1" t="str">
        <f>"اختتام"</f>
        <v>اختتام</v>
      </c>
      <c r="AF578" s="1" t="str">
        <f>""</f>
        <v/>
      </c>
      <c r="AG578" s="1" t="str">
        <f>""</f>
        <v/>
      </c>
      <c r="AH578" s="1" t="str">
        <f>""</f>
        <v/>
      </c>
      <c r="AI578" s="1" t="str">
        <f>""</f>
        <v/>
      </c>
      <c r="AJ578" s="1" t="str">
        <f>""</f>
        <v/>
      </c>
      <c r="AK578" s="1" t="str">
        <f>""</f>
        <v/>
      </c>
    </row>
    <row r="579" spans="1:37">
      <c r="A579" s="1">
        <v>157000</v>
      </c>
      <c r="B579" s="1">
        <v>966200467</v>
      </c>
      <c r="C579" s="1" t="str">
        <f>"تخليه - کهگيلويه و بيراحمد-ليکک-کارخانه آسفالت دموري نژاد"</f>
        <v>تخليه - کهگيلويه و بيراحمد-ليکک-کارخانه آسفالت دموري نژاد</v>
      </c>
      <c r="D579" s="1">
        <v>12820</v>
      </c>
      <c r="E579" s="1">
        <v>157000</v>
      </c>
      <c r="F579" s="1">
        <v>96</v>
      </c>
      <c r="G579" s="1">
        <v>0</v>
      </c>
      <c r="H579" s="1" t="str">
        <f>"96/09/27"</f>
        <v>96/09/27</v>
      </c>
      <c r="I579" s="1" t="str">
        <f>"كيلوگرم"</f>
        <v>كيلوگرم</v>
      </c>
      <c r="J579" s="1" t="str">
        <f>"0000000076"</f>
        <v>0000000076</v>
      </c>
      <c r="K579" s="1" t="str">
        <f>"قير 60/70 - فله"</f>
        <v>قير 60/70 - فله</v>
      </c>
      <c r="L579" s="1">
        <v>100</v>
      </c>
      <c r="M579" s="1" t="str">
        <f>"مخازن قير اصفهان"</f>
        <v>مخازن قير اصفهان</v>
      </c>
      <c r="N579" s="1">
        <v>11521</v>
      </c>
      <c r="O579" s="1">
        <v>50037909</v>
      </c>
      <c r="P579" s="1" t="str">
        <f>"  پس باغ گستر"</f>
        <v xml:space="preserve">  پس باغ گستر</v>
      </c>
      <c r="Q579" s="1">
        <v>62</v>
      </c>
      <c r="R579" s="1" t="str">
        <f>"فروش داخلي - سازمان بنيادمسكن انقلاب اسلامي"</f>
        <v>فروش داخلي - سازمان بنيادمسكن انقلاب اسلامي</v>
      </c>
      <c r="S579" s="1" t="str">
        <f>"قرارداد فروش"</f>
        <v>قرارداد فروش</v>
      </c>
      <c r="T579" s="1" t="str">
        <f>"ندارد"</f>
        <v>ندارد</v>
      </c>
      <c r="U579" s="1" t="str">
        <f>"غلام نجفي سيامك‌‌‌‌‌‌(1881082)"</f>
        <v>غلام نجفي سيامك‌‌‌‌‌‌(1881082)</v>
      </c>
      <c r="V579" s="1">
        <v>966200467</v>
      </c>
      <c r="W579" s="1">
        <v>966200467</v>
      </c>
      <c r="X579" s="1" t="str">
        <f>"1396533043"</f>
        <v>1396533043</v>
      </c>
      <c r="Y579" s="1" t="str">
        <f>"96/09/27"</f>
        <v>96/09/27</v>
      </c>
      <c r="Z579" s="1" t="str">
        <f>"42428/د"</f>
        <v>42428/د</v>
      </c>
      <c r="AA579" s="1" t="str">
        <f>"بنيادمسكن انقلاب اسلامي"</f>
        <v>بنيادمسكن انقلاب اسلامي</v>
      </c>
      <c r="AB579" s="1" t="str">
        <f>"96/09/26"</f>
        <v>96/09/26</v>
      </c>
      <c r="AC579" s="1" t="str">
        <f>"كهكيلويه و بوير احمد"</f>
        <v>كهكيلويه و بوير احمد</v>
      </c>
      <c r="AD579" s="1" t="str">
        <f>"96/09/27"</f>
        <v>96/09/27</v>
      </c>
      <c r="AE579" s="1" t="str">
        <f>"اختتام"</f>
        <v>اختتام</v>
      </c>
      <c r="AF579" s="1" t="str">
        <f>""</f>
        <v/>
      </c>
      <c r="AG579" s="1" t="str">
        <f>""</f>
        <v/>
      </c>
      <c r="AH579" s="1" t="str">
        <f>""</f>
        <v/>
      </c>
      <c r="AI579" s="1" t="str">
        <f>""</f>
        <v/>
      </c>
      <c r="AJ579" s="1" t="str">
        <f>""</f>
        <v/>
      </c>
      <c r="AK579" s="1" t="str">
        <f>""</f>
        <v/>
      </c>
    </row>
    <row r="580" spans="1:37">
      <c r="A580" s="1">
        <v>178000</v>
      </c>
      <c r="B580" s="1">
        <v>966200715</v>
      </c>
      <c r="C580" s="1" t="str">
        <f>"تخليه - کهگيلويه و بيراحمد-ليکک-کارخانه آسفالت دموري نژاد"</f>
        <v>تخليه - کهگيلويه و بيراحمد-ليکک-کارخانه آسفالت دموري نژاد</v>
      </c>
      <c r="D580" s="1">
        <v>13350</v>
      </c>
      <c r="E580" s="1">
        <v>177460</v>
      </c>
      <c r="F580" s="1">
        <v>96</v>
      </c>
      <c r="G580" s="1">
        <v>540</v>
      </c>
      <c r="H580" s="1" t="str">
        <f>"96/12/26"</f>
        <v>96/12/26</v>
      </c>
      <c r="I580" s="1" t="str">
        <f>"كيلوگرم"</f>
        <v>كيلوگرم</v>
      </c>
      <c r="J580" s="1" t="str">
        <f>"0000000076"</f>
        <v>0000000076</v>
      </c>
      <c r="K580" s="1" t="str">
        <f>"قير 60/70 - فله"</f>
        <v>قير 60/70 - فله</v>
      </c>
      <c r="L580" s="1">
        <v>100</v>
      </c>
      <c r="M580" s="1" t="str">
        <f>"مخازن قير اصفهان"</f>
        <v>مخازن قير اصفهان</v>
      </c>
      <c r="N580" s="1">
        <v>11521</v>
      </c>
      <c r="O580" s="1">
        <v>50039074</v>
      </c>
      <c r="P580" s="1" t="str">
        <f>"  پس باغ گستر"</f>
        <v xml:space="preserve">  پس باغ گستر</v>
      </c>
      <c r="Q580" s="1">
        <v>62</v>
      </c>
      <c r="R580" s="1" t="str">
        <f>"فروش داخلي - سازمان بنيادمسكن انقلاب اسلامي"</f>
        <v>فروش داخلي - سازمان بنيادمسكن انقلاب اسلامي</v>
      </c>
      <c r="S580" s="1" t="str">
        <f>"قرارداد فروش"</f>
        <v>قرارداد فروش</v>
      </c>
      <c r="T580" s="1" t="str">
        <f>"ندارد"</f>
        <v>ندارد</v>
      </c>
      <c r="U580" s="1" t="str">
        <f>"غلام نجفي سيامك‌‌‌‌‌‌(1881082)"</f>
        <v>غلام نجفي سيامك‌‌‌‌‌‌(1881082)</v>
      </c>
      <c r="V580" s="1">
        <v>966200715</v>
      </c>
      <c r="W580" s="1">
        <v>966200715</v>
      </c>
      <c r="X580" s="1" t="str">
        <f>"1396555371"</f>
        <v>1396555371</v>
      </c>
      <c r="Y580" s="1" t="str">
        <f>"96/12/26"</f>
        <v>96/12/26</v>
      </c>
      <c r="Z580" s="1" t="str">
        <f>"59414/د"</f>
        <v>59414/د</v>
      </c>
      <c r="AA580" s="1" t="str">
        <f>"بنيادمسكن انقلاب اسلامي"</f>
        <v>بنيادمسكن انقلاب اسلامي</v>
      </c>
      <c r="AB580" s="1" t="str">
        <f>"96/12/23"</f>
        <v>96/12/23</v>
      </c>
      <c r="AC580" s="1" t="str">
        <f>"كهكيلويه و بوير احمد"</f>
        <v>كهكيلويه و بوير احمد</v>
      </c>
      <c r="AD580" s="1" t="str">
        <f>"96/12/26"</f>
        <v>96/12/26</v>
      </c>
      <c r="AE580" s="1" t="str">
        <f>"اختتام"</f>
        <v>اختتام</v>
      </c>
      <c r="AF580" s="1" t="str">
        <f>""</f>
        <v/>
      </c>
      <c r="AG580" s="1" t="str">
        <f>""</f>
        <v/>
      </c>
      <c r="AH580" s="1" t="str">
        <f>""</f>
        <v/>
      </c>
      <c r="AI580" s="1" t="str">
        <f>""</f>
        <v/>
      </c>
      <c r="AJ580" s="1" t="str">
        <f>""</f>
        <v/>
      </c>
      <c r="AK580" s="1" t="str">
        <f>""</f>
        <v/>
      </c>
    </row>
    <row r="581" spans="1:37">
      <c r="A581" s="1">
        <v>68000</v>
      </c>
      <c r="B581" s="1">
        <v>966200559</v>
      </c>
      <c r="C581" s="1" t="str">
        <f>"کرمان-کيلومتر7جاده هرات به  شهربابک-کارخانه آسفالت پوريا صباح"</f>
        <v>کرمان-کيلومتر7جاده هرات به  شهربابک-کارخانه آسفالت پوريا صباح</v>
      </c>
      <c r="D581" s="1">
        <v>13200</v>
      </c>
      <c r="E581" s="1">
        <v>66580</v>
      </c>
      <c r="F581" s="1">
        <v>96</v>
      </c>
      <c r="G581" s="1">
        <v>1420</v>
      </c>
      <c r="H581" s="1" t="str">
        <f>"96/11/14"</f>
        <v>96/11/14</v>
      </c>
      <c r="I581" s="1" t="str">
        <f>"كيلوگرم"</f>
        <v>كيلوگرم</v>
      </c>
      <c r="J581" s="1" t="str">
        <f>"0000000076"</f>
        <v>0000000076</v>
      </c>
      <c r="K581" s="1" t="str">
        <f>"قير 60/70 - فله"</f>
        <v>قير 60/70 - فله</v>
      </c>
      <c r="L581" s="1">
        <v>100</v>
      </c>
      <c r="M581" s="1" t="str">
        <f>"مخازن قير اصفهان"</f>
        <v>مخازن قير اصفهان</v>
      </c>
      <c r="N581" s="1">
        <v>11534</v>
      </c>
      <c r="O581" s="1">
        <v>50038366</v>
      </c>
      <c r="P581" s="1" t="str">
        <f>"  معدنکاري و راهسازي پوريا صباح"</f>
        <v xml:space="preserve">  معدنکاري و راهسازي پوريا صباح</v>
      </c>
      <c r="Q581" s="1">
        <v>62</v>
      </c>
      <c r="R581" s="1" t="str">
        <f>"فروش داخلي - سازمان بنيادمسكن انقلاب اسلامي"</f>
        <v>فروش داخلي - سازمان بنيادمسكن انقلاب اسلامي</v>
      </c>
      <c r="S581" s="1" t="str">
        <f>"قرارداد فروش"</f>
        <v>قرارداد فروش</v>
      </c>
      <c r="T581" s="1" t="str">
        <f>"ندارد"</f>
        <v>ندارد</v>
      </c>
      <c r="U581" s="1" t="str">
        <f>"- شهبا(4844028)"</f>
        <v>- شهبا(4844028)</v>
      </c>
      <c r="V581" s="1">
        <v>966200559</v>
      </c>
      <c r="W581" s="1">
        <v>966200559</v>
      </c>
      <c r="X581" s="1" t="str">
        <f>"1396545121"</f>
        <v>1396545121</v>
      </c>
      <c r="Y581" s="1" t="str">
        <f>"96/11/14"</f>
        <v>96/11/14</v>
      </c>
      <c r="Z581" s="1" t="str">
        <f>"50742/د"</f>
        <v>50742/د</v>
      </c>
      <c r="AA581" s="1" t="str">
        <f>"بنيادمسكن انقلاب اسلامي"</f>
        <v>بنيادمسكن انقلاب اسلامي</v>
      </c>
      <c r="AB581" s="1" t="str">
        <f>"96/11/11"</f>
        <v>96/11/11</v>
      </c>
      <c r="AC581" s="1" t="str">
        <f>"استان كرمان"</f>
        <v>استان كرمان</v>
      </c>
      <c r="AD581" s="1" t="str">
        <f>"96/11/14"</f>
        <v>96/11/14</v>
      </c>
      <c r="AE581" s="1" t="str">
        <f>"اختتام"</f>
        <v>اختتام</v>
      </c>
      <c r="AF581" s="1" t="str">
        <f>""</f>
        <v/>
      </c>
      <c r="AG581" s="1" t="str">
        <f>""</f>
        <v/>
      </c>
      <c r="AH581" s="1" t="str">
        <f>""</f>
        <v/>
      </c>
      <c r="AI581" s="1" t="str">
        <f>""</f>
        <v/>
      </c>
      <c r="AJ581" s="1" t="str">
        <f>""</f>
        <v/>
      </c>
      <c r="AK581" s="1" t="str">
        <f>""</f>
        <v/>
      </c>
    </row>
    <row r="582" spans="1:37">
      <c r="A582" s="1">
        <v>25000</v>
      </c>
      <c r="B582" s="1">
        <v>966300068</v>
      </c>
      <c r="C582" s="1" t="str">
        <f>"تخليه اصفهان جاده حبيب آبادكارخانه آسفالت فاضلي"</f>
        <v>تخليه اصفهان جاده حبيب آبادكارخانه آسفالت فاضلي</v>
      </c>
      <c r="D582" s="1">
        <v>13350</v>
      </c>
      <c r="E582" s="1">
        <v>25000</v>
      </c>
      <c r="F582" s="1">
        <v>96</v>
      </c>
      <c r="G582" s="1">
        <v>0</v>
      </c>
      <c r="H582" s="1" t="str">
        <f>"96/12/06"</f>
        <v>96/12/06</v>
      </c>
      <c r="I582" s="1" t="str">
        <f>"كيلوگرم"</f>
        <v>كيلوگرم</v>
      </c>
      <c r="J582" s="1" t="str">
        <f>"0000000076"</f>
        <v>0000000076</v>
      </c>
      <c r="K582" s="1" t="str">
        <f>"قير 60/70 - فله"</f>
        <v>قير 60/70 - فله</v>
      </c>
      <c r="L582" s="1">
        <v>100</v>
      </c>
      <c r="M582" s="1" t="str">
        <f>"مخازن قير اصفهان"</f>
        <v>مخازن قير اصفهان</v>
      </c>
      <c r="N582" s="1">
        <v>11539</v>
      </c>
      <c r="O582" s="1">
        <v>50038626</v>
      </c>
      <c r="P582" s="1" t="str">
        <f>"  ابوذر گستر لردگان"</f>
        <v xml:space="preserve">  ابوذر گستر لردگان</v>
      </c>
      <c r="Q582" s="1">
        <v>63</v>
      </c>
      <c r="R582" s="1" t="str">
        <f>"سازمان نوسازي،توسعه و تجهيز مدارس كشور"</f>
        <v>سازمان نوسازي،توسعه و تجهيز مدارس كشور</v>
      </c>
      <c r="S582" s="1" t="str">
        <f>"قرارداد فروش"</f>
        <v>قرارداد فروش</v>
      </c>
      <c r="T582" s="1" t="str">
        <f>"ندارد"</f>
        <v>ندارد</v>
      </c>
      <c r="U582" s="1" t="str">
        <f>"ريسماني حسن(1007ج89)"</f>
        <v>ريسماني حسن(1007ج89)</v>
      </c>
      <c r="V582" s="1">
        <v>966300068</v>
      </c>
      <c r="W582" s="1">
        <v>966300068</v>
      </c>
      <c r="X582" s="1" t="str">
        <f>"1396550456"</f>
        <v>1396550456</v>
      </c>
      <c r="Y582" s="1" t="str">
        <f>"96/12/06"</f>
        <v>96/12/06</v>
      </c>
      <c r="Z582" s="1" t="str">
        <f>"18/96/1/8331"</f>
        <v>18/96/1/8331</v>
      </c>
      <c r="AA582" s="1" t="str">
        <f>"سازمان نوسازي توسعه وتجهيزمدارس كشور"</f>
        <v>سازمان نوسازي توسعه وتجهيزمدارس كشور</v>
      </c>
      <c r="AB582" s="1" t="str">
        <f>"96/09/08"</f>
        <v>96/09/08</v>
      </c>
      <c r="AC582" s="1" t="str">
        <f>"استان چهارمحال بختياري"</f>
        <v>استان چهارمحال بختياري</v>
      </c>
      <c r="AD582" s="1" t="str">
        <f>"96/12/06"</f>
        <v>96/12/06</v>
      </c>
      <c r="AE582" s="1" t="str">
        <f>"اختتام"</f>
        <v>اختتام</v>
      </c>
      <c r="AF582" s="1" t="str">
        <f>""</f>
        <v/>
      </c>
      <c r="AG582" s="1" t="str">
        <f>""</f>
        <v/>
      </c>
      <c r="AH582" s="1" t="str">
        <f>""</f>
        <v/>
      </c>
      <c r="AI582" s="1" t="str">
        <f>""</f>
        <v/>
      </c>
      <c r="AJ582" s="1" t="str">
        <f>""</f>
        <v/>
      </c>
      <c r="AK582" s="1" t="str">
        <f>""</f>
        <v/>
      </c>
    </row>
    <row r="583" spans="1:37">
      <c r="A583" s="1">
        <v>87000</v>
      </c>
      <c r="B583" s="1">
        <v>966300052</v>
      </c>
      <c r="C583" s="1" t="str">
        <f>"تخليه اصفهان اشترجان شهرك صنعتي اشترجان شركت دانيال گسترارمندكارخانه آسفالت راه آژند"</f>
        <v>تخليه اصفهان اشترجان شهرك صنعتي اشترجان شركت دانيال گسترارمندكارخانه آسفالت راه آژند</v>
      </c>
      <c r="D583" s="1">
        <v>12850</v>
      </c>
      <c r="E583" s="1">
        <v>86640</v>
      </c>
      <c r="F583" s="1">
        <v>96</v>
      </c>
      <c r="G583" s="1">
        <v>360</v>
      </c>
      <c r="H583" s="1" t="str">
        <f>"96/10/24"</f>
        <v>96/10/24</v>
      </c>
      <c r="I583" s="1" t="str">
        <f>"كيلوگرم"</f>
        <v>كيلوگرم</v>
      </c>
      <c r="J583" s="1" t="str">
        <f>"0000000076"</f>
        <v>0000000076</v>
      </c>
      <c r="K583" s="1" t="str">
        <f>"قير 60/70 - فله"</f>
        <v>قير 60/70 - فله</v>
      </c>
      <c r="L583" s="1">
        <v>100</v>
      </c>
      <c r="M583" s="1" t="str">
        <f>"مخازن قير اصفهان"</f>
        <v>مخازن قير اصفهان</v>
      </c>
      <c r="N583" s="1">
        <v>11098</v>
      </c>
      <c r="O583" s="1">
        <v>50038163</v>
      </c>
      <c r="P583" s="1" t="str">
        <f>"  اداره كل نوسازي توسعه وتجهيزمدارس استان اصفهان"</f>
        <v xml:space="preserve">  اداره كل نوسازي توسعه وتجهيزمدارس استان اصفهان</v>
      </c>
      <c r="Q583" s="1">
        <v>63</v>
      </c>
      <c r="R583" s="1" t="str">
        <f>"سازمان نوسازي،توسعه و تجهيز مدارس كشور"</f>
        <v>سازمان نوسازي،توسعه و تجهيز مدارس كشور</v>
      </c>
      <c r="S583" s="1" t="str">
        <f>"قرارداد فروش"</f>
        <v>قرارداد فروش</v>
      </c>
      <c r="T583" s="1" t="str">
        <f>"ندارد"</f>
        <v>ندارد</v>
      </c>
      <c r="U583" s="1" t="str">
        <f>"سيفي پور عبدالمجيد(1009ج89)"</f>
        <v>سيفي پور عبدالمجيد(1009ج89)</v>
      </c>
      <c r="V583" s="1">
        <v>966300052</v>
      </c>
      <c r="W583" s="1">
        <v>966300052</v>
      </c>
      <c r="X583" s="1" t="str">
        <f>"1396539959"</f>
        <v>1396539959</v>
      </c>
      <c r="Y583" s="1" t="str">
        <f>"96/10/24"</f>
        <v>96/10/24</v>
      </c>
      <c r="Z583" s="1" t="str">
        <f>"3-96/422-28284"</f>
        <v>3-96/422-28284</v>
      </c>
      <c r="AA583" s="1" t="str">
        <f>"سازمان نوسازي توسعه وتجهيزمدارس كشور"</f>
        <v>سازمان نوسازي توسعه وتجهيزمدارس كشور</v>
      </c>
      <c r="AB583" s="1" t="str">
        <f>"96/10/23"</f>
        <v>96/10/23</v>
      </c>
      <c r="AC583" s="1" t="str">
        <f>"استان اصفهان"</f>
        <v>استان اصفهان</v>
      </c>
      <c r="AD583" s="1" t="str">
        <f>"96/10/24"</f>
        <v>96/10/24</v>
      </c>
      <c r="AE583" s="1" t="str">
        <f>"اختتام"</f>
        <v>اختتام</v>
      </c>
      <c r="AF583" s="1" t="str">
        <f>""</f>
        <v/>
      </c>
      <c r="AG583" s="1" t="str">
        <f>""</f>
        <v/>
      </c>
      <c r="AH583" s="1" t="str">
        <f>""</f>
        <v/>
      </c>
      <c r="AI583" s="1" t="str">
        <f>""</f>
        <v/>
      </c>
      <c r="AJ583" s="1" t="str">
        <f>""</f>
        <v/>
      </c>
      <c r="AK583" s="1" t="str">
        <f>""</f>
        <v/>
      </c>
    </row>
    <row r="584" spans="1:37">
      <c r="A584" s="1">
        <v>85000</v>
      </c>
      <c r="B584" s="1">
        <v>966200240</v>
      </c>
      <c r="C584" s="1" t="str">
        <f>"تخليه-يزد-شهرستان خاتم-کيلومتر 2 جاده سياهوئيه-کارخانه آسفالت بسترسازان کوير"</f>
        <v>تخليه-يزد-شهرستان خاتم-کيلومتر 2 جاده سياهوئيه-کارخانه آسفالت بسترسازان کوير</v>
      </c>
      <c r="D584" s="1">
        <v>8954</v>
      </c>
      <c r="E584" s="1">
        <v>84880</v>
      </c>
      <c r="F584" s="1">
        <v>96</v>
      </c>
      <c r="G584" s="1">
        <v>120</v>
      </c>
      <c r="H584" s="1" t="str">
        <f>"96/06/21"</f>
        <v>96/06/21</v>
      </c>
      <c r="I584" s="1" t="str">
        <f>"كيلوگرم"</f>
        <v>كيلوگرم</v>
      </c>
      <c r="J584" s="1" t="str">
        <f>"0000000076"</f>
        <v>0000000076</v>
      </c>
      <c r="K584" s="1" t="str">
        <f>"قير 60/70 - فله"</f>
        <v>قير 60/70 - فله</v>
      </c>
      <c r="L584" s="1">
        <v>100</v>
      </c>
      <c r="M584" s="1" t="str">
        <f>"مخازن قير اصفهان"</f>
        <v>مخازن قير اصفهان</v>
      </c>
      <c r="N584" s="1">
        <v>11105</v>
      </c>
      <c r="O584" s="1">
        <v>50035999</v>
      </c>
      <c r="P584" s="1" t="str">
        <f>"  بهمن راه کويريزد"</f>
        <v xml:space="preserve">  بهمن راه کويريزد</v>
      </c>
      <c r="Q584" s="1">
        <v>62</v>
      </c>
      <c r="R584" s="1" t="str">
        <f>"فروش داخلي - سازمان بنيادمسكن انقلاب اسلامي"</f>
        <v>فروش داخلي - سازمان بنيادمسكن انقلاب اسلامي</v>
      </c>
      <c r="S584" s="1" t="str">
        <f>"قرارداد فروش"</f>
        <v>قرارداد فروش</v>
      </c>
      <c r="T584" s="1" t="str">
        <f>"ندارد"</f>
        <v>ندارد</v>
      </c>
      <c r="U584" s="1" t="str">
        <f>"عزيزي صفر(1006ج 89)"</f>
        <v>عزيزي صفر(1006ج 89)</v>
      </c>
      <c r="V584" s="1">
        <v>966200240</v>
      </c>
      <c r="W584" s="1">
        <v>966200240</v>
      </c>
      <c r="X584" s="1" t="str">
        <f>"1396511685"</f>
        <v>1396511685</v>
      </c>
      <c r="Y584" s="1" t="str">
        <f>"96/06/21"</f>
        <v>96/06/21</v>
      </c>
      <c r="Z584" s="1" t="str">
        <f>"26385/د"</f>
        <v>26385/د</v>
      </c>
      <c r="AA584" s="1" t="str">
        <f>"بنيادمسكن انقلاب اسلامي"</f>
        <v>بنيادمسكن انقلاب اسلامي</v>
      </c>
      <c r="AB584" s="1" t="str">
        <f>"96/06/15"</f>
        <v>96/06/15</v>
      </c>
      <c r="AC584" s="1" t="str">
        <f>"استان اصفهان"</f>
        <v>استان اصفهان</v>
      </c>
      <c r="AD584" s="1" t="str">
        <f>"96/06/21"</f>
        <v>96/06/21</v>
      </c>
      <c r="AE584" s="1" t="str">
        <f>"اختتام"</f>
        <v>اختتام</v>
      </c>
      <c r="AF584" s="1" t="str">
        <f>""</f>
        <v/>
      </c>
      <c r="AG584" s="1" t="str">
        <f>""</f>
        <v/>
      </c>
      <c r="AH584" s="1" t="str">
        <f>""</f>
        <v/>
      </c>
      <c r="AI584" s="1" t="str">
        <f>""</f>
        <v/>
      </c>
      <c r="AJ584" s="1" t="str">
        <f>""</f>
        <v/>
      </c>
      <c r="AK584" s="1" t="str">
        <f>""</f>
        <v/>
      </c>
    </row>
    <row r="585" spans="1:37">
      <c r="A585" s="1">
        <v>255000</v>
      </c>
      <c r="B585" s="1">
        <v>966200377</v>
      </c>
      <c r="C585" s="1" t="str">
        <f>"تخليه-لرستان-الشتر-کيلومتر6جاده خرگوش ناب-دانه بندي سلسله"</f>
        <v>تخليه-لرستان-الشتر-کيلومتر6جاده خرگوش ناب-دانه بندي سلسله</v>
      </c>
      <c r="D585" s="1">
        <v>9416</v>
      </c>
      <c r="E585" s="1">
        <v>254180</v>
      </c>
      <c r="F585" s="1">
        <v>96</v>
      </c>
      <c r="G585" s="1">
        <v>820</v>
      </c>
      <c r="H585" s="1" t="str">
        <f>"96/08/17"</f>
        <v>96/08/17</v>
      </c>
      <c r="I585" s="1" t="str">
        <f>"كيلوگرم"</f>
        <v>كيلوگرم</v>
      </c>
      <c r="J585" s="1" t="str">
        <f>"0000000076"</f>
        <v>0000000076</v>
      </c>
      <c r="K585" s="1" t="str">
        <f>"قير 60/70 - فله"</f>
        <v>قير 60/70 - فله</v>
      </c>
      <c r="L585" s="1">
        <v>100</v>
      </c>
      <c r="M585" s="1" t="str">
        <f>"مخازن قير اصفهان"</f>
        <v>مخازن قير اصفهان</v>
      </c>
      <c r="N585" s="1">
        <v>11148</v>
      </c>
      <c r="O585" s="1">
        <v>50037124</v>
      </c>
      <c r="P585" s="1" t="str">
        <f>"  شن و ماسه دانه بندي سلسله"</f>
        <v xml:space="preserve">  شن و ماسه دانه بندي سلسله</v>
      </c>
      <c r="Q585" s="1">
        <v>62</v>
      </c>
      <c r="R585" s="1" t="str">
        <f>"فروش داخلي - سازمان بنيادمسكن انقلاب اسلامي"</f>
        <v>فروش داخلي - سازمان بنيادمسكن انقلاب اسلامي</v>
      </c>
      <c r="S585" s="1" t="str">
        <f>"قرارداد فروش"</f>
        <v>قرارداد فروش</v>
      </c>
      <c r="T585" s="1" t="str">
        <f>"ندارد"</f>
        <v>ندارد</v>
      </c>
      <c r="U585" s="1" t="str">
        <f>"ريسماني حسن(1007ج89)"</f>
        <v>ريسماني حسن(1007ج89)</v>
      </c>
      <c r="V585" s="1">
        <v>966200377</v>
      </c>
      <c r="W585" s="1">
        <v>966200377</v>
      </c>
      <c r="X585" s="1" t="str">
        <f>"1396524777"</f>
        <v>1396524777</v>
      </c>
      <c r="Y585" s="1" t="str">
        <f>"96/08/17"</f>
        <v>96/08/17</v>
      </c>
      <c r="Z585" s="1" t="str">
        <f>"34706/د"</f>
        <v>34706/د</v>
      </c>
      <c r="AA585" s="1" t="str">
        <f>"بنيادمسكن انقلاب اسلامي"</f>
        <v>بنيادمسكن انقلاب اسلامي</v>
      </c>
      <c r="AB585" s="1" t="str">
        <f>"96/08/03"</f>
        <v>96/08/03</v>
      </c>
      <c r="AC585" s="1" t="str">
        <f>"لرستان"</f>
        <v>لرستان</v>
      </c>
      <c r="AD585" s="1" t="str">
        <f>"96/08/17"</f>
        <v>96/08/17</v>
      </c>
      <c r="AE585" s="1" t="str">
        <f>"اختتام"</f>
        <v>اختتام</v>
      </c>
      <c r="AF585" s="1" t="str">
        <f>""</f>
        <v/>
      </c>
      <c r="AG585" s="1" t="str">
        <f>""</f>
        <v/>
      </c>
      <c r="AH585" s="1" t="str">
        <f>""</f>
        <v/>
      </c>
      <c r="AI585" s="1" t="str">
        <f>""</f>
        <v/>
      </c>
      <c r="AJ585" s="1" t="str">
        <f>""</f>
        <v/>
      </c>
      <c r="AK585" s="1" t="str">
        <f>""</f>
        <v/>
      </c>
    </row>
    <row r="586" spans="1:37">
      <c r="A586" s="1">
        <v>66134</v>
      </c>
      <c r="B586" s="1">
        <v>962000261</v>
      </c>
      <c r="C586" s="1" t="str">
        <f>"محل تخليه خراسان جنوبي كيلومتر15جاده بيرجندخوسف جنب كويرتايرابتداي جاده كلات"</f>
        <v>محل تخليه خراسان جنوبي كيلومتر15جاده بيرجندخوسف جنب كويرتايرابتداي جاده كلات</v>
      </c>
      <c r="D586" s="1">
        <v>9113</v>
      </c>
      <c r="E586" s="1">
        <v>66134</v>
      </c>
      <c r="F586" s="1">
        <v>96</v>
      </c>
      <c r="G586" s="1">
        <v>0</v>
      </c>
      <c r="H586" s="1" t="str">
        <f>"96/09/08"</f>
        <v>96/09/08</v>
      </c>
      <c r="I586" s="1" t="str">
        <f>"كيلوگرم"</f>
        <v>كيلوگرم</v>
      </c>
      <c r="J586" s="1" t="str">
        <f>"0000000076"</f>
        <v>0000000076</v>
      </c>
      <c r="K586" s="1" t="str">
        <f>"قير 60/70 - فله"</f>
        <v>قير 60/70 - فله</v>
      </c>
      <c r="L586" s="1">
        <v>100</v>
      </c>
      <c r="M586" s="1" t="str">
        <f>"مخازن قير اصفهان"</f>
        <v>مخازن قير اصفهان</v>
      </c>
      <c r="N586" s="1">
        <v>9074</v>
      </c>
      <c r="O586" s="1">
        <v>50037390</v>
      </c>
      <c r="P586" s="1" t="str">
        <f>"  شهرداري سربيشه"</f>
        <v xml:space="preserve">  شهرداري سربيشه</v>
      </c>
      <c r="Q586" s="1">
        <v>20</v>
      </c>
      <c r="R586" s="1" t="str">
        <f>"فروش داخلي - سازمان شهرداري ها و دهياري هاي كشور"</f>
        <v>فروش داخلي - سازمان شهرداري ها و دهياري هاي كشور</v>
      </c>
      <c r="S586" s="1" t="str">
        <f>"قرارداد فروش"</f>
        <v>قرارداد فروش</v>
      </c>
      <c r="T586" s="1" t="str">
        <f>"ندارد"</f>
        <v>ندارد</v>
      </c>
      <c r="U586" s="1" t="str">
        <f>"تعاوني جم گستر (1001 ج 89)"</f>
        <v>تعاوني جم گستر (1001 ج 89)</v>
      </c>
      <c r="V586" s="1">
        <v>962000261</v>
      </c>
      <c r="W586" s="1">
        <v>962000261</v>
      </c>
      <c r="X586" s="1" t="str">
        <f>"1396514467"</f>
        <v>1396514467</v>
      </c>
      <c r="Y586" s="1" t="str">
        <f>"96/09/08"</f>
        <v>96/09/08</v>
      </c>
      <c r="Z586" s="1" t="str">
        <f>"37083مرحله دوم"</f>
        <v>37083مرحله دوم</v>
      </c>
      <c r="AA586" s="1" t="str">
        <f>"شهرداريها"</f>
        <v>شهرداريها</v>
      </c>
      <c r="AB586" s="1" t="str">
        <f>"96/09/04"</f>
        <v>96/09/04</v>
      </c>
      <c r="AC586" s="1" t="str">
        <f>"خراسان جنوبي"</f>
        <v>خراسان جنوبي</v>
      </c>
      <c r="AD586" s="1" t="str">
        <f>"96/07/03"</f>
        <v>96/07/03</v>
      </c>
      <c r="AE586" s="1" t="str">
        <f>"اختتام"</f>
        <v>اختتام</v>
      </c>
      <c r="AF586" s="1" t="str">
        <f>""</f>
        <v/>
      </c>
      <c r="AG586" s="1" t="str">
        <f>""</f>
        <v/>
      </c>
      <c r="AH586" s="1" t="str">
        <f>""</f>
        <v/>
      </c>
      <c r="AI586" s="1" t="str">
        <f>""</f>
        <v/>
      </c>
      <c r="AJ586" s="1" t="str">
        <f>""</f>
        <v/>
      </c>
      <c r="AK586" s="1" t="str">
        <f>""</f>
        <v/>
      </c>
    </row>
    <row r="587" spans="1:37">
      <c r="A587" s="1">
        <v>350000</v>
      </c>
      <c r="B587" s="1">
        <v>966200362</v>
      </c>
      <c r="C587" s="1" t="str">
        <f>"تخليه - کهگيلويه و بويراحمد-دهدشت - لنده - روستاي ايدنک - کارخانه آسفالت تقي زاده"</f>
        <v>تخليه - کهگيلويه و بويراحمد-دهدشت - لنده - روستاي ايدنک - کارخانه آسفالت تقي زاده</v>
      </c>
      <c r="D587" s="1">
        <v>9416</v>
      </c>
      <c r="E587" s="1">
        <v>349580</v>
      </c>
      <c r="F587" s="1">
        <v>96</v>
      </c>
      <c r="G587" s="1">
        <v>420</v>
      </c>
      <c r="H587" s="1" t="str">
        <f>"96/08/09"</f>
        <v>96/08/09</v>
      </c>
      <c r="I587" s="1" t="str">
        <f>"كيلوگرم"</f>
        <v>كيلوگرم</v>
      </c>
      <c r="J587" s="1" t="str">
        <f>"0000000076"</f>
        <v>0000000076</v>
      </c>
      <c r="K587" s="1" t="str">
        <f>"قير 60/70 - فله"</f>
        <v>قير 60/70 - فله</v>
      </c>
      <c r="L587" s="1">
        <v>100</v>
      </c>
      <c r="M587" s="1" t="str">
        <f>"مخازن قير اصفهان"</f>
        <v>مخازن قير اصفهان</v>
      </c>
      <c r="N587" s="1">
        <v>11182</v>
      </c>
      <c r="O587" s="1">
        <v>50036976</v>
      </c>
      <c r="P587" s="1" t="str">
        <f>"  سخت سازان سيراف"</f>
        <v xml:space="preserve">  سخت سازان سيراف</v>
      </c>
      <c r="Q587" s="1">
        <v>62</v>
      </c>
      <c r="R587" s="1" t="str">
        <f>"فروش داخلي - سازمان بنيادمسكن انقلاب اسلامي"</f>
        <v>فروش داخلي - سازمان بنيادمسكن انقلاب اسلامي</v>
      </c>
      <c r="S587" s="1" t="str">
        <f>"قرارداد فروش"</f>
        <v>قرارداد فروش</v>
      </c>
      <c r="T587" s="1" t="str">
        <f>"ندارد"</f>
        <v>ندارد</v>
      </c>
      <c r="U587" s="1" t="str">
        <f>"غلام نجفي سيامك‌‌‌‌‌‌(1881082)"</f>
        <v>غلام نجفي سيامك‌‌‌‌‌‌(1881082)</v>
      </c>
      <c r="V587" s="1">
        <v>966200362</v>
      </c>
      <c r="W587" s="1">
        <v>966200362</v>
      </c>
      <c r="X587" s="1" t="str">
        <f>"1396522408"</f>
        <v>1396522408</v>
      </c>
      <c r="Y587" s="1" t="str">
        <f>"96/08/09"</f>
        <v>96/08/09</v>
      </c>
      <c r="Z587" s="1" t="str">
        <f>"35254/د"</f>
        <v>35254/د</v>
      </c>
      <c r="AA587" s="1" t="str">
        <f>"بنيادمسكن انقلاب اسلامي"</f>
        <v>بنيادمسكن انقلاب اسلامي</v>
      </c>
      <c r="AB587" s="1" t="str">
        <f>"96/08/08"</f>
        <v>96/08/08</v>
      </c>
      <c r="AC587" s="1" t="str">
        <f>"كهكيلويه و بوير احمد"</f>
        <v>كهكيلويه و بوير احمد</v>
      </c>
      <c r="AD587" s="1" t="str">
        <f>"96/08/09"</f>
        <v>96/08/09</v>
      </c>
      <c r="AE587" s="1" t="str">
        <f>"اختتام"</f>
        <v>اختتام</v>
      </c>
      <c r="AF587" s="1" t="str">
        <f>""</f>
        <v/>
      </c>
      <c r="AG587" s="1" t="str">
        <f>""</f>
        <v/>
      </c>
      <c r="AH587" s="1" t="str">
        <f>""</f>
        <v/>
      </c>
      <c r="AI587" s="1" t="str">
        <f>""</f>
        <v/>
      </c>
      <c r="AJ587" s="1" t="str">
        <f>""</f>
        <v/>
      </c>
      <c r="AK587" s="1" t="str">
        <f>""</f>
        <v/>
      </c>
    </row>
    <row r="588" spans="1:37">
      <c r="A588" s="1">
        <v>175000</v>
      </c>
      <c r="B588" s="1">
        <v>966200734</v>
      </c>
      <c r="C588" s="1" t="str">
        <f>"تخليه - کهگيلويه و بويراحمد-دهدشت - لنده - روستاي ايدنک - کارخانه آسفالت تقي زاده"</f>
        <v>تخليه - کهگيلويه و بويراحمد-دهدشت - لنده - روستاي ايدنک - کارخانه آسفالت تقي زاده</v>
      </c>
      <c r="D588" s="1">
        <v>13350</v>
      </c>
      <c r="E588" s="1">
        <v>175000</v>
      </c>
      <c r="F588" s="1">
        <v>96</v>
      </c>
      <c r="G588" s="1">
        <v>0</v>
      </c>
      <c r="H588" s="1" t="str">
        <f>"96/12/26"</f>
        <v>96/12/26</v>
      </c>
      <c r="I588" s="1" t="str">
        <f>"كيلوگرم"</f>
        <v>كيلوگرم</v>
      </c>
      <c r="J588" s="1" t="str">
        <f>"0000000076"</f>
        <v>0000000076</v>
      </c>
      <c r="K588" s="1" t="str">
        <f>"قير 60/70 - فله"</f>
        <v>قير 60/70 - فله</v>
      </c>
      <c r="L588" s="1">
        <v>100</v>
      </c>
      <c r="M588" s="1" t="str">
        <f>"مخازن قير اصفهان"</f>
        <v>مخازن قير اصفهان</v>
      </c>
      <c r="N588" s="1">
        <v>11182</v>
      </c>
      <c r="O588" s="1">
        <v>50039095</v>
      </c>
      <c r="P588" s="1" t="str">
        <f>"  سخت سازان سيراف"</f>
        <v xml:space="preserve">  سخت سازان سيراف</v>
      </c>
      <c r="Q588" s="1">
        <v>62</v>
      </c>
      <c r="R588" s="1" t="str">
        <f>"فروش داخلي - سازمان بنيادمسكن انقلاب اسلامي"</f>
        <v>فروش داخلي - سازمان بنيادمسكن انقلاب اسلامي</v>
      </c>
      <c r="S588" s="1" t="str">
        <f>"قرارداد فروش"</f>
        <v>قرارداد فروش</v>
      </c>
      <c r="T588" s="1" t="str">
        <f>"ندارد"</f>
        <v>ندارد</v>
      </c>
      <c r="U588" s="1" t="str">
        <f>"غلام نجفي سيامك‌‌‌‌‌‌(1881082)"</f>
        <v>غلام نجفي سيامك‌‌‌‌‌‌(1881082)</v>
      </c>
      <c r="V588" s="1">
        <v>966200734</v>
      </c>
      <c r="W588" s="1">
        <v>966200734</v>
      </c>
      <c r="X588" s="1" t="str">
        <f>"1396555422"</f>
        <v>1396555422</v>
      </c>
      <c r="Y588" s="1" t="str">
        <f>"96/12/26"</f>
        <v>96/12/26</v>
      </c>
      <c r="Z588" s="1" t="str">
        <f>"59442/د"</f>
        <v>59442/د</v>
      </c>
      <c r="AA588" s="1" t="str">
        <f>"بنيادمسكن انقلاب اسلامي"</f>
        <v>بنيادمسكن انقلاب اسلامي</v>
      </c>
      <c r="AB588" s="1" t="str">
        <f>"96/12/23"</f>
        <v>96/12/23</v>
      </c>
      <c r="AC588" s="1" t="str">
        <f>"كهكيلويه و بوير احمد"</f>
        <v>كهكيلويه و بوير احمد</v>
      </c>
      <c r="AD588" s="1" t="str">
        <f>"96/12/26"</f>
        <v>96/12/26</v>
      </c>
      <c r="AE588" s="1" t="str">
        <f>"اختتام"</f>
        <v>اختتام</v>
      </c>
      <c r="AF588" s="1" t="str">
        <f>""</f>
        <v/>
      </c>
      <c r="AG588" s="1" t="str">
        <f>""</f>
        <v/>
      </c>
      <c r="AH588" s="1" t="str">
        <f>""</f>
        <v/>
      </c>
      <c r="AI588" s="1" t="str">
        <f>""</f>
        <v/>
      </c>
      <c r="AJ588" s="1" t="str">
        <f>""</f>
        <v/>
      </c>
      <c r="AK588" s="1" t="str">
        <f>""</f>
        <v/>
      </c>
    </row>
    <row r="589" spans="1:37">
      <c r="A589" s="1">
        <v>34678</v>
      </c>
      <c r="B589" s="1">
        <v>962000466</v>
      </c>
      <c r="C589" s="1" t="str">
        <f>"تخليه اصفهان زرين شهركيلومتر5جاده زرين شهرشركت زرين سپاهان"</f>
        <v>تخليه اصفهان زرين شهركيلومتر5جاده زرين شهرشركت زرين سپاهان</v>
      </c>
      <c r="D589" s="1">
        <v>12820</v>
      </c>
      <c r="E589" s="1">
        <v>34071</v>
      </c>
      <c r="F589" s="1">
        <v>96</v>
      </c>
      <c r="G589" s="1">
        <v>607</v>
      </c>
      <c r="H589" s="1" t="str">
        <f>"96/09/20"</f>
        <v>96/09/20</v>
      </c>
      <c r="I589" s="1" t="str">
        <f>"كيلوگرم"</f>
        <v>كيلوگرم</v>
      </c>
      <c r="J589" s="1" t="str">
        <f>"0000000076"</f>
        <v>0000000076</v>
      </c>
      <c r="K589" s="1" t="str">
        <f>"قير 60/70 - فله"</f>
        <v>قير 60/70 - فله</v>
      </c>
      <c r="L589" s="1">
        <v>100</v>
      </c>
      <c r="M589" s="1" t="str">
        <f>"مخازن قير اصفهان"</f>
        <v>مخازن قير اصفهان</v>
      </c>
      <c r="N589" s="1">
        <v>11184</v>
      </c>
      <c r="O589" s="1">
        <v>50037788</v>
      </c>
      <c r="P589" s="1" t="str">
        <f>"  شهرداري باغشاد"</f>
        <v xml:space="preserve">  شهرداري باغشاد</v>
      </c>
      <c r="Q589" s="1">
        <v>20</v>
      </c>
      <c r="R589" s="1" t="str">
        <f>"فروش داخلي - سازمان شهرداري ها و دهياري هاي كشور"</f>
        <v>فروش داخلي - سازمان شهرداري ها و دهياري هاي كشور</v>
      </c>
      <c r="S589" s="1" t="str">
        <f>"قرارداد فروش"</f>
        <v>قرارداد فروش</v>
      </c>
      <c r="T589" s="1" t="str">
        <f>"ندارد"</f>
        <v>ندارد</v>
      </c>
      <c r="U589" s="1" t="str">
        <f>"تعاوني جم گستر (1001 ج 89)"</f>
        <v>تعاوني جم گستر (1001 ج 89)</v>
      </c>
      <c r="V589" s="1">
        <v>962000466</v>
      </c>
      <c r="W589" s="1">
        <v>962000466</v>
      </c>
      <c r="X589" s="1" t="str">
        <f>"1396529711"</f>
        <v>1396529711</v>
      </c>
      <c r="Y589" s="1" t="str">
        <f>"96/09/20"</f>
        <v>96/09/20</v>
      </c>
      <c r="Z589" s="1" t="str">
        <f>"37111مرحله دوم"</f>
        <v>37111مرحله دوم</v>
      </c>
      <c r="AA589" s="1" t="str">
        <f>"شهرداريها"</f>
        <v>شهرداريها</v>
      </c>
      <c r="AB589" s="1" t="str">
        <f>"96/09/04"</f>
        <v>96/09/04</v>
      </c>
      <c r="AC589" s="1" t="str">
        <f>"استان اصفهان"</f>
        <v>استان اصفهان</v>
      </c>
      <c r="AD589" s="1" t="str">
        <f>"96/09/13"</f>
        <v>96/09/13</v>
      </c>
      <c r="AE589" s="1" t="str">
        <f>"تاييدشده"</f>
        <v>تاييدشده</v>
      </c>
      <c r="AF589" s="1" t="str">
        <f>""</f>
        <v/>
      </c>
      <c r="AG589" s="1" t="str">
        <f>""</f>
        <v/>
      </c>
      <c r="AH589" s="1" t="str">
        <f>""</f>
        <v/>
      </c>
      <c r="AI589" s="1" t="str">
        <f>""</f>
        <v/>
      </c>
      <c r="AJ589" s="1" t="str">
        <f>""</f>
        <v/>
      </c>
      <c r="AK589" s="1" t="str">
        <f>""</f>
        <v/>
      </c>
    </row>
    <row r="590" spans="1:37">
      <c r="A590" s="1">
        <v>240000</v>
      </c>
      <c r="B590" s="1">
        <v>966200727</v>
      </c>
      <c r="C590" s="1" t="str">
        <f>"تخليه-کهگيلويه -دهدشت روستاي خيرآباد-کارخانه آسفالت مظفر"</f>
        <v>تخليه-کهگيلويه -دهدشت روستاي خيرآباد-کارخانه آسفالت مظفر</v>
      </c>
      <c r="D590" s="1">
        <v>13350</v>
      </c>
      <c r="E590" s="1">
        <v>240000</v>
      </c>
      <c r="F590" s="1">
        <v>96</v>
      </c>
      <c r="G590" s="1">
        <v>0</v>
      </c>
      <c r="H590" s="1" t="str">
        <f>"96/12/26"</f>
        <v>96/12/26</v>
      </c>
      <c r="I590" s="1" t="str">
        <f>"كيلوگرم"</f>
        <v>كيلوگرم</v>
      </c>
      <c r="J590" s="1" t="str">
        <f>"0000000076"</f>
        <v>0000000076</v>
      </c>
      <c r="K590" s="1" t="str">
        <f>"قير 60/70 - فله"</f>
        <v>قير 60/70 - فله</v>
      </c>
      <c r="L590" s="1">
        <v>100</v>
      </c>
      <c r="M590" s="1" t="str">
        <f>"مخازن قير اصفهان"</f>
        <v>مخازن قير اصفهان</v>
      </c>
      <c r="N590" s="1">
        <v>11185</v>
      </c>
      <c r="O590" s="1">
        <v>50039088</v>
      </c>
      <c r="P590" s="1" t="str">
        <f>"  طاق کسري رييسي"</f>
        <v xml:space="preserve">  طاق کسري رييسي</v>
      </c>
      <c r="Q590" s="1">
        <v>62</v>
      </c>
      <c r="R590" s="1" t="str">
        <f>"فروش داخلي - سازمان بنيادمسكن انقلاب اسلامي"</f>
        <v>فروش داخلي - سازمان بنيادمسكن انقلاب اسلامي</v>
      </c>
      <c r="S590" s="1" t="str">
        <f>"قرارداد فروش"</f>
        <v>قرارداد فروش</v>
      </c>
      <c r="T590" s="1" t="str">
        <f>"ندارد"</f>
        <v>ندارد</v>
      </c>
      <c r="U590" s="1" t="str">
        <f>"غلام نجفي سيامك‌‌‌‌‌‌(1881082)"</f>
        <v>غلام نجفي سيامك‌‌‌‌‌‌(1881082)</v>
      </c>
      <c r="V590" s="1">
        <v>966200727</v>
      </c>
      <c r="W590" s="1">
        <v>966200727</v>
      </c>
      <c r="X590" s="1" t="str">
        <f>"1396555392"</f>
        <v>1396555392</v>
      </c>
      <c r="Y590" s="1" t="str">
        <f>"96/12/26"</f>
        <v>96/12/26</v>
      </c>
      <c r="Z590" s="1" t="str">
        <f>"59388/د"</f>
        <v>59388/د</v>
      </c>
      <c r="AA590" s="1" t="str">
        <f>"بنيادمسكن انقلاب اسلامي"</f>
        <v>بنيادمسكن انقلاب اسلامي</v>
      </c>
      <c r="AB590" s="1" t="str">
        <f>"96/12/23"</f>
        <v>96/12/23</v>
      </c>
      <c r="AC590" s="1" t="str">
        <f>"كهكيلويه و بوير احمد"</f>
        <v>كهكيلويه و بوير احمد</v>
      </c>
      <c r="AD590" s="1" t="str">
        <f>"96/12/26"</f>
        <v>96/12/26</v>
      </c>
      <c r="AE590" s="1" t="str">
        <f>"اختتام"</f>
        <v>اختتام</v>
      </c>
      <c r="AF590" s="1" t="str">
        <f>""</f>
        <v/>
      </c>
      <c r="AG590" s="1" t="str">
        <f>""</f>
        <v/>
      </c>
      <c r="AH590" s="1" t="str">
        <f>""</f>
        <v/>
      </c>
      <c r="AI590" s="1" t="str">
        <f>""</f>
        <v/>
      </c>
      <c r="AJ590" s="1" t="str">
        <f>""</f>
        <v/>
      </c>
      <c r="AK590" s="1" t="str">
        <f>""</f>
        <v/>
      </c>
    </row>
    <row r="591" spans="1:37">
      <c r="A591" s="1">
        <v>37462</v>
      </c>
      <c r="B591" s="1">
        <v>962000424</v>
      </c>
      <c r="C591" s="1" t="str">
        <f>"تخليه - فريدن - شهردامنه-کارخانه آسفالت دامنه"</f>
        <v>تخليه - فريدن - شهردامنه-کارخانه آسفالت دامنه</v>
      </c>
      <c r="D591" s="1">
        <v>12820</v>
      </c>
      <c r="E591" s="1">
        <v>37318</v>
      </c>
      <c r="F591" s="1">
        <v>96</v>
      </c>
      <c r="G591" s="1">
        <v>144</v>
      </c>
      <c r="H591" s="1" t="str">
        <f>"96/09/20"</f>
        <v>96/09/20</v>
      </c>
      <c r="I591" s="1" t="str">
        <f>"كيلوگرم"</f>
        <v>كيلوگرم</v>
      </c>
      <c r="J591" s="1" t="str">
        <f>"0000000076"</f>
        <v>0000000076</v>
      </c>
      <c r="K591" s="1" t="str">
        <f>"قير 60/70 - فله"</f>
        <v>قير 60/70 - فله</v>
      </c>
      <c r="L591" s="1">
        <v>100</v>
      </c>
      <c r="M591" s="1" t="str">
        <f>"مخازن قير اصفهان"</f>
        <v>مخازن قير اصفهان</v>
      </c>
      <c r="N591" s="1">
        <v>11188</v>
      </c>
      <c r="O591" s="1">
        <v>50037741</v>
      </c>
      <c r="P591" s="1" t="str">
        <f>"  شهرداري رزوه"</f>
        <v xml:space="preserve">  شهرداري رزوه</v>
      </c>
      <c r="Q591" s="1">
        <v>20</v>
      </c>
      <c r="R591" s="1" t="str">
        <f>"فروش داخلي - سازمان شهرداري ها و دهياري هاي كشور"</f>
        <v>فروش داخلي - سازمان شهرداري ها و دهياري هاي كشور</v>
      </c>
      <c r="S591" s="1" t="str">
        <f>"قرارداد فروش"</f>
        <v>قرارداد فروش</v>
      </c>
      <c r="T591" s="1" t="str">
        <f>"ندارد"</f>
        <v>ندارد</v>
      </c>
      <c r="U591" s="1" t="str">
        <f>"تعاوني جم گستر (1001 ج 89)"</f>
        <v>تعاوني جم گستر (1001 ج 89)</v>
      </c>
      <c r="V591" s="1">
        <v>962000424</v>
      </c>
      <c r="W591" s="1">
        <v>962000424</v>
      </c>
      <c r="X591" s="1" t="str">
        <f>"1396529711"</f>
        <v>1396529711</v>
      </c>
      <c r="Y591" s="1" t="str">
        <f>"96/09/20"</f>
        <v>96/09/20</v>
      </c>
      <c r="Z591" s="1" t="str">
        <f>"37140مرحله دوم"</f>
        <v>37140مرحله دوم</v>
      </c>
      <c r="AA591" s="1" t="str">
        <f>"شهرداريها"</f>
        <v>شهرداريها</v>
      </c>
      <c r="AB591" s="1" t="str">
        <f>"96/09/05"</f>
        <v>96/09/05</v>
      </c>
      <c r="AC591" s="1" t="str">
        <f>"استان اصفهان"</f>
        <v>استان اصفهان</v>
      </c>
      <c r="AD591" s="1" t="str">
        <f>"96/09/13"</f>
        <v>96/09/13</v>
      </c>
      <c r="AE591" s="1" t="str">
        <f>"تاييدشده"</f>
        <v>تاييدشده</v>
      </c>
      <c r="AF591" s="1" t="str">
        <f>""</f>
        <v/>
      </c>
      <c r="AG591" s="1" t="str">
        <f>""</f>
        <v/>
      </c>
      <c r="AH591" s="1" t="str">
        <f>""</f>
        <v/>
      </c>
      <c r="AI591" s="1" t="str">
        <f>""</f>
        <v/>
      </c>
      <c r="AJ591" s="1" t="str">
        <f>""</f>
        <v/>
      </c>
      <c r="AK591" s="1" t="str">
        <f>""</f>
        <v/>
      </c>
    </row>
    <row r="592" spans="1:37">
      <c r="A592" s="1">
        <v>84000</v>
      </c>
      <c r="B592" s="1">
        <v>966200470</v>
      </c>
      <c r="C592" s="1" t="str">
        <f>"تخليه كهگيلويه گچساران روستاي سرآبيز كارخانه آسفالت آقاي حسيني"</f>
        <v>تخليه كهگيلويه گچساران روستاي سرآبيز كارخانه آسفالت آقاي حسيني</v>
      </c>
      <c r="D592" s="1">
        <v>12820</v>
      </c>
      <c r="E592" s="1">
        <v>84000</v>
      </c>
      <c r="F592" s="1">
        <v>96</v>
      </c>
      <c r="G592" s="1">
        <v>0</v>
      </c>
      <c r="H592" s="1" t="str">
        <f>"96/09/27"</f>
        <v>96/09/27</v>
      </c>
      <c r="I592" s="1" t="str">
        <f>"كيلوگرم"</f>
        <v>كيلوگرم</v>
      </c>
      <c r="J592" s="1" t="str">
        <f>"0000000076"</f>
        <v>0000000076</v>
      </c>
      <c r="K592" s="1" t="str">
        <f>"قير 60/70 - فله"</f>
        <v>قير 60/70 - فله</v>
      </c>
      <c r="L592" s="1">
        <v>100</v>
      </c>
      <c r="M592" s="1" t="str">
        <f>"مخازن قير اصفهان"</f>
        <v>مخازن قير اصفهان</v>
      </c>
      <c r="N592" s="1">
        <v>11189</v>
      </c>
      <c r="O592" s="1">
        <v>50037915</v>
      </c>
      <c r="P592" s="1" t="str">
        <f>"  ساحل عمران تنگه تنگاري"</f>
        <v xml:space="preserve">  ساحل عمران تنگه تنگاري</v>
      </c>
      <c r="Q592" s="1">
        <v>62</v>
      </c>
      <c r="R592" s="1" t="str">
        <f>"فروش داخلي - سازمان بنيادمسكن انقلاب اسلامي"</f>
        <v>فروش داخلي - سازمان بنيادمسكن انقلاب اسلامي</v>
      </c>
      <c r="S592" s="1" t="str">
        <f>"قرارداد فروش"</f>
        <v>قرارداد فروش</v>
      </c>
      <c r="T592" s="1" t="str">
        <f>"ندارد"</f>
        <v>ندارد</v>
      </c>
      <c r="U592" s="1" t="str">
        <f>"غلام نجفي سيامك‌‌‌‌‌‌(1881082)"</f>
        <v>غلام نجفي سيامك‌‌‌‌‌‌(1881082)</v>
      </c>
      <c r="V592" s="1">
        <v>966200470</v>
      </c>
      <c r="W592" s="1">
        <v>966200470</v>
      </c>
      <c r="X592" s="1" t="str">
        <f>"1396533043"</f>
        <v>1396533043</v>
      </c>
      <c r="Y592" s="1" t="str">
        <f>"96/09/27"</f>
        <v>96/09/27</v>
      </c>
      <c r="Z592" s="1" t="str">
        <f>"42436/د"</f>
        <v>42436/د</v>
      </c>
      <c r="AA592" s="1" t="str">
        <f>"بنيادمسكن انقلاب اسلامي"</f>
        <v>بنيادمسكن انقلاب اسلامي</v>
      </c>
      <c r="AB592" s="1" t="str">
        <f>"96/09/26"</f>
        <v>96/09/26</v>
      </c>
      <c r="AC592" s="1" t="str">
        <f>"كهكيلويه و بوير احمد"</f>
        <v>كهكيلويه و بوير احمد</v>
      </c>
      <c r="AD592" s="1" t="str">
        <f>"96/09/27"</f>
        <v>96/09/27</v>
      </c>
      <c r="AE592" s="1" t="str">
        <f>"اختتام"</f>
        <v>اختتام</v>
      </c>
      <c r="AF592" s="1" t="str">
        <f>""</f>
        <v/>
      </c>
      <c r="AG592" s="1" t="str">
        <f>""</f>
        <v/>
      </c>
      <c r="AH592" s="1" t="str">
        <f>""</f>
        <v/>
      </c>
      <c r="AI592" s="1" t="str">
        <f>""</f>
        <v/>
      </c>
      <c r="AJ592" s="1" t="str">
        <f>""</f>
        <v/>
      </c>
      <c r="AK592" s="1" t="str">
        <f>""</f>
        <v/>
      </c>
    </row>
    <row r="593" spans="1:37">
      <c r="A593" s="1">
        <v>39657</v>
      </c>
      <c r="B593" s="1">
        <v>962000467</v>
      </c>
      <c r="C593" s="1" t="str">
        <f>"تخليه اصفهان كيلومتر29اتوبان اصفهان شهركردگردنه گاوپيشه كارخانه آسفالت زرين سپاهان"</f>
        <v>تخليه اصفهان كيلومتر29اتوبان اصفهان شهركردگردنه گاوپيشه كارخانه آسفالت زرين سپاهان</v>
      </c>
      <c r="D593" s="1">
        <v>12820</v>
      </c>
      <c r="E593" s="1">
        <v>39657</v>
      </c>
      <c r="F593" s="1">
        <v>96</v>
      </c>
      <c r="G593" s="1">
        <v>0</v>
      </c>
      <c r="H593" s="1" t="str">
        <f>"96/09/20"</f>
        <v>96/09/20</v>
      </c>
      <c r="I593" s="1" t="str">
        <f>"كيلوگرم"</f>
        <v>كيلوگرم</v>
      </c>
      <c r="J593" s="1" t="str">
        <f>"0000000076"</f>
        <v>0000000076</v>
      </c>
      <c r="K593" s="1" t="str">
        <f>"قير 60/70 - فله"</f>
        <v>قير 60/70 - فله</v>
      </c>
      <c r="L593" s="1">
        <v>100</v>
      </c>
      <c r="M593" s="1" t="str">
        <f>"مخازن قير اصفهان"</f>
        <v>مخازن قير اصفهان</v>
      </c>
      <c r="N593" s="1">
        <v>11196</v>
      </c>
      <c r="O593" s="1">
        <v>50037789</v>
      </c>
      <c r="P593" s="1" t="str">
        <f>"  شهرداري چرمهين"</f>
        <v xml:space="preserve">  شهرداري چرمهين</v>
      </c>
      <c r="Q593" s="1">
        <v>20</v>
      </c>
      <c r="R593" s="1" t="str">
        <f>"فروش داخلي - سازمان شهرداري ها و دهياري هاي كشور"</f>
        <v>فروش داخلي - سازمان شهرداري ها و دهياري هاي كشور</v>
      </c>
      <c r="S593" s="1" t="str">
        <f>"قرارداد فروش"</f>
        <v>قرارداد فروش</v>
      </c>
      <c r="T593" s="1" t="str">
        <f>"ندارد"</f>
        <v>ندارد</v>
      </c>
      <c r="U593" s="1" t="str">
        <f>"تعاوني جم گستر (1001 ج 89)"</f>
        <v>تعاوني جم گستر (1001 ج 89)</v>
      </c>
      <c r="V593" s="1">
        <v>962000467</v>
      </c>
      <c r="W593" s="1">
        <v>962000467</v>
      </c>
      <c r="X593" s="1" t="str">
        <f>"1396529711"</f>
        <v>1396529711</v>
      </c>
      <c r="Y593" s="1" t="str">
        <f>"96/09/20"</f>
        <v>96/09/20</v>
      </c>
      <c r="Z593" s="1" t="str">
        <f>"37122مرحله دوم"</f>
        <v>37122مرحله دوم</v>
      </c>
      <c r="AA593" s="1" t="str">
        <f>"شهرداريها"</f>
        <v>شهرداريها</v>
      </c>
      <c r="AB593" s="1" t="str">
        <f>"96/09/04"</f>
        <v>96/09/04</v>
      </c>
      <c r="AC593" s="1" t="str">
        <f>"استان اصفهان"</f>
        <v>استان اصفهان</v>
      </c>
      <c r="AD593" s="1" t="str">
        <f>"96/09/13"</f>
        <v>96/09/13</v>
      </c>
      <c r="AE593" s="1" t="str">
        <f>"اختتام"</f>
        <v>اختتام</v>
      </c>
      <c r="AF593" s="1" t="str">
        <f>""</f>
        <v/>
      </c>
      <c r="AG593" s="1" t="str">
        <f>""</f>
        <v/>
      </c>
      <c r="AH593" s="1" t="str">
        <f>""</f>
        <v/>
      </c>
      <c r="AI593" s="1" t="str">
        <f>""</f>
        <v/>
      </c>
      <c r="AJ593" s="1" t="str">
        <f>""</f>
        <v/>
      </c>
      <c r="AK593" s="1" t="str">
        <f>""</f>
        <v/>
      </c>
    </row>
    <row r="594" spans="1:37">
      <c r="A594" s="1">
        <v>340000</v>
      </c>
      <c r="B594" s="1">
        <v>966200361</v>
      </c>
      <c r="C594" s="1" t="str">
        <f>"تخليه - کهگيلويه - بهبهان-روستاي خيرآباد-کارخانه آسفالت مظفر"</f>
        <v>تخليه - کهگيلويه - بهبهان-روستاي خيرآباد-کارخانه آسفالت مظفر</v>
      </c>
      <c r="D594" s="1">
        <v>9416</v>
      </c>
      <c r="E594" s="1">
        <v>339300</v>
      </c>
      <c r="F594" s="1">
        <v>96</v>
      </c>
      <c r="G594" s="1">
        <v>700</v>
      </c>
      <c r="H594" s="1" t="str">
        <f>"96/08/09"</f>
        <v>96/08/09</v>
      </c>
      <c r="I594" s="1" t="str">
        <f>"كيلوگرم"</f>
        <v>كيلوگرم</v>
      </c>
      <c r="J594" s="1" t="str">
        <f>"0000000076"</f>
        <v>0000000076</v>
      </c>
      <c r="K594" s="1" t="str">
        <f>"قير 60/70 - فله"</f>
        <v>قير 60/70 - فله</v>
      </c>
      <c r="L594" s="1">
        <v>100</v>
      </c>
      <c r="M594" s="1" t="str">
        <f>"مخازن قير اصفهان"</f>
        <v>مخازن قير اصفهان</v>
      </c>
      <c r="N594" s="1">
        <v>11199</v>
      </c>
      <c r="O594" s="1">
        <v>50036975</v>
      </c>
      <c r="P594" s="1" t="str">
        <f>"  ماهان گذر ارجان"</f>
        <v xml:space="preserve">  ماهان گذر ارجان</v>
      </c>
      <c r="Q594" s="1">
        <v>62</v>
      </c>
      <c r="R594" s="1" t="str">
        <f>"فروش داخلي - سازمان بنيادمسكن انقلاب اسلامي"</f>
        <v>فروش داخلي - سازمان بنيادمسكن انقلاب اسلامي</v>
      </c>
      <c r="S594" s="1" t="str">
        <f>"قرارداد فروش"</f>
        <v>قرارداد فروش</v>
      </c>
      <c r="T594" s="1" t="str">
        <f>"ندارد"</f>
        <v>ندارد</v>
      </c>
      <c r="U594" s="1" t="str">
        <f>"غلام نجفي سيامك‌‌‌‌‌‌(1881082)"</f>
        <v>غلام نجفي سيامك‌‌‌‌‌‌(1881082)</v>
      </c>
      <c r="V594" s="1">
        <v>966200361</v>
      </c>
      <c r="W594" s="1">
        <v>966200361</v>
      </c>
      <c r="X594" s="1" t="str">
        <f>"1396522408"</f>
        <v>1396522408</v>
      </c>
      <c r="Y594" s="1" t="str">
        <f>"96/08/09"</f>
        <v>96/08/09</v>
      </c>
      <c r="Z594" s="1" t="str">
        <f>"35255/د"</f>
        <v>35255/د</v>
      </c>
      <c r="AA594" s="1" t="str">
        <f>"بنيادمسكن انقلاب اسلامي"</f>
        <v>بنيادمسكن انقلاب اسلامي</v>
      </c>
      <c r="AB594" s="1" t="str">
        <f>"96/08/08"</f>
        <v>96/08/08</v>
      </c>
      <c r="AC594" s="1" t="str">
        <f>"كهكيلويه و بوير احمد"</f>
        <v>كهكيلويه و بوير احمد</v>
      </c>
      <c r="AD594" s="1" t="str">
        <f>"96/08/09"</f>
        <v>96/08/09</v>
      </c>
      <c r="AE594" s="1" t="str">
        <f>"اختتام"</f>
        <v>اختتام</v>
      </c>
      <c r="AF594" s="1" t="str">
        <f>""</f>
        <v/>
      </c>
      <c r="AG594" s="1" t="str">
        <f>""</f>
        <v/>
      </c>
      <c r="AH594" s="1" t="str">
        <f>""</f>
        <v/>
      </c>
      <c r="AI594" s="1" t="str">
        <f>""</f>
        <v/>
      </c>
      <c r="AJ594" s="1" t="str">
        <f>""</f>
        <v/>
      </c>
      <c r="AK594" s="1" t="str">
        <f>""</f>
        <v/>
      </c>
    </row>
    <row r="595" spans="1:37">
      <c r="A595" s="1">
        <v>134477</v>
      </c>
      <c r="B595" s="1">
        <v>962000218</v>
      </c>
      <c r="C595" s="1" t="str">
        <f>"تخليه -كهگيلويه وبويراحمدياسوج كارخانه آسفالت دارشاهي"</f>
        <v>تخليه -كهگيلويه وبويراحمدياسوج كارخانه آسفالت دارشاهي</v>
      </c>
      <c r="D595" s="1">
        <v>9113</v>
      </c>
      <c r="E595" s="1">
        <v>134477</v>
      </c>
      <c r="F595" s="1">
        <v>96</v>
      </c>
      <c r="G595" s="1">
        <v>0</v>
      </c>
      <c r="H595" s="1" t="str">
        <f>"96/07/03"</f>
        <v>96/07/03</v>
      </c>
      <c r="I595" s="1" t="str">
        <f>"كيلوگرم"</f>
        <v>كيلوگرم</v>
      </c>
      <c r="J595" s="1" t="str">
        <f>"0000000076"</f>
        <v>0000000076</v>
      </c>
      <c r="K595" s="1" t="str">
        <f>"قير 60/70 - فله"</f>
        <v>قير 60/70 - فله</v>
      </c>
      <c r="L595" s="1">
        <v>100</v>
      </c>
      <c r="M595" s="1" t="str">
        <f>"مخازن قير اصفهان"</f>
        <v>مخازن قير اصفهان</v>
      </c>
      <c r="N595" s="1">
        <v>11205</v>
      </c>
      <c r="O595" s="1">
        <v>50036455</v>
      </c>
      <c r="P595" s="1" t="str">
        <f>"  شهرداري مارگون"</f>
        <v xml:space="preserve">  شهرداري مارگون</v>
      </c>
      <c r="Q595" s="1">
        <v>20</v>
      </c>
      <c r="R595" s="1" t="str">
        <f>"فروش داخلي - سازمان شهرداري ها و دهياري هاي كشور"</f>
        <v>فروش داخلي - سازمان شهرداري ها و دهياري هاي كشور</v>
      </c>
      <c r="S595" s="1" t="str">
        <f>"قرارداد فروش"</f>
        <v>قرارداد فروش</v>
      </c>
      <c r="T595" s="1" t="str">
        <f>"ندارد"</f>
        <v>ندارد</v>
      </c>
      <c r="U595" s="1" t="str">
        <f>"تعاوني جم گستر (1001 ج 89)"</f>
        <v>تعاوني جم گستر (1001 ج 89)</v>
      </c>
      <c r="V595" s="1">
        <v>962000218</v>
      </c>
      <c r="W595" s="1">
        <v>962000218</v>
      </c>
      <c r="X595" s="1" t="str">
        <f>"1396514467"</f>
        <v>1396514467</v>
      </c>
      <c r="Y595" s="1" t="str">
        <f>"96/07/03"</f>
        <v>96/07/03</v>
      </c>
      <c r="Z595" s="1" t="str">
        <f>"26801مرحله اول"</f>
        <v>26801مرحله اول</v>
      </c>
      <c r="AA595" s="1" t="str">
        <f>"شهرداريها"</f>
        <v>شهرداريها</v>
      </c>
      <c r="AB595" s="1" t="str">
        <f>"96/06/29"</f>
        <v>96/06/29</v>
      </c>
      <c r="AC595" s="1" t="str">
        <f>"كهكيلويه و بوير احمد"</f>
        <v>كهكيلويه و بوير احمد</v>
      </c>
      <c r="AD595" s="1" t="str">
        <f>"96/07/03"</f>
        <v>96/07/03</v>
      </c>
      <c r="AE595" s="1" t="str">
        <f>"اختتام"</f>
        <v>اختتام</v>
      </c>
      <c r="AF595" s="1" t="str">
        <f>""</f>
        <v/>
      </c>
      <c r="AG595" s="1" t="str">
        <f>""</f>
        <v/>
      </c>
      <c r="AH595" s="1" t="str">
        <f>""</f>
        <v/>
      </c>
      <c r="AI595" s="1" t="str">
        <f>""</f>
        <v/>
      </c>
      <c r="AJ595" s="1" t="str">
        <f>""</f>
        <v/>
      </c>
      <c r="AK595" s="1" t="str">
        <f>""</f>
        <v/>
      </c>
    </row>
    <row r="596" spans="1:37">
      <c r="A596" s="1">
        <v>47796</v>
      </c>
      <c r="B596" s="1">
        <v>962000493</v>
      </c>
      <c r="C596" s="1" t="str">
        <f>"تخليه -كهگيلويه وبويراحمدياسوج كارخانه آسفالت دارشاهي"</f>
        <v>تخليه -كهگيلويه وبويراحمدياسوج كارخانه آسفالت دارشاهي</v>
      </c>
      <c r="D596" s="1">
        <v>12820</v>
      </c>
      <c r="E596" s="1">
        <v>47796</v>
      </c>
      <c r="F596" s="1">
        <v>96</v>
      </c>
      <c r="G596" s="1">
        <v>0</v>
      </c>
      <c r="H596" s="1" t="str">
        <f>"96/09/20"</f>
        <v>96/09/20</v>
      </c>
      <c r="I596" s="1" t="str">
        <f>"كيلوگرم"</f>
        <v>كيلوگرم</v>
      </c>
      <c r="J596" s="1" t="str">
        <f>"0000000076"</f>
        <v>0000000076</v>
      </c>
      <c r="K596" s="1" t="str">
        <f>"قير 60/70 - فله"</f>
        <v>قير 60/70 - فله</v>
      </c>
      <c r="L596" s="1">
        <v>100</v>
      </c>
      <c r="M596" s="1" t="str">
        <f>"مخازن قير اصفهان"</f>
        <v>مخازن قير اصفهان</v>
      </c>
      <c r="N596" s="1">
        <v>11205</v>
      </c>
      <c r="O596" s="1">
        <v>50037870</v>
      </c>
      <c r="P596" s="1" t="str">
        <f>"  شهرداري مارگون"</f>
        <v xml:space="preserve">  شهرداري مارگون</v>
      </c>
      <c r="Q596" s="1">
        <v>20</v>
      </c>
      <c r="R596" s="1" t="str">
        <f>"فروش داخلي - سازمان شهرداري ها و دهياري هاي كشور"</f>
        <v>فروش داخلي - سازمان شهرداري ها و دهياري هاي كشور</v>
      </c>
      <c r="S596" s="1" t="str">
        <f>"قرارداد فروش"</f>
        <v>قرارداد فروش</v>
      </c>
      <c r="T596" s="1" t="str">
        <f>"ندارد"</f>
        <v>ندارد</v>
      </c>
      <c r="U596" s="1" t="str">
        <f>"تعاوني جم گستر (1001 ج 89)"</f>
        <v>تعاوني جم گستر (1001 ج 89)</v>
      </c>
      <c r="V596" s="1">
        <v>962000493</v>
      </c>
      <c r="W596" s="1">
        <v>962000493</v>
      </c>
      <c r="X596" s="1" t="str">
        <f>"1396529711"</f>
        <v>1396529711</v>
      </c>
      <c r="Y596" s="1" t="str">
        <f>"96/09/20"</f>
        <v>96/09/20</v>
      </c>
      <c r="Z596" s="1" t="str">
        <f>"38286مرحله دوم"</f>
        <v>38286مرحله دوم</v>
      </c>
      <c r="AA596" s="1" t="str">
        <f>"شهرداريها"</f>
        <v>شهرداريها</v>
      </c>
      <c r="AB596" s="1" t="str">
        <f>"96/09/11"</f>
        <v>96/09/11</v>
      </c>
      <c r="AC596" s="1" t="str">
        <f>"كهكيلويه و بوير احمد"</f>
        <v>كهكيلويه و بوير احمد</v>
      </c>
      <c r="AD596" s="1" t="str">
        <f>"96/09/13"</f>
        <v>96/09/13</v>
      </c>
      <c r="AE596" s="1" t="str">
        <f>"تاييدشده"</f>
        <v>تاييدشده</v>
      </c>
      <c r="AF596" s="1" t="str">
        <f>""</f>
        <v/>
      </c>
      <c r="AG596" s="1" t="str">
        <f>""</f>
        <v/>
      </c>
      <c r="AH596" s="1" t="str">
        <f>""</f>
        <v/>
      </c>
      <c r="AI596" s="1" t="str">
        <f>""</f>
        <v/>
      </c>
      <c r="AJ596" s="1" t="str">
        <f>""</f>
        <v/>
      </c>
      <c r="AK596" s="1" t="str">
        <f>""</f>
        <v/>
      </c>
    </row>
    <row r="597" spans="1:37">
      <c r="A597" s="1">
        <v>101737</v>
      </c>
      <c r="B597" s="1">
        <v>962000067</v>
      </c>
      <c r="C597" s="1" t="str">
        <f>"تخليه -اصفهان -كيلومتر3جاده وزوان -اصفهان -شركت خاك پي"</f>
        <v>تخليه -اصفهان -كيلومتر3جاده وزوان -اصفهان -شركت خاك پي</v>
      </c>
      <c r="D597" s="1">
        <v>9113</v>
      </c>
      <c r="E597" s="1">
        <v>101737</v>
      </c>
      <c r="F597" s="1">
        <v>96</v>
      </c>
      <c r="G597" s="1">
        <v>0</v>
      </c>
      <c r="H597" s="1" t="str">
        <f>"96/07/03"</f>
        <v>96/07/03</v>
      </c>
      <c r="I597" s="1" t="str">
        <f>"كيلوگرم"</f>
        <v>كيلوگرم</v>
      </c>
      <c r="J597" s="1" t="str">
        <f>"0000000076"</f>
        <v>0000000076</v>
      </c>
      <c r="K597" s="1" t="str">
        <f>"قير 60/70 - فله"</f>
        <v>قير 60/70 - فله</v>
      </c>
      <c r="L597" s="1">
        <v>100</v>
      </c>
      <c r="M597" s="1" t="str">
        <f>"مخازن قير اصفهان"</f>
        <v>مخازن قير اصفهان</v>
      </c>
      <c r="N597" s="1">
        <v>10701</v>
      </c>
      <c r="O597" s="1">
        <v>50036216</v>
      </c>
      <c r="P597" s="1" t="str">
        <f>"  شهرداري كامو و چوگان"</f>
        <v xml:space="preserve">  شهرداري كامو و چوگان</v>
      </c>
      <c r="Q597" s="1">
        <v>20</v>
      </c>
      <c r="R597" s="1" t="str">
        <f>"فروش داخلي - سازمان شهرداري ها و دهياري هاي كشور"</f>
        <v>فروش داخلي - سازمان شهرداري ها و دهياري هاي كشور</v>
      </c>
      <c r="S597" s="1" t="str">
        <f>"قرارداد فروش"</f>
        <v>قرارداد فروش</v>
      </c>
      <c r="T597" s="1" t="str">
        <f>"ندارد"</f>
        <v>ندارد</v>
      </c>
      <c r="U597" s="1" t="str">
        <f>"تعاوني جم گستر (1001 ج 89)"</f>
        <v>تعاوني جم گستر (1001 ج 89)</v>
      </c>
      <c r="V597" s="1">
        <v>962000067</v>
      </c>
      <c r="W597" s="1">
        <v>962000067</v>
      </c>
      <c r="X597" s="1" t="str">
        <f>"1396514467"</f>
        <v>1396514467</v>
      </c>
      <c r="Y597" s="1" t="str">
        <f>"96/07/03"</f>
        <v>96/07/03</v>
      </c>
      <c r="Z597" s="1" t="str">
        <f>"26685مرحله اول"</f>
        <v>26685مرحله اول</v>
      </c>
      <c r="AA597" s="1" t="str">
        <f>"شهرداريها"</f>
        <v>شهرداريها</v>
      </c>
      <c r="AB597" s="1" t="str">
        <f>"96/06/29"</f>
        <v>96/06/29</v>
      </c>
      <c r="AC597" s="1" t="str">
        <f>"استان اصفهان"</f>
        <v>استان اصفهان</v>
      </c>
      <c r="AD597" s="1" t="str">
        <f>"96/07/03"</f>
        <v>96/07/03</v>
      </c>
      <c r="AE597" s="1" t="str">
        <f>"اختتام"</f>
        <v>اختتام</v>
      </c>
      <c r="AF597" s="1" t="str">
        <f>""</f>
        <v/>
      </c>
      <c r="AG597" s="1" t="str">
        <f>""</f>
        <v/>
      </c>
      <c r="AH597" s="1" t="str">
        <f>""</f>
        <v/>
      </c>
      <c r="AI597" s="1" t="str">
        <f>""</f>
        <v/>
      </c>
      <c r="AJ597" s="1" t="str">
        <f>""</f>
        <v/>
      </c>
      <c r="AK597" s="1" t="str">
        <f>""</f>
        <v/>
      </c>
    </row>
    <row r="598" spans="1:37">
      <c r="A598" s="1">
        <v>37694</v>
      </c>
      <c r="B598" s="1">
        <v>962000417</v>
      </c>
      <c r="C598" s="1" t="str">
        <f>"تخليه اصفهان جنت آبادجاده شهيدكارخانه آسفالت زينبيه"</f>
        <v>تخليه اصفهان جنت آبادجاده شهيدكارخانه آسفالت زينبيه</v>
      </c>
      <c r="D598" s="1">
        <v>12820</v>
      </c>
      <c r="E598" s="1">
        <v>37694</v>
      </c>
      <c r="F598" s="1">
        <v>96</v>
      </c>
      <c r="G598" s="1">
        <v>0</v>
      </c>
      <c r="H598" s="1" t="str">
        <f>"96/09/20"</f>
        <v>96/09/20</v>
      </c>
      <c r="I598" s="1" t="str">
        <f>"كيلوگرم"</f>
        <v>كيلوگرم</v>
      </c>
      <c r="J598" s="1" t="str">
        <f>"0000000076"</f>
        <v>0000000076</v>
      </c>
      <c r="K598" s="1" t="str">
        <f>"قير 60/70 - فله"</f>
        <v>قير 60/70 - فله</v>
      </c>
      <c r="L598" s="1">
        <v>100</v>
      </c>
      <c r="M598" s="1" t="str">
        <f>"مخازن قير اصفهان"</f>
        <v>مخازن قير اصفهان</v>
      </c>
      <c r="N598" s="1">
        <v>10706</v>
      </c>
      <c r="O598" s="1">
        <v>50037730</v>
      </c>
      <c r="P598" s="1" t="str">
        <f>"  شهرداري شاپورآباد"</f>
        <v xml:space="preserve">  شهرداري شاپورآباد</v>
      </c>
      <c r="Q598" s="1">
        <v>20</v>
      </c>
      <c r="R598" s="1" t="str">
        <f>"فروش داخلي - سازمان شهرداري ها و دهياري هاي كشور"</f>
        <v>فروش داخلي - سازمان شهرداري ها و دهياري هاي كشور</v>
      </c>
      <c r="S598" s="1" t="str">
        <f>"قرارداد فروش"</f>
        <v>قرارداد فروش</v>
      </c>
      <c r="T598" s="1" t="str">
        <f>"ندارد"</f>
        <v>ندارد</v>
      </c>
      <c r="U598" s="1" t="str">
        <f>"تعاوني جم گستر (1001 ج 89)"</f>
        <v>تعاوني جم گستر (1001 ج 89)</v>
      </c>
      <c r="V598" s="1">
        <v>962000417</v>
      </c>
      <c r="W598" s="1">
        <v>962000417</v>
      </c>
      <c r="X598" s="1" t="str">
        <f>"1396529711"</f>
        <v>1396529711</v>
      </c>
      <c r="Y598" s="1" t="str">
        <f>"96/09/20"</f>
        <v>96/09/20</v>
      </c>
      <c r="Z598" s="1" t="str">
        <f>"37178مرحله دوم"</f>
        <v>37178مرحله دوم</v>
      </c>
      <c r="AA598" s="1" t="str">
        <f>"شهرداريها"</f>
        <v>شهرداريها</v>
      </c>
      <c r="AB598" s="1" t="str">
        <f>"96/09/05"</f>
        <v>96/09/05</v>
      </c>
      <c r="AC598" s="1" t="str">
        <f>"استان اصفهان"</f>
        <v>استان اصفهان</v>
      </c>
      <c r="AD598" s="1" t="str">
        <f>"96/09/13"</f>
        <v>96/09/13</v>
      </c>
      <c r="AE598" s="1" t="str">
        <f>"اختتام"</f>
        <v>اختتام</v>
      </c>
      <c r="AF598" s="1" t="str">
        <f>""</f>
        <v/>
      </c>
      <c r="AG598" s="1" t="str">
        <f>""</f>
        <v/>
      </c>
      <c r="AH598" s="1" t="str">
        <f>""</f>
        <v/>
      </c>
      <c r="AI598" s="1" t="str">
        <f>""</f>
        <v/>
      </c>
      <c r="AJ598" s="1" t="str">
        <f>""</f>
        <v/>
      </c>
      <c r="AK598" s="1" t="str">
        <f>""</f>
        <v/>
      </c>
    </row>
    <row r="599" spans="1:37">
      <c r="A599" s="1">
        <v>60635</v>
      </c>
      <c r="B599" s="1">
        <v>962000317</v>
      </c>
      <c r="C599" s="1" t="str">
        <f>"تخليه خراسان رضوي سنگ بست جنب كارخانه گچ رحيمي كارخانه آسفالت طوفان"</f>
        <v>تخليه خراسان رضوي سنگ بست جنب كارخانه گچ رحيمي كارخانه آسفالت طوفان</v>
      </c>
      <c r="D599" s="1">
        <v>9113</v>
      </c>
      <c r="E599" s="1">
        <v>59790</v>
      </c>
      <c r="F599" s="1">
        <v>96</v>
      </c>
      <c r="G599" s="1">
        <v>845</v>
      </c>
      <c r="H599" s="1" t="str">
        <f>"96/09/13"</f>
        <v>96/09/13</v>
      </c>
      <c r="I599" s="1" t="str">
        <f>"كيلوگرم"</f>
        <v>كيلوگرم</v>
      </c>
      <c r="J599" s="1" t="str">
        <f>"0000000076"</f>
        <v>0000000076</v>
      </c>
      <c r="K599" s="1" t="str">
        <f>"قير 60/70 - فله"</f>
        <v>قير 60/70 - فله</v>
      </c>
      <c r="L599" s="1">
        <v>100</v>
      </c>
      <c r="M599" s="1" t="str">
        <f>"مخازن قير اصفهان"</f>
        <v>مخازن قير اصفهان</v>
      </c>
      <c r="N599" s="1">
        <v>10720</v>
      </c>
      <c r="O599" s="1">
        <v>50037522</v>
      </c>
      <c r="P599" s="1" t="str">
        <f>"  شهرداري فرهادگرد"</f>
        <v xml:space="preserve">  شهرداري فرهادگرد</v>
      </c>
      <c r="Q599" s="1">
        <v>20</v>
      </c>
      <c r="R599" s="1" t="str">
        <f>"فروش داخلي - سازمان شهرداري ها و دهياري هاي كشور"</f>
        <v>فروش داخلي - سازمان شهرداري ها و دهياري هاي كشور</v>
      </c>
      <c r="S599" s="1" t="str">
        <f>"قرارداد فروش"</f>
        <v>قرارداد فروش</v>
      </c>
      <c r="T599" s="1" t="str">
        <f>"ندارد"</f>
        <v>ندارد</v>
      </c>
      <c r="U599" s="1" t="str">
        <f>"تعاوني جم گستر (1001 ج 89)"</f>
        <v>تعاوني جم گستر (1001 ج 89)</v>
      </c>
      <c r="V599" s="1">
        <v>962000317</v>
      </c>
      <c r="W599" s="1">
        <v>962000317</v>
      </c>
      <c r="X599" s="1" t="str">
        <f>"1396514467"</f>
        <v>1396514467</v>
      </c>
      <c r="Y599" s="1" t="str">
        <f>"96/09/12"</f>
        <v>96/09/12</v>
      </c>
      <c r="Z599" s="1" t="str">
        <f>"37043مرحله دوم"</f>
        <v>37043مرحله دوم</v>
      </c>
      <c r="AA599" s="1" t="str">
        <f>"شهرداريها"</f>
        <v>شهرداريها</v>
      </c>
      <c r="AB599" s="1" t="str">
        <f>"96/09/04"</f>
        <v>96/09/04</v>
      </c>
      <c r="AC599" s="1" t="str">
        <f>"خراسان رضوي"</f>
        <v>خراسان رضوي</v>
      </c>
      <c r="AD599" s="1" t="str">
        <f>"96/07/03"</f>
        <v>96/07/03</v>
      </c>
      <c r="AE599" s="1" t="str">
        <f>"اختتام"</f>
        <v>اختتام</v>
      </c>
      <c r="AF599" s="1" t="str">
        <f>""</f>
        <v/>
      </c>
      <c r="AG599" s="1" t="str">
        <f>""</f>
        <v/>
      </c>
      <c r="AH599" s="1" t="str">
        <f>""</f>
        <v/>
      </c>
      <c r="AI599" s="1" t="str">
        <f>""</f>
        <v/>
      </c>
      <c r="AJ599" s="1" t="str">
        <f>""</f>
        <v/>
      </c>
      <c r="AK599" s="1" t="str">
        <f>""</f>
        <v/>
      </c>
    </row>
    <row r="600" spans="1:37">
      <c r="A600" s="1">
        <v>107000</v>
      </c>
      <c r="B600" s="1">
        <v>966200100</v>
      </c>
      <c r="C600" s="1" t="str">
        <f>"تخليه - کهگيلويه- ياسوج - جاده کمربندي نرسيده به شهرک صنعتي فرودگاه کارخانه آسفالت"</f>
        <v>تخليه - کهگيلويه- ياسوج - جاده کمربندي نرسيده به شهرک صنعتي فرودگاه کارخانه آسفالت</v>
      </c>
      <c r="D600" s="1">
        <v>8918</v>
      </c>
      <c r="E600" s="1">
        <v>105600</v>
      </c>
      <c r="F600" s="1">
        <v>96</v>
      </c>
      <c r="G600" s="1">
        <v>1400</v>
      </c>
      <c r="H600" s="1" t="str">
        <f>"96/02/31"</f>
        <v>96/02/31</v>
      </c>
      <c r="I600" s="1" t="str">
        <f>"كيلوگرم"</f>
        <v>كيلوگرم</v>
      </c>
      <c r="J600" s="1" t="str">
        <f>"0000000076"</f>
        <v>0000000076</v>
      </c>
      <c r="K600" s="1" t="str">
        <f>"قير 60/70 - فله"</f>
        <v>قير 60/70 - فله</v>
      </c>
      <c r="L600" s="1">
        <v>100</v>
      </c>
      <c r="M600" s="1" t="str">
        <f>"مخازن قير اصفهان"</f>
        <v>مخازن قير اصفهان</v>
      </c>
      <c r="N600" s="1">
        <v>11206</v>
      </c>
      <c r="O600" s="1">
        <v>50034879</v>
      </c>
      <c r="P600" s="1" t="str">
        <f>"  طلوع سهند ارمه"</f>
        <v xml:space="preserve">  طلوع سهند ارمه</v>
      </c>
      <c r="Q600" s="1">
        <v>62</v>
      </c>
      <c r="R600" s="1" t="str">
        <f>"فروش داخلي - سازمان بنيادمسكن انقلاب اسلامي"</f>
        <v>فروش داخلي - سازمان بنيادمسكن انقلاب اسلامي</v>
      </c>
      <c r="S600" s="1" t="str">
        <f>"قرارداد فروش"</f>
        <v>قرارداد فروش</v>
      </c>
      <c r="T600" s="1" t="str">
        <f>"ندارد"</f>
        <v>ندارد</v>
      </c>
      <c r="U600" s="1" t="str">
        <f>"غلام نجفي سيامك‌‌‌‌‌‌(1881082)"</f>
        <v>غلام نجفي سيامك‌‌‌‌‌‌(1881082)</v>
      </c>
      <c r="V600" s="1">
        <v>966200100</v>
      </c>
      <c r="W600" s="1">
        <v>966200100</v>
      </c>
      <c r="X600" s="1" t="str">
        <f>"1396482232"</f>
        <v>1396482232</v>
      </c>
      <c r="Y600" s="1" t="str">
        <f>"96/02/31"</f>
        <v>96/02/31</v>
      </c>
      <c r="Z600" s="1" t="str">
        <f>"7447/د"</f>
        <v>7447/د</v>
      </c>
      <c r="AA600" s="1" t="str">
        <f>"بنيادمسكن انقلاب اسلامي"</f>
        <v>بنيادمسكن انقلاب اسلامي</v>
      </c>
      <c r="AB600" s="1" t="str">
        <f>"96/02/30"</f>
        <v>96/02/30</v>
      </c>
      <c r="AC600" s="1" t="str">
        <f>"كهكيلويه و بوير احمد"</f>
        <v>كهكيلويه و بوير احمد</v>
      </c>
      <c r="AD600" s="1" t="str">
        <f>"96/02/31"</f>
        <v>96/02/31</v>
      </c>
      <c r="AE600" s="1" t="str">
        <f>"اختتام"</f>
        <v>اختتام</v>
      </c>
      <c r="AF600" s="1" t="str">
        <f>""</f>
        <v/>
      </c>
      <c r="AG600" s="1" t="str">
        <f>""</f>
        <v/>
      </c>
      <c r="AH600" s="1" t="str">
        <f>""</f>
        <v/>
      </c>
      <c r="AI600" s="1" t="str">
        <f>""</f>
        <v/>
      </c>
      <c r="AJ600" s="1" t="str">
        <f>""</f>
        <v/>
      </c>
      <c r="AK600" s="1" t="str">
        <f>""</f>
        <v/>
      </c>
    </row>
    <row r="601" spans="1:37">
      <c r="A601" s="1">
        <v>191924</v>
      </c>
      <c r="B601" s="1">
        <v>962000216</v>
      </c>
      <c r="C601" s="1" t="str">
        <f>"تخليه - کهگيلويه و بويراحمد-ليکک-کارخانه آسفالت خليج فارس"</f>
        <v>تخليه - کهگيلويه و بويراحمد-ليکک-کارخانه آسفالت خليج فارس</v>
      </c>
      <c r="D601" s="1">
        <v>9113</v>
      </c>
      <c r="E601" s="1">
        <v>191924</v>
      </c>
      <c r="F601" s="1">
        <v>96</v>
      </c>
      <c r="G601" s="1">
        <v>0</v>
      </c>
      <c r="H601" s="1" t="str">
        <f>"96/07/03"</f>
        <v>96/07/03</v>
      </c>
      <c r="I601" s="1" t="str">
        <f>"كيلوگرم"</f>
        <v>كيلوگرم</v>
      </c>
      <c r="J601" s="1" t="str">
        <f>"0000000076"</f>
        <v>0000000076</v>
      </c>
      <c r="K601" s="1" t="str">
        <f>"قير 60/70 - فله"</f>
        <v>قير 60/70 - فله</v>
      </c>
      <c r="L601" s="1">
        <v>100</v>
      </c>
      <c r="M601" s="1" t="str">
        <f>"مخازن قير اصفهان"</f>
        <v>مخازن قير اصفهان</v>
      </c>
      <c r="N601" s="1">
        <v>11211</v>
      </c>
      <c r="O601" s="1">
        <v>50036453</v>
      </c>
      <c r="P601" s="1" t="str">
        <f>"  شهرداري ليكك"</f>
        <v xml:space="preserve">  شهرداري ليكك</v>
      </c>
      <c r="Q601" s="1">
        <v>20</v>
      </c>
      <c r="R601" s="1" t="str">
        <f>"فروش داخلي - سازمان شهرداري ها و دهياري هاي كشور"</f>
        <v>فروش داخلي - سازمان شهرداري ها و دهياري هاي كشور</v>
      </c>
      <c r="S601" s="1" t="str">
        <f>"قرارداد فروش"</f>
        <v>قرارداد فروش</v>
      </c>
      <c r="T601" s="1" t="str">
        <f>"ندارد"</f>
        <v>ندارد</v>
      </c>
      <c r="U601" s="1" t="str">
        <f>"تعاوني جم گستر (1001 ج 89)"</f>
        <v>تعاوني جم گستر (1001 ج 89)</v>
      </c>
      <c r="V601" s="1">
        <v>962000216</v>
      </c>
      <c r="W601" s="1">
        <v>962000216</v>
      </c>
      <c r="X601" s="1" t="str">
        <f>"1396514467"</f>
        <v>1396514467</v>
      </c>
      <c r="Y601" s="1" t="str">
        <f>"96/07/03"</f>
        <v>96/07/03</v>
      </c>
      <c r="Z601" s="1" t="str">
        <f>"26804مرحله اول"</f>
        <v>26804مرحله اول</v>
      </c>
      <c r="AA601" s="1" t="str">
        <f>"شهرداريها"</f>
        <v>شهرداريها</v>
      </c>
      <c r="AB601" s="1" t="str">
        <f>"96/06/29"</f>
        <v>96/06/29</v>
      </c>
      <c r="AC601" s="1" t="str">
        <f>"كهكيلويه و بوير احمد"</f>
        <v>كهكيلويه و بوير احمد</v>
      </c>
      <c r="AD601" s="1" t="str">
        <f>"96/07/03"</f>
        <v>96/07/03</v>
      </c>
      <c r="AE601" s="1" t="str">
        <f>"اختتام"</f>
        <v>اختتام</v>
      </c>
      <c r="AF601" s="1" t="str">
        <f>""</f>
        <v/>
      </c>
      <c r="AG601" s="1" t="str">
        <f>""</f>
        <v/>
      </c>
      <c r="AH601" s="1" t="str">
        <f>""</f>
        <v/>
      </c>
      <c r="AI601" s="1" t="str">
        <f>""</f>
        <v/>
      </c>
      <c r="AJ601" s="1" t="str">
        <f>""</f>
        <v/>
      </c>
      <c r="AK601" s="1" t="str">
        <f>""</f>
        <v/>
      </c>
    </row>
    <row r="602" spans="1:37">
      <c r="A602" s="1">
        <v>300000</v>
      </c>
      <c r="B602" s="1">
        <v>966200034</v>
      </c>
      <c r="C602" s="1" t="str">
        <f>"تخليه-سيستان و بلوچستان - چابهار-روستاي کمب"</f>
        <v>تخليه-سيستان و بلوچستان - چابهار-روستاي کمب</v>
      </c>
      <c r="D602" s="1">
        <v>8918</v>
      </c>
      <c r="E602" s="1">
        <v>300000</v>
      </c>
      <c r="F602" s="1">
        <v>96</v>
      </c>
      <c r="G602" s="1">
        <v>0</v>
      </c>
      <c r="H602" s="1" t="str">
        <f>"96/02/04"</f>
        <v>96/02/04</v>
      </c>
      <c r="I602" s="1" t="str">
        <f>"كيلوگرم"</f>
        <v>كيلوگرم</v>
      </c>
      <c r="J602" s="1" t="str">
        <f>"0000000076"</f>
        <v>0000000076</v>
      </c>
      <c r="K602" s="1" t="str">
        <f>"قير 60/70 - فله"</f>
        <v>قير 60/70 - فله</v>
      </c>
      <c r="L602" s="1">
        <v>100</v>
      </c>
      <c r="M602" s="1" t="str">
        <f>"مخازن قير اصفهان"</f>
        <v>مخازن قير اصفهان</v>
      </c>
      <c r="N602" s="1">
        <v>11216</v>
      </c>
      <c r="O602" s="1">
        <v>50034673</v>
      </c>
      <c r="P602" s="1" t="str">
        <f>"  آکام راه هرمز"</f>
        <v xml:space="preserve">  آکام راه هرمز</v>
      </c>
      <c r="Q602" s="1">
        <v>62</v>
      </c>
      <c r="R602" s="1" t="str">
        <f>"فروش داخلي - سازمان بنيادمسكن انقلاب اسلامي"</f>
        <v>فروش داخلي - سازمان بنيادمسكن انقلاب اسلامي</v>
      </c>
      <c r="S602" s="1" t="str">
        <f>"قرارداد فروش"</f>
        <v>قرارداد فروش</v>
      </c>
      <c r="T602" s="1" t="str">
        <f>"ندارد"</f>
        <v>ندارد</v>
      </c>
      <c r="U602" s="1" t="str">
        <f>"پورباقري ترابر (4914036)"</f>
        <v>پورباقري ترابر (4914036)</v>
      </c>
      <c r="V602" s="1">
        <v>966200034</v>
      </c>
      <c r="W602" s="1">
        <v>966200034</v>
      </c>
      <c r="X602" s="1" t="str">
        <f>"1396476390"</f>
        <v>1396476390</v>
      </c>
      <c r="Y602" s="1" t="str">
        <f>"96/02/04"</f>
        <v>96/02/04</v>
      </c>
      <c r="Z602" s="1" t="str">
        <f>"3239/د"</f>
        <v>3239/د</v>
      </c>
      <c r="AA602" s="1" t="str">
        <f>"بنيادمسكن انقلاب اسلامي"</f>
        <v>بنيادمسكن انقلاب اسلامي</v>
      </c>
      <c r="AB602" s="1" t="str">
        <f>"96/02/03"</f>
        <v>96/02/03</v>
      </c>
      <c r="AC602" s="1" t="str">
        <f>"استان سيستان بلوچستان"</f>
        <v>استان سيستان بلوچستان</v>
      </c>
      <c r="AD602" s="1" t="str">
        <f>"96/02/04"</f>
        <v>96/02/04</v>
      </c>
      <c r="AE602" s="1" t="str">
        <f>"اختتام"</f>
        <v>اختتام</v>
      </c>
      <c r="AF602" s="1" t="str">
        <f>""</f>
        <v/>
      </c>
      <c r="AG602" s="1" t="str">
        <f>""</f>
        <v/>
      </c>
      <c r="AH602" s="1" t="str">
        <f>""</f>
        <v/>
      </c>
      <c r="AI602" s="1" t="str">
        <f>""</f>
        <v/>
      </c>
      <c r="AJ602" s="1" t="str">
        <f>""</f>
        <v/>
      </c>
      <c r="AK602" s="1" t="str">
        <f>""</f>
        <v/>
      </c>
    </row>
    <row r="603" spans="1:37">
      <c r="A603" s="1">
        <v>35000</v>
      </c>
      <c r="B603" s="1">
        <v>966200450</v>
      </c>
      <c r="C603" s="1" t="str">
        <f>"تخليه-خراسان رضوي-مشهد-کيلومتر 10جاده سرخس-نرسيده به روستاي تنگل شور سمت چپ-روبروي شن شويي"</f>
        <v>تخليه-خراسان رضوي-مشهد-کيلومتر 10جاده سرخس-نرسيده به روستاي تنگل شور سمت چپ-روبروي شن شويي</v>
      </c>
      <c r="D603" s="1">
        <v>12820</v>
      </c>
      <c r="E603" s="1">
        <v>34660</v>
      </c>
      <c r="F603" s="1">
        <v>96</v>
      </c>
      <c r="G603" s="1">
        <v>340</v>
      </c>
      <c r="H603" s="1" t="str">
        <f>"96/09/23"</f>
        <v>96/09/23</v>
      </c>
      <c r="I603" s="1" t="str">
        <f>"كيلوگرم"</f>
        <v>كيلوگرم</v>
      </c>
      <c r="J603" s="1" t="str">
        <f>"0000000076"</f>
        <v>0000000076</v>
      </c>
      <c r="K603" s="1" t="str">
        <f>"قير 60/70 - فله"</f>
        <v>قير 60/70 - فله</v>
      </c>
      <c r="L603" s="1">
        <v>100</v>
      </c>
      <c r="M603" s="1" t="str">
        <f>"مخازن قير اصفهان"</f>
        <v>مخازن قير اصفهان</v>
      </c>
      <c r="N603" s="1">
        <v>11227</v>
      </c>
      <c r="O603" s="1">
        <v>50037812</v>
      </c>
      <c r="P603" s="1" t="str">
        <f>"  ره پويان آريا گستر"</f>
        <v xml:space="preserve">  ره پويان آريا گستر</v>
      </c>
      <c r="Q603" s="1">
        <v>62</v>
      </c>
      <c r="R603" s="1" t="str">
        <f>"فروش داخلي - سازمان بنيادمسكن انقلاب اسلامي"</f>
        <v>فروش داخلي - سازمان بنيادمسكن انقلاب اسلامي</v>
      </c>
      <c r="S603" s="1" t="str">
        <f>"قرارداد فروش"</f>
        <v>قرارداد فروش</v>
      </c>
      <c r="T603" s="1" t="str">
        <f>"ندارد"</f>
        <v>ندارد</v>
      </c>
      <c r="U603" s="1" t="str">
        <f>"حسيني سيدجواد(1841076)"</f>
        <v>حسيني سيدجواد(1841076)</v>
      </c>
      <c r="V603" s="1">
        <v>966200450</v>
      </c>
      <c r="W603" s="1">
        <v>966200450</v>
      </c>
      <c r="X603" s="1" t="str">
        <f>"1396532538"</f>
        <v>1396532538</v>
      </c>
      <c r="Y603" s="1" t="str">
        <f>"96/09/23"</f>
        <v>96/09/23</v>
      </c>
      <c r="Z603" s="1" t="str">
        <f>"41623/د"</f>
        <v>41623/د</v>
      </c>
      <c r="AA603" s="1" t="str">
        <f>"بنيادمسكن انقلاب اسلامي"</f>
        <v>بنيادمسكن انقلاب اسلامي</v>
      </c>
      <c r="AB603" s="1" t="str">
        <f>"96/09/21"</f>
        <v>96/09/21</v>
      </c>
      <c r="AC603" s="1" t="str">
        <f>"خراسان رضوي"</f>
        <v>خراسان رضوي</v>
      </c>
      <c r="AD603" s="1" t="str">
        <f>"96/09/22"</f>
        <v>96/09/22</v>
      </c>
      <c r="AE603" s="1" t="str">
        <f>"اختتام"</f>
        <v>اختتام</v>
      </c>
      <c r="AF603" s="1" t="str">
        <f>""</f>
        <v/>
      </c>
      <c r="AG603" s="1" t="str">
        <f>""</f>
        <v/>
      </c>
      <c r="AH603" s="1" t="str">
        <f>""</f>
        <v/>
      </c>
      <c r="AI603" s="1" t="str">
        <f>""</f>
        <v/>
      </c>
      <c r="AJ603" s="1" t="str">
        <f>""</f>
        <v/>
      </c>
      <c r="AK603" s="1" t="str">
        <f>""</f>
        <v/>
      </c>
    </row>
    <row r="604" spans="1:37">
      <c r="A604" s="1">
        <v>79000</v>
      </c>
      <c r="B604" s="1">
        <v>966200122</v>
      </c>
      <c r="C604" s="1" t="str">
        <f>"تخليه - تهران -پاکدشت-جمال آباد -کارخانه آبادراهان بهنام"</f>
        <v>تخليه - تهران -پاکدشت-جمال آباد -کارخانه آبادراهان بهنام</v>
      </c>
      <c r="D604" s="1">
        <v>8704</v>
      </c>
      <c r="E604" s="1">
        <v>79000</v>
      </c>
      <c r="F604" s="1">
        <v>96</v>
      </c>
      <c r="G604" s="1">
        <v>0</v>
      </c>
      <c r="H604" s="1" t="str">
        <f>"96/03/27"</f>
        <v>96/03/27</v>
      </c>
      <c r="I604" s="1" t="str">
        <f>"كيلوگرم"</f>
        <v>كيلوگرم</v>
      </c>
      <c r="J604" s="1" t="str">
        <f>"0000000076"</f>
        <v>0000000076</v>
      </c>
      <c r="K604" s="1" t="str">
        <f>"قير 60/70 - فله"</f>
        <v>قير 60/70 - فله</v>
      </c>
      <c r="L604" s="1">
        <v>100</v>
      </c>
      <c r="M604" s="1" t="str">
        <f>"مخازن قير اصفهان"</f>
        <v>مخازن قير اصفهان</v>
      </c>
      <c r="N604" s="1">
        <v>11262</v>
      </c>
      <c r="O604" s="1">
        <v>50035020</v>
      </c>
      <c r="P604" s="1" t="str">
        <f>"  تدبير سازه پرگاس"</f>
        <v xml:space="preserve">  تدبير سازه پرگاس</v>
      </c>
      <c r="Q604" s="1">
        <v>62</v>
      </c>
      <c r="R604" s="1" t="str">
        <f>"فروش داخلي - سازمان بنيادمسكن انقلاب اسلامي"</f>
        <v>فروش داخلي - سازمان بنيادمسكن انقلاب اسلامي</v>
      </c>
      <c r="S604" s="1" t="str">
        <f>"قرارداد فروش"</f>
        <v>قرارداد فروش</v>
      </c>
      <c r="T604" s="1" t="str">
        <f>"ندارد"</f>
        <v>ندارد</v>
      </c>
      <c r="U604" s="1" t="str">
        <f>"حاج صادقي باقر(1841027)"</f>
        <v>حاج صادقي باقر(1841027)</v>
      </c>
      <c r="V604" s="1">
        <v>966200122</v>
      </c>
      <c r="W604" s="1">
        <v>966200122</v>
      </c>
      <c r="X604" s="1" t="str">
        <f>"1396488512"</f>
        <v>1396488512</v>
      </c>
      <c r="Y604" s="1" t="str">
        <f>"96/03/27"</f>
        <v>96/03/27</v>
      </c>
      <c r="Z604" s="1" t="str">
        <f>"11664/د"</f>
        <v>11664/د</v>
      </c>
      <c r="AA604" s="1" t="str">
        <f>"بنيادمسكن انقلاب اسلامي"</f>
        <v>بنيادمسكن انقلاب اسلامي</v>
      </c>
      <c r="AB604" s="1" t="str">
        <f>"96/03/27"</f>
        <v>96/03/27</v>
      </c>
      <c r="AC604" s="1" t="str">
        <f>"استان تهران"</f>
        <v>استان تهران</v>
      </c>
      <c r="AD604" s="1" t="str">
        <f>"96/03/27"</f>
        <v>96/03/27</v>
      </c>
      <c r="AE604" s="1" t="str">
        <f>"اختتام"</f>
        <v>اختتام</v>
      </c>
      <c r="AF604" s="1" t="str">
        <f>""</f>
        <v/>
      </c>
      <c r="AG604" s="1" t="str">
        <f>""</f>
        <v/>
      </c>
      <c r="AH604" s="1" t="str">
        <f>""</f>
        <v/>
      </c>
      <c r="AI604" s="1" t="str">
        <f>""</f>
        <v/>
      </c>
      <c r="AJ604" s="1" t="str">
        <f>""</f>
        <v/>
      </c>
      <c r="AK604" s="1" t="str">
        <f>""</f>
        <v/>
      </c>
    </row>
    <row r="605" spans="1:37">
      <c r="A605" s="1">
        <v>36569</v>
      </c>
      <c r="B605" s="1">
        <v>962000412</v>
      </c>
      <c r="C605" s="1" t="str">
        <f>"تخليه اصفهان حبيب آبادآخرشهيدشالباف كارخانه زينبيه فاضلي"</f>
        <v>تخليه اصفهان حبيب آبادآخرشهيدشالباف كارخانه زينبيه فاضلي</v>
      </c>
      <c r="D605" s="1">
        <v>12820</v>
      </c>
      <c r="E605" s="1">
        <v>36569</v>
      </c>
      <c r="F605" s="1">
        <v>96</v>
      </c>
      <c r="G605" s="1">
        <v>0</v>
      </c>
      <c r="H605" s="1" t="str">
        <f>"96/09/20"</f>
        <v>96/09/20</v>
      </c>
      <c r="I605" s="1" t="str">
        <f>"كيلوگرم"</f>
        <v>كيلوگرم</v>
      </c>
      <c r="J605" s="1" t="str">
        <f>"0000000076"</f>
        <v>0000000076</v>
      </c>
      <c r="K605" s="1" t="str">
        <f>"قير 60/70 - فله"</f>
        <v>قير 60/70 - فله</v>
      </c>
      <c r="L605" s="1">
        <v>100</v>
      </c>
      <c r="M605" s="1" t="str">
        <f>"مخازن قير اصفهان"</f>
        <v>مخازن قير اصفهان</v>
      </c>
      <c r="N605" s="1">
        <v>10737</v>
      </c>
      <c r="O605" s="1">
        <v>50037725</v>
      </c>
      <c r="P605" s="1" t="str">
        <f>"  شهرداري حبيب آباد"</f>
        <v xml:space="preserve">  شهرداري حبيب آباد</v>
      </c>
      <c r="Q605" s="1">
        <v>20</v>
      </c>
      <c r="R605" s="1" t="str">
        <f>"فروش داخلي - سازمان شهرداري ها و دهياري هاي كشور"</f>
        <v>فروش داخلي - سازمان شهرداري ها و دهياري هاي كشور</v>
      </c>
      <c r="S605" s="1" t="str">
        <f>"قرارداد فروش"</f>
        <v>قرارداد فروش</v>
      </c>
      <c r="T605" s="1" t="str">
        <f>"ندارد"</f>
        <v>ندارد</v>
      </c>
      <c r="U605" s="1" t="str">
        <f>"تعاوني جم گستر (1001 ج 89)"</f>
        <v>تعاوني جم گستر (1001 ج 89)</v>
      </c>
      <c r="V605" s="1">
        <v>962000412</v>
      </c>
      <c r="W605" s="1">
        <v>962000412</v>
      </c>
      <c r="X605" s="1" t="str">
        <f>"1396529711"</f>
        <v>1396529711</v>
      </c>
      <c r="Y605" s="1" t="str">
        <f>"96/09/20"</f>
        <v>96/09/20</v>
      </c>
      <c r="Z605" s="1" t="str">
        <f>"37124مرحله دوم"</f>
        <v>37124مرحله دوم</v>
      </c>
      <c r="AA605" s="1" t="str">
        <f>"شهرداريها"</f>
        <v>شهرداريها</v>
      </c>
      <c r="AB605" s="1" t="str">
        <f>"96/09/04"</f>
        <v>96/09/04</v>
      </c>
      <c r="AC605" s="1" t="str">
        <f>"استان اصفهان"</f>
        <v>استان اصفهان</v>
      </c>
      <c r="AD605" s="1" t="str">
        <f>"96/09/13"</f>
        <v>96/09/13</v>
      </c>
      <c r="AE605" s="1" t="str">
        <f>"اختتام"</f>
        <v>اختتام</v>
      </c>
      <c r="AF605" s="1" t="str">
        <f>""</f>
        <v/>
      </c>
      <c r="AG605" s="1" t="str">
        <f>""</f>
        <v/>
      </c>
      <c r="AH605" s="1" t="str">
        <f>""</f>
        <v/>
      </c>
      <c r="AI605" s="1" t="str">
        <f>""</f>
        <v/>
      </c>
      <c r="AJ605" s="1" t="str">
        <f>""</f>
        <v/>
      </c>
      <c r="AK605" s="1" t="str">
        <f>""</f>
        <v/>
      </c>
    </row>
    <row r="606" spans="1:37">
      <c r="A606" s="1">
        <v>218000</v>
      </c>
      <c r="B606" s="1">
        <v>966200558</v>
      </c>
      <c r="C606" s="1" t="str">
        <f>"تخليه - کرمان - کيلومتر 15 جاده کرمان زرند-روبروي پمپ بنزين-کارخانه آسفالت گستران زنگلان"</f>
        <v>تخليه - کرمان - کيلومتر 15 جاده کرمان زرند-روبروي پمپ بنزين-کارخانه آسفالت گستران زنگلان</v>
      </c>
      <c r="D606" s="1">
        <v>13200</v>
      </c>
      <c r="E606" s="1">
        <v>218000</v>
      </c>
      <c r="F606" s="1">
        <v>96</v>
      </c>
      <c r="G606" s="1">
        <v>0</v>
      </c>
      <c r="H606" s="1" t="str">
        <f>"96/11/14"</f>
        <v>96/11/14</v>
      </c>
      <c r="I606" s="1" t="str">
        <f>"كيلوگرم"</f>
        <v>كيلوگرم</v>
      </c>
      <c r="J606" s="1" t="str">
        <f>"0000000076"</f>
        <v>0000000076</v>
      </c>
      <c r="K606" s="1" t="str">
        <f>"قير 60/70 - فله"</f>
        <v>قير 60/70 - فله</v>
      </c>
      <c r="L606" s="1">
        <v>100</v>
      </c>
      <c r="M606" s="1" t="str">
        <f>"مخازن قير اصفهان"</f>
        <v>مخازن قير اصفهان</v>
      </c>
      <c r="N606" s="1">
        <v>11288</v>
      </c>
      <c r="O606" s="1">
        <v>50038364</v>
      </c>
      <c r="P606" s="1" t="str">
        <f>"  آسفالت گستران زنگلان"</f>
        <v xml:space="preserve">  آسفالت گستران زنگلان</v>
      </c>
      <c r="Q606" s="1">
        <v>62</v>
      </c>
      <c r="R606" s="1" t="str">
        <f>"فروش داخلي - سازمان بنيادمسكن انقلاب اسلامي"</f>
        <v>فروش داخلي - سازمان بنيادمسكن انقلاب اسلامي</v>
      </c>
      <c r="S606" s="1" t="str">
        <f>"قرارداد فروش"</f>
        <v>قرارداد فروش</v>
      </c>
      <c r="T606" s="1" t="str">
        <f>"ندارد"</f>
        <v>ندارد</v>
      </c>
      <c r="U606" s="1" t="str">
        <f>"دهقانيان بيژن (4954038)"</f>
        <v>دهقانيان بيژن (4954038)</v>
      </c>
      <c r="V606" s="1">
        <v>966200558</v>
      </c>
      <c r="W606" s="1">
        <v>966200558</v>
      </c>
      <c r="X606" s="1" t="str">
        <f>"1396545121"</f>
        <v>1396545121</v>
      </c>
      <c r="Y606" s="1" t="str">
        <f>"96/11/14"</f>
        <v>96/11/14</v>
      </c>
      <c r="Z606" s="1" t="str">
        <f>"50743/د"</f>
        <v>50743/د</v>
      </c>
      <c r="AA606" s="1" t="str">
        <f>"بنيادمسكن انقلاب اسلامي"</f>
        <v>بنيادمسكن انقلاب اسلامي</v>
      </c>
      <c r="AB606" s="1" t="str">
        <f>"96/11/11"</f>
        <v>96/11/11</v>
      </c>
      <c r="AC606" s="1" t="str">
        <f>"استان كرمان"</f>
        <v>استان كرمان</v>
      </c>
      <c r="AD606" s="1" t="str">
        <f>"96/11/14"</f>
        <v>96/11/14</v>
      </c>
      <c r="AE606" s="1" t="str">
        <f>"اختتام"</f>
        <v>اختتام</v>
      </c>
      <c r="AF606" s="1" t="str">
        <f>""</f>
        <v/>
      </c>
      <c r="AG606" s="1" t="str">
        <f>""</f>
        <v/>
      </c>
      <c r="AH606" s="1" t="str">
        <f>""</f>
        <v/>
      </c>
      <c r="AI606" s="1" t="str">
        <f>""</f>
        <v/>
      </c>
      <c r="AJ606" s="1" t="str">
        <f>""</f>
        <v/>
      </c>
      <c r="AK606" s="1" t="str">
        <f>""</f>
        <v/>
      </c>
    </row>
    <row r="607" spans="1:37">
      <c r="A607" s="1">
        <v>153000</v>
      </c>
      <c r="B607" s="1">
        <v>966200756</v>
      </c>
      <c r="C607" s="1" t="str">
        <f>"تخليه-کرمان-کيلومتر13جاده بهرامجرد-کارخانه آسفالت طلائي"</f>
        <v>تخليه-کرمان-کيلومتر13جاده بهرامجرد-کارخانه آسفالت طلائي</v>
      </c>
      <c r="D607" s="1">
        <v>13350</v>
      </c>
      <c r="E607" s="1">
        <v>153000</v>
      </c>
      <c r="F607" s="1">
        <v>96</v>
      </c>
      <c r="G607" s="1">
        <v>0</v>
      </c>
      <c r="H607" s="1" t="str">
        <f>"96/12/27"</f>
        <v>96/12/27</v>
      </c>
      <c r="I607" s="1" t="str">
        <f>"كيلوگرم"</f>
        <v>كيلوگرم</v>
      </c>
      <c r="J607" s="1" t="str">
        <f>"0000000076"</f>
        <v>0000000076</v>
      </c>
      <c r="K607" s="1" t="str">
        <f>"قير 60/70 - فله"</f>
        <v>قير 60/70 - فله</v>
      </c>
      <c r="L607" s="1">
        <v>100</v>
      </c>
      <c r="M607" s="1" t="str">
        <f>"مخازن قير اصفهان"</f>
        <v>مخازن قير اصفهان</v>
      </c>
      <c r="N607" s="1">
        <v>11300</v>
      </c>
      <c r="O607" s="1">
        <v>50039124</v>
      </c>
      <c r="P607" s="1" t="str">
        <f>"  افرنگ خشت پارينا"</f>
        <v xml:space="preserve">  افرنگ خشت پارينا</v>
      </c>
      <c r="Q607" s="1">
        <v>62</v>
      </c>
      <c r="R607" s="1" t="str">
        <f>"فروش داخلي - سازمان بنيادمسكن انقلاب اسلامي"</f>
        <v>فروش داخلي - سازمان بنيادمسكن انقلاب اسلامي</v>
      </c>
      <c r="S607" s="1" t="str">
        <f>"قرارداد فروش"</f>
        <v>قرارداد فروش</v>
      </c>
      <c r="T607" s="1" t="str">
        <f>"ندارد"</f>
        <v>ندارد</v>
      </c>
      <c r="U607" s="1" t="str">
        <f>"دهقانيان بيژن (4954038)"</f>
        <v>دهقانيان بيژن (4954038)</v>
      </c>
      <c r="V607" s="1">
        <v>966200756</v>
      </c>
      <c r="W607" s="1">
        <v>966200756</v>
      </c>
      <c r="X607" s="1" t="str">
        <f>"1396555465"</f>
        <v>1396555465</v>
      </c>
      <c r="Y607" s="1" t="str">
        <f>"96/12/27"</f>
        <v>96/12/27</v>
      </c>
      <c r="Z607" s="1" t="str">
        <f>"59992/د"</f>
        <v>59992/د</v>
      </c>
      <c r="AA607" s="1" t="str">
        <f>"بنيادمسكن انقلاب اسلامي"</f>
        <v>بنيادمسكن انقلاب اسلامي</v>
      </c>
      <c r="AB607" s="1" t="str">
        <f>"96/12/26"</f>
        <v>96/12/26</v>
      </c>
      <c r="AC607" s="1" t="str">
        <f>"استان كرمان"</f>
        <v>استان كرمان</v>
      </c>
      <c r="AD607" s="1" t="str">
        <f>"96/12/27"</f>
        <v>96/12/27</v>
      </c>
      <c r="AE607" s="1" t="str">
        <f>"اختتام"</f>
        <v>اختتام</v>
      </c>
      <c r="AF607" s="1" t="str">
        <f>""</f>
        <v/>
      </c>
      <c r="AG607" s="1" t="str">
        <f>""</f>
        <v/>
      </c>
      <c r="AH607" s="1" t="str">
        <f>""</f>
        <v/>
      </c>
      <c r="AI607" s="1" t="str">
        <f>""</f>
        <v/>
      </c>
      <c r="AJ607" s="1" t="str">
        <f>""</f>
        <v/>
      </c>
      <c r="AK607" s="1" t="str">
        <f>""</f>
        <v/>
      </c>
    </row>
    <row r="608" spans="1:37">
      <c r="A608" s="1">
        <v>180000</v>
      </c>
      <c r="B608" s="1">
        <v>966200724</v>
      </c>
      <c r="C608" s="1" t="str">
        <f>"تخليه - کهگيلويه-دهدشت-روستاي خيرآباد-کارخانه آسفالت مظفر"</f>
        <v>تخليه - کهگيلويه-دهدشت-روستاي خيرآباد-کارخانه آسفالت مظفر</v>
      </c>
      <c r="D608" s="1">
        <v>13350</v>
      </c>
      <c r="E608" s="1">
        <v>180000</v>
      </c>
      <c r="F608" s="1">
        <v>96</v>
      </c>
      <c r="G608" s="1">
        <v>0</v>
      </c>
      <c r="H608" s="1" t="str">
        <f>"96/12/26"</f>
        <v>96/12/26</v>
      </c>
      <c r="I608" s="1" t="str">
        <f>"كيلوگرم"</f>
        <v>كيلوگرم</v>
      </c>
      <c r="J608" s="1" t="str">
        <f>"0000000076"</f>
        <v>0000000076</v>
      </c>
      <c r="K608" s="1" t="str">
        <f>"قير 60/70 - فله"</f>
        <v>قير 60/70 - فله</v>
      </c>
      <c r="L608" s="1">
        <v>100</v>
      </c>
      <c r="M608" s="1" t="str">
        <f>"مخازن قير اصفهان"</f>
        <v>مخازن قير اصفهان</v>
      </c>
      <c r="N608" s="1">
        <v>11302</v>
      </c>
      <c r="O608" s="1">
        <v>50039085</v>
      </c>
      <c r="P608" s="1" t="str">
        <f>"  باربد کاژه"</f>
        <v xml:space="preserve">  باربد کاژه</v>
      </c>
      <c r="Q608" s="1">
        <v>62</v>
      </c>
      <c r="R608" s="1" t="str">
        <f>"فروش داخلي - سازمان بنيادمسكن انقلاب اسلامي"</f>
        <v>فروش داخلي - سازمان بنيادمسكن انقلاب اسلامي</v>
      </c>
      <c r="S608" s="1" t="str">
        <f>"قرارداد فروش"</f>
        <v>قرارداد فروش</v>
      </c>
      <c r="T608" s="1" t="str">
        <f>"ندارد"</f>
        <v>ندارد</v>
      </c>
      <c r="U608" s="1" t="str">
        <f>"غلام نجفي سيامك‌‌‌‌‌‌(1881082)"</f>
        <v>غلام نجفي سيامك‌‌‌‌‌‌(1881082)</v>
      </c>
      <c r="V608" s="1">
        <v>966200724</v>
      </c>
      <c r="W608" s="1">
        <v>966200724</v>
      </c>
      <c r="X608" s="1" t="str">
        <f>"1396555392"</f>
        <v>1396555392</v>
      </c>
      <c r="Y608" s="1" t="str">
        <f>"96/12/26"</f>
        <v>96/12/26</v>
      </c>
      <c r="Z608" s="1" t="str">
        <f>"59387/د"</f>
        <v>59387/د</v>
      </c>
      <c r="AA608" s="1" t="str">
        <f>"بنيادمسكن انقلاب اسلامي"</f>
        <v>بنيادمسكن انقلاب اسلامي</v>
      </c>
      <c r="AB608" s="1" t="str">
        <f>"96/12/23"</f>
        <v>96/12/23</v>
      </c>
      <c r="AC608" s="1" t="str">
        <f>"كهكيلويه و بوير احمد"</f>
        <v>كهكيلويه و بوير احمد</v>
      </c>
      <c r="AD608" s="1" t="str">
        <f>"96/12/26"</f>
        <v>96/12/26</v>
      </c>
      <c r="AE608" s="1" t="str">
        <f>"اختتام"</f>
        <v>اختتام</v>
      </c>
      <c r="AF608" s="1" t="str">
        <f>""</f>
        <v/>
      </c>
      <c r="AG608" s="1" t="str">
        <f>""</f>
        <v/>
      </c>
      <c r="AH608" s="1" t="str">
        <f>""</f>
        <v/>
      </c>
      <c r="AI608" s="1" t="str">
        <f>""</f>
        <v/>
      </c>
      <c r="AJ608" s="1" t="str">
        <f>""</f>
        <v/>
      </c>
      <c r="AK608" s="1" t="str">
        <f>""</f>
        <v/>
      </c>
    </row>
    <row r="609" spans="1:37">
      <c r="A609" s="1">
        <v>153000</v>
      </c>
      <c r="B609" s="1">
        <v>966200643</v>
      </c>
      <c r="C609" s="1" t="str">
        <f>"تخليه - کرمان-کيلومتر 15 جاده کرمان زرند-روبروي پمپ بنزين جديد احداث-کارخانه آسفالت نژاد حسين"</f>
        <v>تخليه - کرمان-کيلومتر 15 جاده کرمان زرند-روبروي پمپ بنزين جديد احداث-کارخانه آسفالت نژاد حسين</v>
      </c>
      <c r="D609" s="1">
        <v>13350</v>
      </c>
      <c r="E609" s="1">
        <v>152360</v>
      </c>
      <c r="F609" s="1">
        <v>96</v>
      </c>
      <c r="G609" s="1">
        <v>640</v>
      </c>
      <c r="H609" s="1" t="str">
        <f>"96/12/14"</f>
        <v>96/12/14</v>
      </c>
      <c r="I609" s="1" t="str">
        <f>"كيلوگرم"</f>
        <v>كيلوگرم</v>
      </c>
      <c r="J609" s="1" t="str">
        <f>"0000000076"</f>
        <v>0000000076</v>
      </c>
      <c r="K609" s="1" t="str">
        <f>"قير 60/70 - فله"</f>
        <v>قير 60/70 - فله</v>
      </c>
      <c r="L609" s="1">
        <v>100</v>
      </c>
      <c r="M609" s="1" t="str">
        <f>"مخازن قير اصفهان"</f>
        <v>مخازن قير اصفهان</v>
      </c>
      <c r="N609" s="1">
        <v>11312</v>
      </c>
      <c r="O609" s="1">
        <v>50038764</v>
      </c>
      <c r="P609" s="1" t="str">
        <f>"  عمران راه سازه دژکاوه مشرق زمين"</f>
        <v xml:space="preserve">  عمران راه سازه دژکاوه مشرق زمين</v>
      </c>
      <c r="Q609" s="1">
        <v>62</v>
      </c>
      <c r="R609" s="1" t="str">
        <f>"فروش داخلي - سازمان بنيادمسكن انقلاب اسلامي"</f>
        <v>فروش داخلي - سازمان بنيادمسكن انقلاب اسلامي</v>
      </c>
      <c r="S609" s="1" t="str">
        <f>"قرارداد فروش"</f>
        <v>قرارداد فروش</v>
      </c>
      <c r="T609" s="1" t="str">
        <f>"ندارد"</f>
        <v>ندارد</v>
      </c>
      <c r="U609" s="1" t="str">
        <f>"دهقانيان بيژن (4954038)"</f>
        <v>دهقانيان بيژن (4954038)</v>
      </c>
      <c r="V609" s="1">
        <v>966200643</v>
      </c>
      <c r="W609" s="1">
        <v>966200643</v>
      </c>
      <c r="X609" s="1" t="str">
        <f>"1396552261"</f>
        <v>1396552261</v>
      </c>
      <c r="Y609" s="1" t="str">
        <f>"96/12/14"</f>
        <v>96/12/14</v>
      </c>
      <c r="Z609" s="1" t="str">
        <f>"56619/د"</f>
        <v>56619/د</v>
      </c>
      <c r="AA609" s="1" t="str">
        <f>"بنيادمسكن انقلاب اسلامي"</f>
        <v>بنيادمسكن انقلاب اسلامي</v>
      </c>
      <c r="AB609" s="1" t="str">
        <f>"96/12/13"</f>
        <v>96/12/13</v>
      </c>
      <c r="AC609" s="1" t="str">
        <f>"استان كرمان"</f>
        <v>استان كرمان</v>
      </c>
      <c r="AD609" s="1" t="str">
        <f>"96/12/14"</f>
        <v>96/12/14</v>
      </c>
      <c r="AE609" s="1" t="str">
        <f>"اختتام"</f>
        <v>اختتام</v>
      </c>
      <c r="AF609" s="1" t="str">
        <f>""</f>
        <v/>
      </c>
      <c r="AG609" s="1" t="str">
        <f>""</f>
        <v/>
      </c>
      <c r="AH609" s="1" t="str">
        <f>""</f>
        <v/>
      </c>
      <c r="AI609" s="1" t="str">
        <f>""</f>
        <v/>
      </c>
      <c r="AJ609" s="1" t="str">
        <f>""</f>
        <v/>
      </c>
      <c r="AK609" s="1" t="str">
        <f>""</f>
        <v/>
      </c>
    </row>
    <row r="610" spans="1:37">
      <c r="A610" s="1">
        <v>37730</v>
      </c>
      <c r="B610" s="1">
        <v>962000347</v>
      </c>
      <c r="C610" s="1" t="str">
        <f>"تخليه - کرمان-کيلومتر65 جاده بافق به طرف زرند(نزديک دهستان سيريز)کارخانه آسفالت مهدي ميرمحمدي"</f>
        <v>تخليه - کرمان-کيلومتر65 جاده بافق به طرف زرند(نزديک دهستان سيريز)کارخانه آسفالت مهدي ميرمحمدي</v>
      </c>
      <c r="D610" s="1">
        <v>12820</v>
      </c>
      <c r="E610" s="1">
        <v>37730</v>
      </c>
      <c r="F610" s="1">
        <v>96</v>
      </c>
      <c r="G610" s="1">
        <v>0</v>
      </c>
      <c r="H610" s="1" t="str">
        <f>"96/09/18"</f>
        <v>96/09/18</v>
      </c>
      <c r="I610" s="1" t="str">
        <f>"كيلوگرم"</f>
        <v>كيلوگرم</v>
      </c>
      <c r="J610" s="1" t="str">
        <f>"0000000076"</f>
        <v>0000000076</v>
      </c>
      <c r="K610" s="1" t="str">
        <f>"قير 60/70 - فله"</f>
        <v>قير 60/70 - فله</v>
      </c>
      <c r="L610" s="1">
        <v>100</v>
      </c>
      <c r="M610" s="1" t="str">
        <f>"مخازن قير اصفهان"</f>
        <v>مخازن قير اصفهان</v>
      </c>
      <c r="N610" s="1">
        <v>10804</v>
      </c>
      <c r="O610" s="1">
        <v>50037604</v>
      </c>
      <c r="P610" s="1" t="str">
        <f>"  شهرداري يزدانشهر"</f>
        <v xml:space="preserve">  شهرداري يزدانشهر</v>
      </c>
      <c r="Q610" s="1">
        <v>20</v>
      </c>
      <c r="R610" s="1" t="str">
        <f>"فروش داخلي - سازمان شهرداري ها و دهياري هاي كشور"</f>
        <v>فروش داخلي - سازمان شهرداري ها و دهياري هاي كشور</v>
      </c>
      <c r="S610" s="1" t="str">
        <f>"قرارداد فروش"</f>
        <v>قرارداد فروش</v>
      </c>
      <c r="T610" s="1" t="str">
        <f>"ندارد"</f>
        <v>ندارد</v>
      </c>
      <c r="U610" s="1" t="str">
        <f>"تعاوني جم گستر (1001 ج 89)"</f>
        <v>تعاوني جم گستر (1001 ج 89)</v>
      </c>
      <c r="V610" s="1">
        <v>962000347</v>
      </c>
      <c r="W610" s="1">
        <v>962000347</v>
      </c>
      <c r="X610" s="1" t="str">
        <f>"1396529711"</f>
        <v>1396529711</v>
      </c>
      <c r="Y610" s="1" t="str">
        <f>"96/09/18"</f>
        <v>96/09/18</v>
      </c>
      <c r="Z610" s="1" t="str">
        <f>"38585مرحله دوم"</f>
        <v>38585مرحله دوم</v>
      </c>
      <c r="AA610" s="1" t="str">
        <f>"شهرداريها"</f>
        <v>شهرداريها</v>
      </c>
      <c r="AB610" s="1" t="str">
        <f>"96/09/11"</f>
        <v>96/09/11</v>
      </c>
      <c r="AC610" s="1" t="str">
        <f>"استان كرمان"</f>
        <v>استان كرمان</v>
      </c>
      <c r="AD610" s="1" t="str">
        <f>"96/09/13"</f>
        <v>96/09/13</v>
      </c>
      <c r="AE610" s="1" t="str">
        <f>"اختتام"</f>
        <v>اختتام</v>
      </c>
      <c r="AF610" s="1" t="str">
        <f>""</f>
        <v/>
      </c>
      <c r="AG610" s="1" t="str">
        <f>""</f>
        <v/>
      </c>
      <c r="AH610" s="1" t="str">
        <f>""</f>
        <v/>
      </c>
      <c r="AI610" s="1" t="str">
        <f>""</f>
        <v/>
      </c>
      <c r="AJ610" s="1" t="str">
        <f>""</f>
        <v/>
      </c>
      <c r="AK610" s="1" t="str">
        <f>""</f>
        <v/>
      </c>
    </row>
    <row r="611" spans="1:37">
      <c r="A611" s="1">
        <v>328000</v>
      </c>
      <c r="B611" s="1">
        <v>966200552</v>
      </c>
      <c r="C611" s="1" t="str">
        <f>"تخليه - کرمان - جيرفت-کمربندي به طرف کهنوج بعداز دانشگاه آزاد روبروي مدرسه استثنائي-کارخانه آسفالت مشاهير"</f>
        <v>تخليه - کرمان - جيرفت-کمربندي به طرف کهنوج بعداز دانشگاه آزاد روبروي مدرسه استثنائي-کارخانه آسفالت مشاهير</v>
      </c>
      <c r="D611" s="1">
        <v>13200</v>
      </c>
      <c r="E611" s="1">
        <v>328000</v>
      </c>
      <c r="F611" s="1">
        <v>96</v>
      </c>
      <c r="G611" s="1">
        <v>0</v>
      </c>
      <c r="H611" s="1" t="str">
        <f>"96/11/14"</f>
        <v>96/11/14</v>
      </c>
      <c r="I611" s="1" t="str">
        <f>"كيلوگرم"</f>
        <v>كيلوگرم</v>
      </c>
      <c r="J611" s="1" t="str">
        <f>"0000000076"</f>
        <v>0000000076</v>
      </c>
      <c r="K611" s="1" t="str">
        <f>"قير 60/70 - فله"</f>
        <v>قير 60/70 - فله</v>
      </c>
      <c r="L611" s="1">
        <v>100</v>
      </c>
      <c r="M611" s="1" t="str">
        <f>"مخازن قير اصفهان"</f>
        <v>مخازن قير اصفهان</v>
      </c>
      <c r="N611" s="1">
        <v>11320</v>
      </c>
      <c r="O611" s="1">
        <v>50038357</v>
      </c>
      <c r="P611" s="1" t="str">
        <f>"  طراحان بتن ماندگار"</f>
        <v xml:space="preserve">  طراحان بتن ماندگار</v>
      </c>
      <c r="Q611" s="1">
        <v>62</v>
      </c>
      <c r="R611" s="1" t="str">
        <f>"فروش داخلي - سازمان بنيادمسكن انقلاب اسلامي"</f>
        <v>فروش داخلي - سازمان بنيادمسكن انقلاب اسلامي</v>
      </c>
      <c r="S611" s="1" t="str">
        <f>"قرارداد فروش"</f>
        <v>قرارداد فروش</v>
      </c>
      <c r="T611" s="1" t="str">
        <f>"ندارد"</f>
        <v>ندارد</v>
      </c>
      <c r="U611" s="1" t="str">
        <f>"دشت بشي پودنگ وبرادران رضا(4844014)"</f>
        <v>دشت بشي پودنگ وبرادران رضا(4844014)</v>
      </c>
      <c r="V611" s="1">
        <v>966200552</v>
      </c>
      <c r="W611" s="1">
        <v>966200552</v>
      </c>
      <c r="X611" s="1" t="str">
        <f>"1396545121"</f>
        <v>1396545121</v>
      </c>
      <c r="Y611" s="1" t="str">
        <f>"96/11/14"</f>
        <v>96/11/14</v>
      </c>
      <c r="Z611" s="1" t="str">
        <f>"50741/د"</f>
        <v>50741/د</v>
      </c>
      <c r="AA611" s="1" t="str">
        <f>"بنيادمسكن انقلاب اسلامي"</f>
        <v>بنيادمسكن انقلاب اسلامي</v>
      </c>
      <c r="AB611" s="1" t="str">
        <f>"96/11/11"</f>
        <v>96/11/11</v>
      </c>
      <c r="AC611" s="1" t="str">
        <f>"استان كرمان"</f>
        <v>استان كرمان</v>
      </c>
      <c r="AD611" s="1" t="str">
        <f>"96/11/14"</f>
        <v>96/11/14</v>
      </c>
      <c r="AE611" s="1" t="str">
        <f>"اختتام"</f>
        <v>اختتام</v>
      </c>
      <c r="AF611" s="1" t="str">
        <f>""</f>
        <v/>
      </c>
      <c r="AG611" s="1" t="str">
        <f>""</f>
        <v/>
      </c>
      <c r="AH611" s="1" t="str">
        <f>""</f>
        <v/>
      </c>
      <c r="AI611" s="1" t="str">
        <f>""</f>
        <v/>
      </c>
      <c r="AJ611" s="1" t="str">
        <f>""</f>
        <v/>
      </c>
      <c r="AK611" s="1" t="str">
        <f>""</f>
        <v/>
      </c>
    </row>
    <row r="612" spans="1:37">
      <c r="A612" s="1">
        <v>178000</v>
      </c>
      <c r="B612" s="1">
        <v>966200005</v>
      </c>
      <c r="C612" s="1" t="str">
        <f>"تخليه - کرمان-جاده سيرجان-کرمان-بعداز پمپ حسين آباد - کارخانه آسفالت شرکت بهبر"</f>
        <v>تخليه - کرمان-جاده سيرجان-کرمان-بعداز پمپ حسين آباد - کارخانه آسفالت شرکت بهبر</v>
      </c>
      <c r="D612" s="1">
        <v>8198</v>
      </c>
      <c r="E612" s="1">
        <v>177220</v>
      </c>
      <c r="F612" s="1">
        <v>96</v>
      </c>
      <c r="G612" s="1">
        <v>780</v>
      </c>
      <c r="H612" s="1" t="str">
        <f>"96/01/19"</f>
        <v>96/01/19</v>
      </c>
      <c r="I612" s="1" t="str">
        <f>"كيلوگرم"</f>
        <v>كيلوگرم</v>
      </c>
      <c r="J612" s="1" t="str">
        <f>"0000000076"</f>
        <v>0000000076</v>
      </c>
      <c r="K612" s="1" t="str">
        <f>"قير 60/70 - فله"</f>
        <v>قير 60/70 - فله</v>
      </c>
      <c r="L612" s="1">
        <v>100</v>
      </c>
      <c r="M612" s="1" t="str">
        <f>"مخازن قير اصفهان"</f>
        <v>مخازن قير اصفهان</v>
      </c>
      <c r="N612" s="1">
        <v>11329</v>
      </c>
      <c r="O612" s="1">
        <v>50034430</v>
      </c>
      <c r="P612" s="1" t="str">
        <f>"  بهبر سيرجان"</f>
        <v xml:space="preserve">  بهبر سيرجان</v>
      </c>
      <c r="Q612" s="1">
        <v>62</v>
      </c>
      <c r="R612" s="1" t="str">
        <f>"فروش داخلي - سازمان بنيادمسكن انقلاب اسلامي"</f>
        <v>فروش داخلي - سازمان بنيادمسكن انقلاب اسلامي</v>
      </c>
      <c r="S612" s="1" t="str">
        <f>"قرارداد فروش"</f>
        <v>قرارداد فروش</v>
      </c>
      <c r="T612" s="1" t="str">
        <f>"ندارد"</f>
        <v>ندارد</v>
      </c>
      <c r="U612" s="1" t="str">
        <f>"حاصليان ترابرجنوب مرتضي حاصلي (4844006)"</f>
        <v>حاصليان ترابرجنوب مرتضي حاصلي (4844006)</v>
      </c>
      <c r="V612" s="1">
        <v>966200005</v>
      </c>
      <c r="W612" s="1">
        <v>966200005</v>
      </c>
      <c r="X612" s="1" t="str">
        <f>"1396472562"</f>
        <v>1396472562</v>
      </c>
      <c r="Y612" s="1" t="str">
        <f>"96/01/19"</f>
        <v>96/01/19</v>
      </c>
      <c r="Z612" s="1" t="str">
        <f>"919/د"</f>
        <v>919/د</v>
      </c>
      <c r="AA612" s="1" t="str">
        <f>"بنيادمسكن انقلاب اسلامي"</f>
        <v>بنيادمسكن انقلاب اسلامي</v>
      </c>
      <c r="AB612" s="1" t="str">
        <f>"96/01/19"</f>
        <v>96/01/19</v>
      </c>
      <c r="AC612" s="1" t="str">
        <f>"استان كرمان"</f>
        <v>استان كرمان</v>
      </c>
      <c r="AD612" s="1" t="str">
        <f>"96/01/19"</f>
        <v>96/01/19</v>
      </c>
      <c r="AE612" s="1" t="str">
        <f>"اختتام"</f>
        <v>اختتام</v>
      </c>
      <c r="AF612" s="1" t="str">
        <f>""</f>
        <v/>
      </c>
      <c r="AG612" s="1" t="str">
        <f>""</f>
        <v/>
      </c>
      <c r="AH612" s="1" t="str">
        <f>""</f>
        <v/>
      </c>
      <c r="AI612" s="1" t="str">
        <f>""</f>
        <v/>
      </c>
      <c r="AJ612" s="1" t="str">
        <f>""</f>
        <v/>
      </c>
      <c r="AK612" s="1" t="str">
        <f>""</f>
        <v/>
      </c>
    </row>
    <row r="613" spans="1:37">
      <c r="A613" s="1">
        <v>168000</v>
      </c>
      <c r="B613" s="1">
        <v>966200202</v>
      </c>
      <c r="C613" s="1" t="str">
        <f>"تخليه - سيستان و بلوچستان-هامون-شهرمحمدآباد -کارخانه آسفالت برادران طباطبايي"</f>
        <v>تخليه - سيستان و بلوچستان-هامون-شهرمحمدآباد -کارخانه آسفالت برادران طباطبايي</v>
      </c>
      <c r="D613" s="1">
        <v>8704</v>
      </c>
      <c r="E613" s="1">
        <v>167900</v>
      </c>
      <c r="F613" s="1">
        <v>96</v>
      </c>
      <c r="G613" s="1">
        <v>100</v>
      </c>
      <c r="H613" s="1" t="str">
        <f>"96/05/31"</f>
        <v>96/05/31</v>
      </c>
      <c r="I613" s="1" t="str">
        <f>"كيلوگرم"</f>
        <v>كيلوگرم</v>
      </c>
      <c r="J613" s="1" t="str">
        <f>"0000000076"</f>
        <v>0000000076</v>
      </c>
      <c r="K613" s="1" t="str">
        <f>"قير 60/70 - فله"</f>
        <v>قير 60/70 - فله</v>
      </c>
      <c r="L613" s="1">
        <v>100</v>
      </c>
      <c r="M613" s="1" t="str">
        <f>"مخازن قير اصفهان"</f>
        <v>مخازن قير اصفهان</v>
      </c>
      <c r="N613" s="1">
        <v>11360</v>
      </c>
      <c r="O613" s="1">
        <v>50035768</v>
      </c>
      <c r="P613" s="1" t="str">
        <f>"  پارت سازان هامون"</f>
        <v xml:space="preserve">  پارت سازان هامون</v>
      </c>
      <c r="Q613" s="1">
        <v>62</v>
      </c>
      <c r="R613" s="1" t="str">
        <f>"فروش داخلي - سازمان بنيادمسكن انقلاب اسلامي"</f>
        <v>فروش داخلي - سازمان بنيادمسكن انقلاب اسلامي</v>
      </c>
      <c r="S613" s="1" t="str">
        <f>"قرارداد فروش"</f>
        <v>قرارداد فروش</v>
      </c>
      <c r="T613" s="1" t="str">
        <f>"ندارد"</f>
        <v>ندارد</v>
      </c>
      <c r="U613" s="1" t="str">
        <f>"قانعي محمدرضا(1011ج89)"</f>
        <v>قانعي محمدرضا(1011ج89)</v>
      </c>
      <c r="V613" s="1">
        <v>966200202</v>
      </c>
      <c r="W613" s="1">
        <v>966200202</v>
      </c>
      <c r="X613" s="1" t="str">
        <f>"1396507045"</f>
        <v>1396507045</v>
      </c>
      <c r="Y613" s="1" t="str">
        <f>"96/05/31"</f>
        <v>96/05/31</v>
      </c>
      <c r="Z613" s="1" t="str">
        <f>"23016/د"</f>
        <v>23016/د</v>
      </c>
      <c r="AA613" s="1" t="str">
        <f>"بنيادمسكن انقلاب اسلامي"</f>
        <v>بنيادمسكن انقلاب اسلامي</v>
      </c>
      <c r="AB613" s="1" t="str">
        <f>"96/05/29"</f>
        <v>96/05/29</v>
      </c>
      <c r="AC613" s="1" t="str">
        <f>"استان سيستان بلوچستان"</f>
        <v>استان سيستان بلوچستان</v>
      </c>
      <c r="AD613" s="1" t="str">
        <f>"96/05/31"</f>
        <v>96/05/31</v>
      </c>
      <c r="AE613" s="1" t="str">
        <f>"اختتام"</f>
        <v>اختتام</v>
      </c>
      <c r="AF613" s="1" t="str">
        <f>""</f>
        <v/>
      </c>
      <c r="AG613" s="1" t="str">
        <f>""</f>
        <v/>
      </c>
      <c r="AH613" s="1" t="str">
        <f>""</f>
        <v/>
      </c>
      <c r="AI613" s="1" t="str">
        <f>""</f>
        <v/>
      </c>
      <c r="AJ613" s="1" t="str">
        <f>""</f>
        <v/>
      </c>
      <c r="AK613" s="1" t="str">
        <f>""</f>
        <v/>
      </c>
    </row>
    <row r="614" spans="1:37">
      <c r="A614" s="1">
        <v>573000</v>
      </c>
      <c r="B614" s="1">
        <v>966200096</v>
      </c>
      <c r="C614" s="1" t="str">
        <f>"تخليه - لرستان-ويسيان-کيلومتر 2 جاده پلدختر-شرکت شاهين راه غرب"</f>
        <v>تخليه - لرستان-ويسيان-کيلومتر 2 جاده پلدختر-شرکت شاهين راه غرب</v>
      </c>
      <c r="D614" s="1">
        <v>8918</v>
      </c>
      <c r="E614" s="1">
        <v>572420</v>
      </c>
      <c r="F614" s="1">
        <v>96</v>
      </c>
      <c r="G614" s="1">
        <v>580</v>
      </c>
      <c r="H614" s="1" t="str">
        <f>"96/02/28"</f>
        <v>96/02/28</v>
      </c>
      <c r="I614" s="1" t="str">
        <f>"كيلوگرم"</f>
        <v>كيلوگرم</v>
      </c>
      <c r="J614" s="1" t="str">
        <f>"0000000076"</f>
        <v>0000000076</v>
      </c>
      <c r="K614" s="1" t="str">
        <f>"قير 60/70 - فله"</f>
        <v>قير 60/70 - فله</v>
      </c>
      <c r="L614" s="1">
        <v>100</v>
      </c>
      <c r="M614" s="1" t="str">
        <f>"مخازن قير اصفهان"</f>
        <v>مخازن قير اصفهان</v>
      </c>
      <c r="N614" s="1">
        <v>11363</v>
      </c>
      <c r="O614" s="1">
        <v>50034867</v>
      </c>
      <c r="P614" s="1" t="str">
        <f>"  شاهين راه غرب"</f>
        <v xml:space="preserve">  شاهين راه غرب</v>
      </c>
      <c r="Q614" s="1">
        <v>62</v>
      </c>
      <c r="R614" s="1" t="str">
        <f>"فروش داخلي - سازمان بنيادمسكن انقلاب اسلامي"</f>
        <v>فروش داخلي - سازمان بنيادمسكن انقلاب اسلامي</v>
      </c>
      <c r="S614" s="1" t="str">
        <f>"قرارداد فروش"</f>
        <v>قرارداد فروش</v>
      </c>
      <c r="T614" s="1" t="str">
        <f>"ندارد"</f>
        <v>ندارد</v>
      </c>
      <c r="U614" s="1" t="str">
        <f>"عظيمي محمد(2842015)"</f>
        <v>عظيمي محمد(2842015)</v>
      </c>
      <c r="V614" s="1">
        <v>966200096</v>
      </c>
      <c r="W614" s="1">
        <v>966200096</v>
      </c>
      <c r="X614" s="1" t="str">
        <f>"1396481875"</f>
        <v>1396481875</v>
      </c>
      <c r="Y614" s="1" t="str">
        <f>"96/02/28"</f>
        <v>96/02/28</v>
      </c>
      <c r="Z614" s="1" t="str">
        <f>"6828/د"</f>
        <v>6828/د</v>
      </c>
      <c r="AA614" s="1" t="str">
        <f>"بنيادمسكن انقلاب اسلامي"</f>
        <v>بنيادمسكن انقلاب اسلامي</v>
      </c>
      <c r="AB614" s="1" t="str">
        <f>"96/02/25"</f>
        <v>96/02/25</v>
      </c>
      <c r="AC614" s="1" t="str">
        <f>"لرستان"</f>
        <v>لرستان</v>
      </c>
      <c r="AD614" s="1" t="str">
        <f>"96/02/27"</f>
        <v>96/02/27</v>
      </c>
      <c r="AE614" s="1" t="str">
        <f>"اختتام"</f>
        <v>اختتام</v>
      </c>
      <c r="AF614" s="1" t="str">
        <f>""</f>
        <v/>
      </c>
      <c r="AG614" s="1" t="str">
        <f>""</f>
        <v/>
      </c>
      <c r="AH614" s="1" t="str">
        <f>""</f>
        <v/>
      </c>
      <c r="AI614" s="1" t="str">
        <f>""</f>
        <v/>
      </c>
      <c r="AJ614" s="1" t="str">
        <f>""</f>
        <v/>
      </c>
      <c r="AK614" s="1" t="str">
        <f>""</f>
        <v/>
      </c>
    </row>
    <row r="615" spans="1:37">
      <c r="A615" s="1">
        <v>673000</v>
      </c>
      <c r="B615" s="1">
        <v>966200095</v>
      </c>
      <c r="C615" s="1" t="str">
        <f>"تخليه - لرستان-جاده بروجرد-دورود-کارخانه قند لرستان -کارخانه آقاي ياراحمدي شرکت اپال سان صنعت"</f>
        <v>تخليه - لرستان-جاده بروجرد-دورود-کارخانه قند لرستان -کارخانه آقاي ياراحمدي شرکت اپال سان صنعت</v>
      </c>
      <c r="D615" s="1">
        <v>8918</v>
      </c>
      <c r="E615" s="1">
        <v>672480</v>
      </c>
      <c r="F615" s="1">
        <v>96</v>
      </c>
      <c r="G615" s="1">
        <v>520</v>
      </c>
      <c r="H615" s="1" t="str">
        <f>"96/02/28"</f>
        <v>96/02/28</v>
      </c>
      <c r="I615" s="1" t="str">
        <f>"كيلوگرم"</f>
        <v>كيلوگرم</v>
      </c>
      <c r="J615" s="1" t="str">
        <f>"0000000076"</f>
        <v>0000000076</v>
      </c>
      <c r="K615" s="1" t="str">
        <f>"قير 60/70 - فله"</f>
        <v>قير 60/70 - فله</v>
      </c>
      <c r="L615" s="1">
        <v>100</v>
      </c>
      <c r="M615" s="1" t="str">
        <f>"مخازن قير اصفهان"</f>
        <v>مخازن قير اصفهان</v>
      </c>
      <c r="N615" s="1">
        <v>11364</v>
      </c>
      <c r="O615" s="1">
        <v>50034865</v>
      </c>
      <c r="P615" s="1" t="str">
        <f>"  اپال سان صنعت"</f>
        <v xml:space="preserve">  اپال سان صنعت</v>
      </c>
      <c r="Q615" s="1">
        <v>62</v>
      </c>
      <c r="R615" s="1" t="str">
        <f>"فروش داخلي - سازمان بنيادمسكن انقلاب اسلامي"</f>
        <v>فروش داخلي - سازمان بنيادمسكن انقلاب اسلامي</v>
      </c>
      <c r="S615" s="1" t="str">
        <f>"قرارداد فروش"</f>
        <v>قرارداد فروش</v>
      </c>
      <c r="T615" s="1" t="str">
        <f>"ندارد"</f>
        <v>ندارد</v>
      </c>
      <c r="U615" s="1" t="str">
        <f>"رضائي كلهر حسن (1901099)"</f>
        <v>رضائي كلهر حسن (1901099)</v>
      </c>
      <c r="V615" s="1">
        <v>966200095</v>
      </c>
      <c r="W615" s="1">
        <v>966200095</v>
      </c>
      <c r="X615" s="1" t="str">
        <f>"1396481875"</f>
        <v>1396481875</v>
      </c>
      <c r="Y615" s="1" t="str">
        <f>"96/02/28"</f>
        <v>96/02/28</v>
      </c>
      <c r="Z615" s="1" t="str">
        <f>"6825/د"</f>
        <v>6825/د</v>
      </c>
      <c r="AA615" s="1" t="str">
        <f>"بنيادمسكن انقلاب اسلامي"</f>
        <v>بنيادمسكن انقلاب اسلامي</v>
      </c>
      <c r="AB615" s="1" t="str">
        <f>"96/02/25"</f>
        <v>96/02/25</v>
      </c>
      <c r="AC615" s="1" t="str">
        <f>"لرستان"</f>
        <v>لرستان</v>
      </c>
      <c r="AD615" s="1" t="str">
        <f>"96/02/27"</f>
        <v>96/02/27</v>
      </c>
      <c r="AE615" s="1" t="str">
        <f>"اختتام"</f>
        <v>اختتام</v>
      </c>
      <c r="AF615" s="1" t="str">
        <f>""</f>
        <v/>
      </c>
      <c r="AG615" s="1" t="str">
        <f>""</f>
        <v/>
      </c>
      <c r="AH615" s="1" t="str">
        <f>""</f>
        <v/>
      </c>
      <c r="AI615" s="1" t="str">
        <f>""</f>
        <v/>
      </c>
      <c r="AJ615" s="1" t="str">
        <f>""</f>
        <v/>
      </c>
      <c r="AK615" s="1" t="str">
        <f>""</f>
        <v/>
      </c>
    </row>
    <row r="616" spans="1:37">
      <c r="A616" s="1">
        <v>80000</v>
      </c>
      <c r="B616" s="1">
        <v>966200701</v>
      </c>
      <c r="C616" s="1" t="str">
        <f>"تخليه - لرستان-جاده بروجرد-دورود-کارخانه قند لرستان -کارخانه آقاي ياراحمدي شرکت اپال سان صنعت"</f>
        <v>تخليه - لرستان-جاده بروجرد-دورود-کارخانه قند لرستان -کارخانه آقاي ياراحمدي شرکت اپال سان صنعت</v>
      </c>
      <c r="D616" s="1">
        <v>13350</v>
      </c>
      <c r="E616" s="1">
        <v>79640</v>
      </c>
      <c r="F616" s="1">
        <v>96</v>
      </c>
      <c r="G616" s="1">
        <v>360</v>
      </c>
      <c r="H616" s="1" t="str">
        <f>"96/12/24"</f>
        <v>96/12/24</v>
      </c>
      <c r="I616" s="1" t="str">
        <f>"كيلوگرم"</f>
        <v>كيلوگرم</v>
      </c>
      <c r="J616" s="1" t="str">
        <f>"0000000076"</f>
        <v>0000000076</v>
      </c>
      <c r="K616" s="1" t="str">
        <f>"قير 60/70 - فله"</f>
        <v>قير 60/70 - فله</v>
      </c>
      <c r="L616" s="1">
        <v>100</v>
      </c>
      <c r="M616" s="1" t="str">
        <f>"مخازن قير اصفهان"</f>
        <v>مخازن قير اصفهان</v>
      </c>
      <c r="N616" s="1">
        <v>11364</v>
      </c>
      <c r="O616" s="1">
        <v>50038977</v>
      </c>
      <c r="P616" s="1" t="str">
        <f>"  اپال سان صنعت"</f>
        <v xml:space="preserve">  اپال سان صنعت</v>
      </c>
      <c r="Q616" s="1">
        <v>62</v>
      </c>
      <c r="R616" s="1" t="str">
        <f>"فروش داخلي - سازمان بنيادمسكن انقلاب اسلامي"</f>
        <v>فروش داخلي - سازمان بنيادمسكن انقلاب اسلامي</v>
      </c>
      <c r="S616" s="1" t="str">
        <f>"قرارداد فروش"</f>
        <v>قرارداد فروش</v>
      </c>
      <c r="T616" s="1" t="str">
        <f>"ندارد"</f>
        <v>ندارد</v>
      </c>
      <c r="U616" s="1" t="str">
        <f>"رضائي كلهر حسن (1901099)"</f>
        <v>رضائي كلهر حسن (1901099)</v>
      </c>
      <c r="V616" s="1">
        <v>966200701</v>
      </c>
      <c r="W616" s="1">
        <v>966200701</v>
      </c>
      <c r="X616" s="1" t="str">
        <f>"1396555240"</f>
        <v>1396555240</v>
      </c>
      <c r="Y616" s="1" t="str">
        <f>"96/12/24"</f>
        <v>96/12/24</v>
      </c>
      <c r="Z616" s="1" t="str">
        <f>"59212/د"</f>
        <v>59212/د</v>
      </c>
      <c r="AA616" s="1" t="str">
        <f>"بنيادمسكن انقلاب اسلامي"</f>
        <v>بنيادمسكن انقلاب اسلامي</v>
      </c>
      <c r="AB616" s="1" t="str">
        <f>"96/12/23"</f>
        <v>96/12/23</v>
      </c>
      <c r="AC616" s="1" t="str">
        <f>"لرستان"</f>
        <v>لرستان</v>
      </c>
      <c r="AD616" s="1" t="str">
        <f>"96/12/23"</f>
        <v>96/12/23</v>
      </c>
      <c r="AE616" s="1" t="str">
        <f>"اختتام"</f>
        <v>اختتام</v>
      </c>
      <c r="AF616" s="1" t="str">
        <f>""</f>
        <v/>
      </c>
      <c r="AG616" s="1" t="str">
        <f>""</f>
        <v/>
      </c>
      <c r="AH616" s="1" t="str">
        <f>""</f>
        <v/>
      </c>
      <c r="AI616" s="1" t="str">
        <f>""</f>
        <v/>
      </c>
      <c r="AJ616" s="1" t="str">
        <f>""</f>
        <v/>
      </c>
      <c r="AK616" s="1" t="str">
        <f>""</f>
        <v/>
      </c>
    </row>
    <row r="617" spans="1:37">
      <c r="A617" s="1">
        <v>114000</v>
      </c>
      <c r="B617" s="1">
        <v>966200136</v>
      </c>
      <c r="C617" s="1" t="str">
        <f>"تخليه- لرستان-کيلومتر 8 جاده خرم اباد -الشتر-تنگ شبيخون"</f>
        <v>تخليه- لرستان-کيلومتر 8 جاده خرم اباد -الشتر-تنگ شبيخون</v>
      </c>
      <c r="D617" s="1">
        <v>8704</v>
      </c>
      <c r="E617" s="1">
        <v>112460</v>
      </c>
      <c r="F617" s="1">
        <v>96</v>
      </c>
      <c r="G617" s="1">
        <v>1540</v>
      </c>
      <c r="H617" s="1" t="str">
        <f>"96/04/22"</f>
        <v>96/04/22</v>
      </c>
      <c r="I617" s="1" t="str">
        <f>"كيلوگرم"</f>
        <v>كيلوگرم</v>
      </c>
      <c r="J617" s="1" t="str">
        <f>"0000000076"</f>
        <v>0000000076</v>
      </c>
      <c r="K617" s="1" t="str">
        <f>"قير 60/70 - فله"</f>
        <v>قير 60/70 - فله</v>
      </c>
      <c r="L617" s="1">
        <v>100</v>
      </c>
      <c r="M617" s="1" t="str">
        <f>"مخازن قير اصفهان"</f>
        <v>مخازن قير اصفهان</v>
      </c>
      <c r="N617" s="1">
        <v>11374</v>
      </c>
      <c r="O617" s="1">
        <v>50035199</v>
      </c>
      <c r="P617" s="1" t="str">
        <f>"  رويين سيستم معاصر"</f>
        <v xml:space="preserve">  رويين سيستم معاصر</v>
      </c>
      <c r="Q617" s="1">
        <v>62</v>
      </c>
      <c r="R617" s="1" t="str">
        <f>"فروش داخلي - سازمان بنيادمسكن انقلاب اسلامي"</f>
        <v>فروش داخلي - سازمان بنيادمسكن انقلاب اسلامي</v>
      </c>
      <c r="S617" s="1" t="str">
        <f>"قرارداد فروش"</f>
        <v>قرارداد فروش</v>
      </c>
      <c r="T617" s="1" t="str">
        <f>"ندارد"</f>
        <v>ندارد</v>
      </c>
      <c r="U617" s="1" t="str">
        <f>"ريسماني حسن(1007ج89)"</f>
        <v>ريسماني حسن(1007ج89)</v>
      </c>
      <c r="V617" s="1">
        <v>966200136</v>
      </c>
      <c r="W617" s="1">
        <v>966200136</v>
      </c>
      <c r="X617" s="1" t="str">
        <f>"1396496307"</f>
        <v>1396496307</v>
      </c>
      <c r="Y617" s="1" t="str">
        <f>"96/04/22"</f>
        <v>96/04/22</v>
      </c>
      <c r="Z617" s="1" t="str">
        <f>"15788/د"</f>
        <v>15788/د</v>
      </c>
      <c r="AA617" s="1" t="str">
        <f>"بنيادمسكن انقلاب اسلامي"</f>
        <v>بنيادمسكن انقلاب اسلامي</v>
      </c>
      <c r="AB617" s="1" t="str">
        <f>"96/04/20"</f>
        <v>96/04/20</v>
      </c>
      <c r="AC617" s="1" t="str">
        <f>"لرستان"</f>
        <v>لرستان</v>
      </c>
      <c r="AD617" s="1" t="str">
        <f>"96/04/21"</f>
        <v>96/04/21</v>
      </c>
      <c r="AE617" s="1" t="str">
        <f>"اختتام"</f>
        <v>اختتام</v>
      </c>
      <c r="AF617" s="1" t="str">
        <f>""</f>
        <v/>
      </c>
      <c r="AG617" s="1" t="str">
        <f>""</f>
        <v/>
      </c>
      <c r="AH617" s="1" t="str">
        <f>""</f>
        <v/>
      </c>
      <c r="AI617" s="1" t="str">
        <f>""</f>
        <v/>
      </c>
      <c r="AJ617" s="1" t="str">
        <f>""</f>
        <v/>
      </c>
      <c r="AK617" s="1" t="str">
        <f>""</f>
        <v/>
      </c>
    </row>
    <row r="618" spans="1:37">
      <c r="A618" s="1">
        <v>84000</v>
      </c>
      <c r="B618" s="1">
        <v>966200459</v>
      </c>
      <c r="C618" s="1" t="str">
        <f>"تخليه - خراسان رضوي-نيشابور-شهرفيروزه-کيلومتر 12 جاده قوچان-کارخانه دل حفره نيشابور"</f>
        <v>تخليه - خراسان رضوي-نيشابور-شهرفيروزه-کيلومتر 12 جاده قوچان-کارخانه دل حفره نيشابور</v>
      </c>
      <c r="D618" s="1">
        <v>12820</v>
      </c>
      <c r="E618" s="1">
        <v>83740</v>
      </c>
      <c r="F618" s="1">
        <v>96</v>
      </c>
      <c r="G618" s="1">
        <v>260</v>
      </c>
      <c r="H618" s="1" t="str">
        <f>"96/09/26"</f>
        <v>96/09/26</v>
      </c>
      <c r="I618" s="1" t="str">
        <f>"كيلوگرم"</f>
        <v>كيلوگرم</v>
      </c>
      <c r="J618" s="1" t="str">
        <f>"0000000076"</f>
        <v>0000000076</v>
      </c>
      <c r="K618" s="1" t="str">
        <f>"قير 60/70 - فله"</f>
        <v>قير 60/70 - فله</v>
      </c>
      <c r="L618" s="1">
        <v>100</v>
      </c>
      <c r="M618" s="1" t="str">
        <f>"مخازن قير اصفهان"</f>
        <v>مخازن قير اصفهان</v>
      </c>
      <c r="N618" s="1">
        <v>11405</v>
      </c>
      <c r="O618" s="1">
        <v>50037891</v>
      </c>
      <c r="P618" s="1" t="str">
        <f>"  شرق بتن عمران بنا"</f>
        <v xml:space="preserve">  شرق بتن عمران بنا</v>
      </c>
      <c r="Q618" s="1">
        <v>62</v>
      </c>
      <c r="R618" s="1" t="str">
        <f>"فروش داخلي - سازمان بنيادمسكن انقلاب اسلامي"</f>
        <v>فروش داخلي - سازمان بنيادمسكن انقلاب اسلامي</v>
      </c>
      <c r="S618" s="1" t="str">
        <f>"قرارداد فروش"</f>
        <v>قرارداد فروش</v>
      </c>
      <c r="T618" s="1" t="str">
        <f>"ندارد"</f>
        <v>ندارد</v>
      </c>
      <c r="U618" s="1" t="str">
        <f>"حسيني سيدجواد(1841076)"</f>
        <v>حسيني سيدجواد(1841076)</v>
      </c>
      <c r="V618" s="1">
        <v>966200459</v>
      </c>
      <c r="W618" s="1">
        <v>966200459</v>
      </c>
      <c r="X618" s="1" t="str">
        <f>"1396532937"</f>
        <v>1396532937</v>
      </c>
      <c r="Y618" s="1" t="str">
        <f>"96/09/26"</f>
        <v>96/09/26</v>
      </c>
      <c r="Z618" s="1" t="str">
        <f>"42292/د"</f>
        <v>42292/د</v>
      </c>
      <c r="AA618" s="1" t="str">
        <f>"بنيادمسكن انقلاب اسلامي"</f>
        <v>بنيادمسكن انقلاب اسلامي</v>
      </c>
      <c r="AB618" s="1" t="str">
        <f>"96/09/25"</f>
        <v>96/09/25</v>
      </c>
      <c r="AC618" s="1" t="str">
        <f>"خراسان رضوي"</f>
        <v>خراسان رضوي</v>
      </c>
      <c r="AD618" s="1" t="str">
        <f>"96/09/26"</f>
        <v>96/09/26</v>
      </c>
      <c r="AE618" s="1" t="str">
        <f>"اختتام"</f>
        <v>اختتام</v>
      </c>
      <c r="AF618" s="1" t="str">
        <f>""</f>
        <v/>
      </c>
      <c r="AG618" s="1" t="str">
        <f>""</f>
        <v/>
      </c>
      <c r="AH618" s="1" t="str">
        <f>""</f>
        <v/>
      </c>
      <c r="AI618" s="1" t="str">
        <f>""</f>
        <v/>
      </c>
      <c r="AJ618" s="1" t="str">
        <f>""</f>
        <v/>
      </c>
      <c r="AK618" s="1" t="str">
        <f>""</f>
        <v/>
      </c>
    </row>
    <row r="619" spans="1:37">
      <c r="A619" s="1">
        <v>105754</v>
      </c>
      <c r="B619" s="1">
        <v>962000101</v>
      </c>
      <c r="C619" s="1" t="str">
        <f>"تخليه بوشهربزرگراه سيراف نرسيده به خورموج كارخانه آسفالت راهگشيان دشتي"</f>
        <v>تخليه بوشهربزرگراه سيراف نرسيده به خورموج كارخانه آسفالت راهگشيان دشتي</v>
      </c>
      <c r="D619" s="1">
        <v>9113</v>
      </c>
      <c r="E619" s="1">
        <v>105754</v>
      </c>
      <c r="F619" s="1">
        <v>96</v>
      </c>
      <c r="G619" s="1">
        <v>0</v>
      </c>
      <c r="H619" s="1" t="str">
        <f>"96/07/03"</f>
        <v>96/07/03</v>
      </c>
      <c r="I619" s="1" t="str">
        <f>"كيلوگرم"</f>
        <v>كيلوگرم</v>
      </c>
      <c r="J619" s="1" t="str">
        <f>"0000000076"</f>
        <v>0000000076</v>
      </c>
      <c r="K619" s="1" t="str">
        <f>"قير 60/70 - فله"</f>
        <v>قير 60/70 - فله</v>
      </c>
      <c r="L619" s="1">
        <v>100</v>
      </c>
      <c r="M619" s="1" t="str">
        <f>"مخازن قير اصفهان"</f>
        <v>مخازن قير اصفهان</v>
      </c>
      <c r="N619" s="1">
        <v>11411</v>
      </c>
      <c r="O619" s="1">
        <v>50036258</v>
      </c>
      <c r="P619" s="1" t="str">
        <f>"  شهرداري بادوله"</f>
        <v xml:space="preserve">  شهرداري بادوله</v>
      </c>
      <c r="Q619" s="1">
        <v>20</v>
      </c>
      <c r="R619" s="1" t="str">
        <f>"فروش داخلي - سازمان شهرداري ها و دهياري هاي كشور"</f>
        <v>فروش داخلي - سازمان شهرداري ها و دهياري هاي كشور</v>
      </c>
      <c r="S619" s="1" t="str">
        <f>"قرارداد فروش"</f>
        <v>قرارداد فروش</v>
      </c>
      <c r="T619" s="1" t="str">
        <f>"ندارد"</f>
        <v>ندارد</v>
      </c>
      <c r="U619" s="1" t="str">
        <f>"تعاوني جم گستر (1001 ج 89)"</f>
        <v>تعاوني جم گستر (1001 ج 89)</v>
      </c>
      <c r="V619" s="1">
        <v>962000101</v>
      </c>
      <c r="W619" s="1">
        <v>962000101</v>
      </c>
      <c r="X619" s="1" t="str">
        <f>"1396514467"</f>
        <v>1396514467</v>
      </c>
      <c r="Y619" s="1" t="str">
        <f>"96/07/03"</f>
        <v>96/07/03</v>
      </c>
      <c r="Z619" s="1" t="str">
        <f>"26879مرحله اول"</f>
        <v>26879مرحله اول</v>
      </c>
      <c r="AA619" s="1" t="str">
        <f>"شهرداريها"</f>
        <v>شهرداريها</v>
      </c>
      <c r="AB619" s="1" t="str">
        <f>"96/06/29"</f>
        <v>96/06/29</v>
      </c>
      <c r="AC619" s="1" t="str">
        <f>"بوشهر"</f>
        <v>بوشهر</v>
      </c>
      <c r="AD619" s="1" t="str">
        <f>"96/07/03"</f>
        <v>96/07/03</v>
      </c>
      <c r="AE619" s="1" t="str">
        <f>"تاييدشده"</f>
        <v>تاييدشده</v>
      </c>
      <c r="AF619" s="1" t="str">
        <f>""</f>
        <v/>
      </c>
      <c r="AG619" s="1" t="str">
        <f>""</f>
        <v/>
      </c>
      <c r="AH619" s="1" t="str">
        <f>""</f>
        <v/>
      </c>
      <c r="AI619" s="1" t="str">
        <f>""</f>
        <v/>
      </c>
      <c r="AJ619" s="1" t="str">
        <f>""</f>
        <v/>
      </c>
      <c r="AK619" s="1" t="str">
        <f>""</f>
        <v/>
      </c>
    </row>
    <row r="620" spans="1:37">
      <c r="A620" s="1">
        <v>140252</v>
      </c>
      <c r="B620" s="1">
        <v>962000104</v>
      </c>
      <c r="C620" s="1" t="str">
        <f>"تخليه بوشهركيلومتر23جاده بندرديلم به سمت بهبهان شركت سنگ شكن آسفالت ديلم"</f>
        <v>تخليه بوشهركيلومتر23جاده بندرديلم به سمت بهبهان شركت سنگ شكن آسفالت ديلم</v>
      </c>
      <c r="D620" s="1">
        <v>9113</v>
      </c>
      <c r="E620" s="1">
        <v>140252</v>
      </c>
      <c r="F620" s="1">
        <v>96</v>
      </c>
      <c r="G620" s="1">
        <v>0</v>
      </c>
      <c r="H620" s="1" t="str">
        <f>"96/07/03"</f>
        <v>96/07/03</v>
      </c>
      <c r="I620" s="1" t="str">
        <f>"كيلوگرم"</f>
        <v>كيلوگرم</v>
      </c>
      <c r="J620" s="1" t="str">
        <f>"0000000076"</f>
        <v>0000000076</v>
      </c>
      <c r="K620" s="1" t="str">
        <f>"قير 60/70 - فله"</f>
        <v>قير 60/70 - فله</v>
      </c>
      <c r="L620" s="1">
        <v>100</v>
      </c>
      <c r="M620" s="1" t="str">
        <f>"مخازن قير اصفهان"</f>
        <v>مخازن قير اصفهان</v>
      </c>
      <c r="N620" s="1">
        <v>11414</v>
      </c>
      <c r="O620" s="1">
        <v>50036261</v>
      </c>
      <c r="P620" s="1" t="str">
        <f>"  شهرداري بندرديلم"</f>
        <v xml:space="preserve">  شهرداري بندرديلم</v>
      </c>
      <c r="Q620" s="1">
        <v>20</v>
      </c>
      <c r="R620" s="1" t="str">
        <f>"فروش داخلي - سازمان شهرداري ها و دهياري هاي كشور"</f>
        <v>فروش داخلي - سازمان شهرداري ها و دهياري هاي كشور</v>
      </c>
      <c r="S620" s="1" t="str">
        <f>"قرارداد فروش"</f>
        <v>قرارداد فروش</v>
      </c>
      <c r="T620" s="1" t="str">
        <f>"ندارد"</f>
        <v>ندارد</v>
      </c>
      <c r="U620" s="1" t="str">
        <f>"تعاوني جم گستر (1001 ج 89)"</f>
        <v>تعاوني جم گستر (1001 ج 89)</v>
      </c>
      <c r="V620" s="1">
        <v>962000104</v>
      </c>
      <c r="W620" s="1">
        <v>962000104</v>
      </c>
      <c r="X620" s="1" t="str">
        <f>"1396514467"</f>
        <v>1396514467</v>
      </c>
      <c r="Y620" s="1" t="str">
        <f>"96/07/03"</f>
        <v>96/07/03</v>
      </c>
      <c r="Z620" s="1" t="str">
        <f>"26877مرحله اول"</f>
        <v>26877مرحله اول</v>
      </c>
      <c r="AA620" s="1" t="str">
        <f>"شهرداريها"</f>
        <v>شهرداريها</v>
      </c>
      <c r="AB620" s="1" t="str">
        <f>"96/06/29"</f>
        <v>96/06/29</v>
      </c>
      <c r="AC620" s="1" t="str">
        <f>"بوشهر"</f>
        <v>بوشهر</v>
      </c>
      <c r="AD620" s="1" t="str">
        <f>"96/07/03"</f>
        <v>96/07/03</v>
      </c>
      <c r="AE620" s="1" t="str">
        <f>"تاييدشده"</f>
        <v>تاييدشده</v>
      </c>
      <c r="AF620" s="1" t="str">
        <f>""</f>
        <v/>
      </c>
      <c r="AG620" s="1" t="str">
        <f>""</f>
        <v/>
      </c>
      <c r="AH620" s="1" t="str">
        <f>""</f>
        <v/>
      </c>
      <c r="AI620" s="1" t="str">
        <f>""</f>
        <v/>
      </c>
      <c r="AJ620" s="1" t="str">
        <f>""</f>
        <v/>
      </c>
      <c r="AK620" s="1" t="str">
        <f>""</f>
        <v/>
      </c>
    </row>
    <row r="621" spans="1:37">
      <c r="A621" s="1">
        <v>113487</v>
      </c>
      <c r="B621" s="1">
        <v>962000105</v>
      </c>
      <c r="C621" s="1" t="str">
        <f>"تخليه بوشهرجاده اهرام دلواركارخانه زيباآسفالت تنگستان"</f>
        <v>تخليه بوشهرجاده اهرام دلواركارخانه زيباآسفالت تنگستان</v>
      </c>
      <c r="D621" s="1">
        <v>9113</v>
      </c>
      <c r="E621" s="1">
        <v>113487</v>
      </c>
      <c r="F621" s="1">
        <v>96</v>
      </c>
      <c r="G621" s="1">
        <v>0</v>
      </c>
      <c r="H621" s="1" t="str">
        <f>"96/07/03"</f>
        <v>96/07/03</v>
      </c>
      <c r="I621" s="1" t="str">
        <f>"كيلوگرم"</f>
        <v>كيلوگرم</v>
      </c>
      <c r="J621" s="1" t="str">
        <f>"0000000076"</f>
        <v>0000000076</v>
      </c>
      <c r="K621" s="1" t="str">
        <f>"قير 60/70 - فله"</f>
        <v>قير 60/70 - فله</v>
      </c>
      <c r="L621" s="1">
        <v>100</v>
      </c>
      <c r="M621" s="1" t="str">
        <f>"مخازن قير اصفهان"</f>
        <v>مخازن قير اصفهان</v>
      </c>
      <c r="N621" s="1">
        <v>11415</v>
      </c>
      <c r="O621" s="1">
        <v>50036262</v>
      </c>
      <c r="P621" s="1" t="str">
        <f>"  شهرداري بندرريگ"</f>
        <v xml:space="preserve">  شهرداري بندرريگ</v>
      </c>
      <c r="Q621" s="1">
        <v>20</v>
      </c>
      <c r="R621" s="1" t="str">
        <f>"فروش داخلي - سازمان شهرداري ها و دهياري هاي كشور"</f>
        <v>فروش داخلي - سازمان شهرداري ها و دهياري هاي كشور</v>
      </c>
      <c r="S621" s="1" t="str">
        <f>"قرارداد فروش"</f>
        <v>قرارداد فروش</v>
      </c>
      <c r="T621" s="1" t="str">
        <f>"ندارد"</f>
        <v>ندارد</v>
      </c>
      <c r="U621" s="1" t="str">
        <f>"تعاوني جم گستر (1001 ج 89)"</f>
        <v>تعاوني جم گستر (1001 ج 89)</v>
      </c>
      <c r="V621" s="1">
        <v>962000105</v>
      </c>
      <c r="W621" s="1">
        <v>962000105</v>
      </c>
      <c r="X621" s="1" t="str">
        <f>"1396514467"</f>
        <v>1396514467</v>
      </c>
      <c r="Y621" s="1" t="str">
        <f>"96/07/03"</f>
        <v>96/07/03</v>
      </c>
      <c r="Z621" s="1" t="str">
        <f>"26876مرحله اول"</f>
        <v>26876مرحله اول</v>
      </c>
      <c r="AA621" s="1" t="str">
        <f>"شهرداريها"</f>
        <v>شهرداريها</v>
      </c>
      <c r="AB621" s="1" t="str">
        <f>"96/06/29"</f>
        <v>96/06/29</v>
      </c>
      <c r="AC621" s="1" t="str">
        <f>"بوشهر"</f>
        <v>بوشهر</v>
      </c>
      <c r="AD621" s="1" t="str">
        <f>"96/07/03"</f>
        <v>96/07/03</v>
      </c>
      <c r="AE621" s="1" t="str">
        <f>"تاييدشده"</f>
        <v>تاييدشده</v>
      </c>
      <c r="AF621" s="1" t="str">
        <f>""</f>
        <v/>
      </c>
      <c r="AG621" s="1" t="str">
        <f>""</f>
        <v/>
      </c>
      <c r="AH621" s="1" t="str">
        <f>""</f>
        <v/>
      </c>
      <c r="AI621" s="1" t="str">
        <f>""</f>
        <v/>
      </c>
      <c r="AJ621" s="1" t="str">
        <f>""</f>
        <v/>
      </c>
      <c r="AK621" s="1" t="str">
        <f>""</f>
        <v/>
      </c>
    </row>
    <row r="622" spans="1:37">
      <c r="A622" s="1">
        <v>65882</v>
      </c>
      <c r="B622" s="1">
        <v>962000251</v>
      </c>
      <c r="C622" s="1" t="str">
        <f>"تخليه خراسان جنوبي كيلومتر5محورخوسف كرمان روستاي فدشك كارخانه آسفالت راهدارصنعت"</f>
        <v>تخليه خراسان جنوبي كيلومتر5محورخوسف كرمان روستاي فدشك كارخانه آسفالت راهدارصنعت</v>
      </c>
      <c r="D622" s="1">
        <v>9113</v>
      </c>
      <c r="E622" s="1">
        <v>65455</v>
      </c>
      <c r="F622" s="1">
        <v>96</v>
      </c>
      <c r="G622" s="1">
        <v>427</v>
      </c>
      <c r="H622" s="1" t="str">
        <f>"96/09/08"</f>
        <v>96/09/08</v>
      </c>
      <c r="I622" s="1" t="str">
        <f>"كيلوگرم"</f>
        <v>كيلوگرم</v>
      </c>
      <c r="J622" s="1" t="str">
        <f>"0000000076"</f>
        <v>0000000076</v>
      </c>
      <c r="K622" s="1" t="str">
        <f>"قير 60/70 - فله"</f>
        <v>قير 60/70 - فله</v>
      </c>
      <c r="L622" s="1">
        <v>100</v>
      </c>
      <c r="M622" s="1" t="str">
        <f>"مخازن قير اصفهان"</f>
        <v>مخازن قير اصفهان</v>
      </c>
      <c r="N622" s="1">
        <v>11425</v>
      </c>
      <c r="O622" s="1">
        <v>50037380</v>
      </c>
      <c r="P622" s="1" t="str">
        <f>"  شهرداري خوسف"</f>
        <v xml:space="preserve">  شهرداري خوسف</v>
      </c>
      <c r="Q622" s="1">
        <v>20</v>
      </c>
      <c r="R622" s="1" t="str">
        <f>"فروش داخلي - سازمان شهرداري ها و دهياري هاي كشور"</f>
        <v>فروش داخلي - سازمان شهرداري ها و دهياري هاي كشور</v>
      </c>
      <c r="S622" s="1" t="str">
        <f>"قرارداد فروش"</f>
        <v>قرارداد فروش</v>
      </c>
      <c r="T622" s="1" t="str">
        <f>"ندارد"</f>
        <v>ندارد</v>
      </c>
      <c r="U622" s="1" t="str">
        <f>"تعاوني جم گستر (1001 ج 89)"</f>
        <v>تعاوني جم گستر (1001 ج 89)</v>
      </c>
      <c r="V622" s="1">
        <v>962000251</v>
      </c>
      <c r="W622" s="1">
        <v>962000251</v>
      </c>
      <c r="X622" s="1" t="str">
        <f>"1396514467"</f>
        <v>1396514467</v>
      </c>
      <c r="Y622" s="1" t="str">
        <f>"96/09/08"</f>
        <v>96/09/08</v>
      </c>
      <c r="Z622" s="1" t="str">
        <f>"37086مرحله دوم"</f>
        <v>37086مرحله دوم</v>
      </c>
      <c r="AA622" s="1" t="str">
        <f>"شهرداريها"</f>
        <v>شهرداريها</v>
      </c>
      <c r="AB622" s="1" t="str">
        <f>"96/09/04"</f>
        <v>96/09/04</v>
      </c>
      <c r="AC622" s="1" t="str">
        <f>"خراسان جنوبي"</f>
        <v>خراسان جنوبي</v>
      </c>
      <c r="AD622" s="1" t="str">
        <f>"96/07/03"</f>
        <v>96/07/03</v>
      </c>
      <c r="AE622" s="1" t="str">
        <f>"اختتام"</f>
        <v>اختتام</v>
      </c>
      <c r="AF622" s="1" t="str">
        <f>""</f>
        <v/>
      </c>
      <c r="AG622" s="1" t="str">
        <f>""</f>
        <v/>
      </c>
      <c r="AH622" s="1" t="str">
        <f>""</f>
        <v/>
      </c>
      <c r="AI622" s="1" t="str">
        <f>""</f>
        <v/>
      </c>
      <c r="AJ622" s="1" t="str">
        <f>""</f>
        <v/>
      </c>
      <c r="AK622" s="1" t="str">
        <f>""</f>
        <v/>
      </c>
    </row>
    <row r="623" spans="1:37">
      <c r="A623" s="1">
        <v>69624</v>
      </c>
      <c r="B623" s="1">
        <v>962000250</v>
      </c>
      <c r="C623" s="1" t="str">
        <f>"تخليه خراسان جنوبي كيلومتر5محورخوسف كرمان روستاي فدشك كارخانه آسفالت راهدارصنعت"</f>
        <v>تخليه خراسان جنوبي كيلومتر5محورخوسف كرمان روستاي فدشك كارخانه آسفالت راهدارصنعت</v>
      </c>
      <c r="D623" s="1">
        <v>9113</v>
      </c>
      <c r="E623" s="1">
        <v>69624</v>
      </c>
      <c r="F623" s="1">
        <v>96</v>
      </c>
      <c r="G623" s="1">
        <v>0</v>
      </c>
      <c r="H623" s="1" t="str">
        <f>"96/09/08"</f>
        <v>96/09/08</v>
      </c>
      <c r="I623" s="1" t="str">
        <f>"كيلوگرم"</f>
        <v>كيلوگرم</v>
      </c>
      <c r="J623" s="1" t="str">
        <f>"0000000076"</f>
        <v>0000000076</v>
      </c>
      <c r="K623" s="1" t="str">
        <f>"قير 60/70 - فله"</f>
        <v>قير 60/70 - فله</v>
      </c>
      <c r="L623" s="1">
        <v>100</v>
      </c>
      <c r="M623" s="1" t="str">
        <f>"مخازن قير اصفهان"</f>
        <v>مخازن قير اصفهان</v>
      </c>
      <c r="N623" s="1">
        <v>11427</v>
      </c>
      <c r="O623" s="1">
        <v>50037379</v>
      </c>
      <c r="P623" s="1" t="str">
        <f>"  شهرداري محمدشهرخراسان جنوبي"</f>
        <v xml:space="preserve">  شهرداري محمدشهرخراسان جنوبي</v>
      </c>
      <c r="Q623" s="1">
        <v>20</v>
      </c>
      <c r="R623" s="1" t="str">
        <f>"فروش داخلي - سازمان شهرداري ها و دهياري هاي كشور"</f>
        <v>فروش داخلي - سازمان شهرداري ها و دهياري هاي كشور</v>
      </c>
      <c r="S623" s="1" t="str">
        <f>"قرارداد فروش"</f>
        <v>قرارداد فروش</v>
      </c>
      <c r="T623" s="1" t="str">
        <f>"ندارد"</f>
        <v>ندارد</v>
      </c>
      <c r="U623" s="1" t="str">
        <f>"تعاوني جم گستر (1001 ج 89)"</f>
        <v>تعاوني جم گستر (1001 ج 89)</v>
      </c>
      <c r="V623" s="1">
        <v>962000250</v>
      </c>
      <c r="W623" s="1">
        <v>962000250</v>
      </c>
      <c r="X623" s="1" t="str">
        <f>"1396514467"</f>
        <v>1396514467</v>
      </c>
      <c r="Y623" s="1" t="str">
        <f>"96/09/08"</f>
        <v>96/09/08</v>
      </c>
      <c r="Z623" s="1" t="str">
        <f>"37097مرحله دوم"</f>
        <v>37097مرحله دوم</v>
      </c>
      <c r="AA623" s="1" t="str">
        <f>"شهرداريها"</f>
        <v>شهرداريها</v>
      </c>
      <c r="AB623" s="1" t="str">
        <f>"96/09/04"</f>
        <v>96/09/04</v>
      </c>
      <c r="AC623" s="1" t="str">
        <f>"خراسان جنوبي"</f>
        <v>خراسان جنوبي</v>
      </c>
      <c r="AD623" s="1" t="str">
        <f>"96/07/03"</f>
        <v>96/07/03</v>
      </c>
      <c r="AE623" s="1" t="str">
        <f>"اختتام"</f>
        <v>اختتام</v>
      </c>
      <c r="AF623" s="1" t="str">
        <f>""</f>
        <v/>
      </c>
      <c r="AG623" s="1" t="str">
        <f>""</f>
        <v/>
      </c>
      <c r="AH623" s="1" t="str">
        <f>""</f>
        <v/>
      </c>
      <c r="AI623" s="1" t="str">
        <f>""</f>
        <v/>
      </c>
      <c r="AJ623" s="1" t="str">
        <f>""</f>
        <v/>
      </c>
      <c r="AK623" s="1" t="str">
        <f>""</f>
        <v/>
      </c>
    </row>
    <row r="624" spans="1:37">
      <c r="A624" s="1">
        <v>62217</v>
      </c>
      <c r="B624" s="1">
        <v>962000275</v>
      </c>
      <c r="C624" s="1" t="str">
        <f>"تخليه خراسان رضوي باخرزكيلومتر5جاده تربت حيدريه كارخانه آسفالت شهرداري"</f>
        <v>تخليه خراسان رضوي باخرزكيلومتر5جاده تربت حيدريه كارخانه آسفالت شهرداري</v>
      </c>
      <c r="D624" s="1">
        <v>9113</v>
      </c>
      <c r="E624" s="1">
        <v>60906</v>
      </c>
      <c r="F624" s="1">
        <v>96</v>
      </c>
      <c r="G624" s="1">
        <v>1311</v>
      </c>
      <c r="H624" s="1" t="str">
        <f>"96/09/13"</f>
        <v>96/09/13</v>
      </c>
      <c r="I624" s="1" t="str">
        <f>"كيلوگرم"</f>
        <v>كيلوگرم</v>
      </c>
      <c r="J624" s="1" t="str">
        <f>"0000000076"</f>
        <v>0000000076</v>
      </c>
      <c r="K624" s="1" t="str">
        <f>"قير 60/70 - فله"</f>
        <v>قير 60/70 - فله</v>
      </c>
      <c r="L624" s="1">
        <v>100</v>
      </c>
      <c r="M624" s="1" t="str">
        <f>"مخازن قير اصفهان"</f>
        <v>مخازن قير اصفهان</v>
      </c>
      <c r="N624" s="1">
        <v>11431</v>
      </c>
      <c r="O624" s="1">
        <v>50037473</v>
      </c>
      <c r="P624" s="1" t="str">
        <f>"  شهرداري باخرز"</f>
        <v xml:space="preserve">  شهرداري باخرز</v>
      </c>
      <c r="Q624" s="1">
        <v>20</v>
      </c>
      <c r="R624" s="1" t="str">
        <f>"فروش داخلي - سازمان شهرداري ها و دهياري هاي كشور"</f>
        <v>فروش داخلي - سازمان شهرداري ها و دهياري هاي كشور</v>
      </c>
      <c r="S624" s="1" t="str">
        <f>"قرارداد فروش"</f>
        <v>قرارداد فروش</v>
      </c>
      <c r="T624" s="1" t="str">
        <f>"ندارد"</f>
        <v>ندارد</v>
      </c>
      <c r="U624" s="1" t="str">
        <f>"تعاوني جم گستر (1001 ج 89)"</f>
        <v>تعاوني جم گستر (1001 ج 89)</v>
      </c>
      <c r="V624" s="1">
        <v>962000275</v>
      </c>
      <c r="W624" s="1">
        <v>962000275</v>
      </c>
      <c r="X624" s="1" t="str">
        <f>"1396514467"</f>
        <v>1396514467</v>
      </c>
      <c r="Y624" s="1" t="str">
        <f>"96/09/12"</f>
        <v>96/09/12</v>
      </c>
      <c r="Z624" s="1" t="str">
        <f>"37073مرحله دوم"</f>
        <v>37073مرحله دوم</v>
      </c>
      <c r="AA624" s="1" t="str">
        <f>"شهرداريها"</f>
        <v>شهرداريها</v>
      </c>
      <c r="AB624" s="1" t="str">
        <f>"96/09/04"</f>
        <v>96/09/04</v>
      </c>
      <c r="AC624" s="1" t="str">
        <f>"خراسان رضوي"</f>
        <v>خراسان رضوي</v>
      </c>
      <c r="AD624" s="1" t="str">
        <f>"96/07/03"</f>
        <v>96/07/03</v>
      </c>
      <c r="AE624" s="1" t="str">
        <f>"اختتام"</f>
        <v>اختتام</v>
      </c>
      <c r="AF624" s="1" t="str">
        <f>""</f>
        <v/>
      </c>
      <c r="AG624" s="1" t="str">
        <f>""</f>
        <v/>
      </c>
      <c r="AH624" s="1" t="str">
        <f>""</f>
        <v/>
      </c>
      <c r="AI624" s="1" t="str">
        <f>""</f>
        <v/>
      </c>
      <c r="AJ624" s="1" t="str">
        <f>""</f>
        <v/>
      </c>
      <c r="AK624" s="1" t="str">
        <f>""</f>
        <v/>
      </c>
    </row>
    <row r="625" spans="1:37">
      <c r="A625" s="1">
        <v>120367</v>
      </c>
      <c r="B625" s="1">
        <v>962000157</v>
      </c>
      <c r="C625" s="1" t="str">
        <f>"تخليه خراسان رضوي كيلومتر13جاده فيروزه قوچان شركت دل حفره"</f>
        <v>تخليه خراسان رضوي كيلومتر13جاده فيروزه قوچان شركت دل حفره</v>
      </c>
      <c r="D625" s="1">
        <v>9113</v>
      </c>
      <c r="E625" s="1">
        <v>120367</v>
      </c>
      <c r="F625" s="1">
        <v>96</v>
      </c>
      <c r="G625" s="1">
        <v>0</v>
      </c>
      <c r="H625" s="1" t="str">
        <f>"96/07/03"</f>
        <v>96/07/03</v>
      </c>
      <c r="I625" s="1" t="str">
        <f>"كيلوگرم"</f>
        <v>كيلوگرم</v>
      </c>
      <c r="J625" s="1" t="str">
        <f>"0000000076"</f>
        <v>0000000076</v>
      </c>
      <c r="K625" s="1" t="str">
        <f>"قير 60/70 - فله"</f>
        <v>قير 60/70 - فله</v>
      </c>
      <c r="L625" s="1">
        <v>100</v>
      </c>
      <c r="M625" s="1" t="str">
        <f>"مخازن قير اصفهان"</f>
        <v>مخازن قير اصفهان</v>
      </c>
      <c r="N625" s="1">
        <v>11432</v>
      </c>
      <c r="O625" s="1">
        <v>50036361</v>
      </c>
      <c r="P625" s="1" t="str">
        <f>"  شهرداري بار"</f>
        <v xml:space="preserve">  شهرداري بار</v>
      </c>
      <c r="Q625" s="1">
        <v>20</v>
      </c>
      <c r="R625" s="1" t="str">
        <f>"فروش داخلي - سازمان شهرداري ها و دهياري هاي كشور"</f>
        <v>فروش داخلي - سازمان شهرداري ها و دهياري هاي كشور</v>
      </c>
      <c r="S625" s="1" t="str">
        <f>"قرارداد فروش"</f>
        <v>قرارداد فروش</v>
      </c>
      <c r="T625" s="1" t="str">
        <f>"ندارد"</f>
        <v>ندارد</v>
      </c>
      <c r="U625" s="1" t="str">
        <f>"تعاوني جم گستر (1001 ج 89)"</f>
        <v>تعاوني جم گستر (1001 ج 89)</v>
      </c>
      <c r="V625" s="1">
        <v>962000157</v>
      </c>
      <c r="W625" s="1">
        <v>962000157</v>
      </c>
      <c r="X625" s="1" t="str">
        <f>"1396514467"</f>
        <v>1396514467</v>
      </c>
      <c r="Y625" s="1" t="str">
        <f>"96/07/03"</f>
        <v>96/07/03</v>
      </c>
      <c r="Z625" s="1" t="str">
        <f>"26893مرحله اول"</f>
        <v>26893مرحله اول</v>
      </c>
      <c r="AA625" s="1" t="str">
        <f>"شهرداريها"</f>
        <v>شهرداريها</v>
      </c>
      <c r="AB625" s="1" t="str">
        <f>"96/06/29"</f>
        <v>96/06/29</v>
      </c>
      <c r="AC625" s="1" t="str">
        <f>"خراسان رضوي"</f>
        <v>خراسان رضوي</v>
      </c>
      <c r="AD625" s="1" t="str">
        <f>"96/07/03"</f>
        <v>96/07/03</v>
      </c>
      <c r="AE625" s="1" t="str">
        <f>"اختتام"</f>
        <v>اختتام</v>
      </c>
      <c r="AF625" s="1" t="str">
        <f>""</f>
        <v/>
      </c>
      <c r="AG625" s="1" t="str">
        <f>""</f>
        <v/>
      </c>
      <c r="AH625" s="1" t="str">
        <f>""</f>
        <v/>
      </c>
      <c r="AI625" s="1" t="str">
        <f>""</f>
        <v/>
      </c>
      <c r="AJ625" s="1" t="str">
        <f>""</f>
        <v/>
      </c>
      <c r="AK625" s="1" t="str">
        <f>""</f>
        <v/>
      </c>
    </row>
    <row r="626" spans="1:37">
      <c r="A626" s="1">
        <v>171838</v>
      </c>
      <c r="B626" s="1">
        <v>962000160</v>
      </c>
      <c r="C626" s="1" t="str">
        <f>"تخليه خراسان رضوي بردسكن جاده انابدكارخانه آسفالت شهرداري"</f>
        <v>تخليه خراسان رضوي بردسكن جاده انابدكارخانه آسفالت شهرداري</v>
      </c>
      <c r="D626" s="1">
        <v>9113</v>
      </c>
      <c r="E626" s="1">
        <v>171838</v>
      </c>
      <c r="F626" s="1">
        <v>96</v>
      </c>
      <c r="G626" s="1">
        <v>0</v>
      </c>
      <c r="H626" s="1" t="str">
        <f>"96/07/03"</f>
        <v>96/07/03</v>
      </c>
      <c r="I626" s="1" t="str">
        <f>"كيلوگرم"</f>
        <v>كيلوگرم</v>
      </c>
      <c r="J626" s="1" t="str">
        <f>"0000000076"</f>
        <v>0000000076</v>
      </c>
      <c r="K626" s="1" t="str">
        <f>"قير 60/70 - فله"</f>
        <v>قير 60/70 - فله</v>
      </c>
      <c r="L626" s="1">
        <v>100</v>
      </c>
      <c r="M626" s="1" t="str">
        <f>"مخازن قير اصفهان"</f>
        <v>مخازن قير اصفهان</v>
      </c>
      <c r="N626" s="1">
        <v>11434</v>
      </c>
      <c r="O626" s="1">
        <v>50036365</v>
      </c>
      <c r="P626" s="1" t="str">
        <f>"  شهرداري بردسكن"</f>
        <v xml:space="preserve">  شهرداري بردسكن</v>
      </c>
      <c r="Q626" s="1">
        <v>20</v>
      </c>
      <c r="R626" s="1" t="str">
        <f>"فروش داخلي - سازمان شهرداري ها و دهياري هاي كشور"</f>
        <v>فروش داخلي - سازمان شهرداري ها و دهياري هاي كشور</v>
      </c>
      <c r="S626" s="1" t="str">
        <f>"قرارداد فروش"</f>
        <v>قرارداد فروش</v>
      </c>
      <c r="T626" s="1" t="str">
        <f>"ندارد"</f>
        <v>ندارد</v>
      </c>
      <c r="U626" s="1" t="str">
        <f>"تعاوني جم گستر (1001 ج 89)"</f>
        <v>تعاوني جم گستر (1001 ج 89)</v>
      </c>
      <c r="V626" s="1">
        <v>962000160</v>
      </c>
      <c r="W626" s="1">
        <v>962000160</v>
      </c>
      <c r="X626" s="1" t="str">
        <f>"1396514467"</f>
        <v>1396514467</v>
      </c>
      <c r="Y626" s="1" t="str">
        <f>"96/07/03"</f>
        <v>96/07/03</v>
      </c>
      <c r="Z626" s="1" t="str">
        <f>"26884مرحله اول"</f>
        <v>26884مرحله اول</v>
      </c>
      <c r="AA626" s="1" t="str">
        <f>"شهرداريها"</f>
        <v>شهرداريها</v>
      </c>
      <c r="AB626" s="1" t="str">
        <f>"96/06/29"</f>
        <v>96/06/29</v>
      </c>
      <c r="AC626" s="1" t="str">
        <f>"خراسان رضوي"</f>
        <v>خراسان رضوي</v>
      </c>
      <c r="AD626" s="1" t="str">
        <f>"96/07/03"</f>
        <v>96/07/03</v>
      </c>
      <c r="AE626" s="1" t="str">
        <f>"اختتام"</f>
        <v>اختتام</v>
      </c>
      <c r="AF626" s="1" t="str">
        <f>""</f>
        <v/>
      </c>
      <c r="AG626" s="1" t="str">
        <f>""</f>
        <v/>
      </c>
      <c r="AH626" s="1" t="str">
        <f>""</f>
        <v/>
      </c>
      <c r="AI626" s="1" t="str">
        <f>""</f>
        <v/>
      </c>
      <c r="AJ626" s="1" t="str">
        <f>""</f>
        <v/>
      </c>
      <c r="AK626" s="1" t="str">
        <f>""</f>
        <v/>
      </c>
    </row>
    <row r="627" spans="1:37">
      <c r="A627" s="1">
        <v>85919</v>
      </c>
      <c r="B627" s="1">
        <v>962000279</v>
      </c>
      <c r="C627" s="1" t="str">
        <f>"تخليه خراسان رضوي بردسكن جاده انابدكارخانه آسفالت شهرداري"</f>
        <v>تخليه خراسان رضوي بردسكن جاده انابدكارخانه آسفالت شهرداري</v>
      </c>
      <c r="D627" s="1">
        <v>9113</v>
      </c>
      <c r="E627" s="1">
        <v>85522</v>
      </c>
      <c r="F627" s="1">
        <v>96</v>
      </c>
      <c r="G627" s="1">
        <v>397</v>
      </c>
      <c r="H627" s="1" t="str">
        <f>"96/09/13"</f>
        <v>96/09/13</v>
      </c>
      <c r="I627" s="1" t="str">
        <f>"كيلوگرم"</f>
        <v>كيلوگرم</v>
      </c>
      <c r="J627" s="1" t="str">
        <f>"0000000076"</f>
        <v>0000000076</v>
      </c>
      <c r="K627" s="1" t="str">
        <f>"قير 60/70 - فله"</f>
        <v>قير 60/70 - فله</v>
      </c>
      <c r="L627" s="1">
        <v>100</v>
      </c>
      <c r="M627" s="1" t="str">
        <f>"مخازن قير اصفهان"</f>
        <v>مخازن قير اصفهان</v>
      </c>
      <c r="N627" s="1">
        <v>11434</v>
      </c>
      <c r="O627" s="1">
        <v>50037478</v>
      </c>
      <c r="P627" s="1" t="str">
        <f>"  شهرداري بردسكن"</f>
        <v xml:space="preserve">  شهرداري بردسكن</v>
      </c>
      <c r="Q627" s="1">
        <v>20</v>
      </c>
      <c r="R627" s="1" t="str">
        <f>"فروش داخلي - سازمان شهرداري ها و دهياري هاي كشور"</f>
        <v>فروش داخلي - سازمان شهرداري ها و دهياري هاي كشور</v>
      </c>
      <c r="S627" s="1" t="str">
        <f>"قرارداد فروش"</f>
        <v>قرارداد فروش</v>
      </c>
      <c r="T627" s="1" t="str">
        <f>"ندارد"</f>
        <v>ندارد</v>
      </c>
      <c r="U627" s="1" t="str">
        <f>"تعاوني جم گستر (1001 ج 89)"</f>
        <v>تعاوني جم گستر (1001 ج 89)</v>
      </c>
      <c r="V627" s="1">
        <v>962000279</v>
      </c>
      <c r="W627" s="1">
        <v>962000279</v>
      </c>
      <c r="X627" s="1" t="str">
        <f>"1396514467"</f>
        <v>1396514467</v>
      </c>
      <c r="Y627" s="1" t="str">
        <f>"96/09/12"</f>
        <v>96/09/12</v>
      </c>
      <c r="Z627" s="1" t="str">
        <f>"37011مرحله دوم"</f>
        <v>37011مرحله دوم</v>
      </c>
      <c r="AA627" s="1" t="str">
        <f>"شهرداريها"</f>
        <v>شهرداريها</v>
      </c>
      <c r="AB627" s="1" t="str">
        <f>"96/09/04"</f>
        <v>96/09/04</v>
      </c>
      <c r="AC627" s="1" t="str">
        <f>"خراسان رضوي"</f>
        <v>خراسان رضوي</v>
      </c>
      <c r="AD627" s="1" t="str">
        <f>"96/07/03"</f>
        <v>96/07/03</v>
      </c>
      <c r="AE627" s="1" t="str">
        <f>"اختتام"</f>
        <v>اختتام</v>
      </c>
      <c r="AF627" s="1" t="str">
        <f>""</f>
        <v/>
      </c>
      <c r="AG627" s="1" t="str">
        <f>""</f>
        <v/>
      </c>
      <c r="AH627" s="1" t="str">
        <f>""</f>
        <v/>
      </c>
      <c r="AI627" s="1" t="str">
        <f>""</f>
        <v/>
      </c>
      <c r="AJ627" s="1" t="str">
        <f>""</f>
        <v/>
      </c>
      <c r="AK627" s="1" t="str">
        <f>""</f>
        <v/>
      </c>
    </row>
    <row r="628" spans="1:37">
      <c r="A628" s="1">
        <v>58149</v>
      </c>
      <c r="B628" s="1">
        <v>962000305</v>
      </c>
      <c r="C628" s="1" t="str">
        <f>"تخليه خراسان رضوي كيلومتر15جاده درگزمشهدكارخانه آسفالت شهرداري درگز"</f>
        <v>تخليه خراسان رضوي كيلومتر15جاده درگزمشهدكارخانه آسفالت شهرداري درگز</v>
      </c>
      <c r="D628" s="1">
        <v>9113</v>
      </c>
      <c r="E628" s="1">
        <v>57901</v>
      </c>
      <c r="F628" s="1">
        <v>96</v>
      </c>
      <c r="G628" s="1">
        <v>248</v>
      </c>
      <c r="H628" s="1" t="str">
        <f>"96/09/13"</f>
        <v>96/09/13</v>
      </c>
      <c r="I628" s="1" t="str">
        <f>"كيلوگرم"</f>
        <v>كيلوگرم</v>
      </c>
      <c r="J628" s="1" t="str">
        <f>"0000000076"</f>
        <v>0000000076</v>
      </c>
      <c r="K628" s="1" t="str">
        <f>"قير 60/70 - فله"</f>
        <v>قير 60/70 - فله</v>
      </c>
      <c r="L628" s="1">
        <v>100</v>
      </c>
      <c r="M628" s="1" t="str">
        <f>"مخازن قير اصفهان"</f>
        <v>مخازن قير اصفهان</v>
      </c>
      <c r="N628" s="1">
        <v>11436</v>
      </c>
      <c r="O628" s="1">
        <v>50037507</v>
      </c>
      <c r="P628" s="1" t="str">
        <f>"  شهرداري چاپشلو"</f>
        <v xml:space="preserve">  شهرداري چاپشلو</v>
      </c>
      <c r="Q628" s="1">
        <v>20</v>
      </c>
      <c r="R628" s="1" t="str">
        <f>"فروش داخلي - سازمان شهرداري ها و دهياري هاي كشور"</f>
        <v>فروش داخلي - سازمان شهرداري ها و دهياري هاي كشور</v>
      </c>
      <c r="S628" s="1" t="str">
        <f>"قرارداد فروش"</f>
        <v>قرارداد فروش</v>
      </c>
      <c r="T628" s="1" t="str">
        <f>"ندارد"</f>
        <v>ندارد</v>
      </c>
      <c r="U628" s="1" t="str">
        <f>"تعاوني جم گستر (1001 ج 89)"</f>
        <v>تعاوني جم گستر (1001 ج 89)</v>
      </c>
      <c r="V628" s="1">
        <v>962000305</v>
      </c>
      <c r="W628" s="1">
        <v>962000305</v>
      </c>
      <c r="X628" s="1" t="str">
        <f>"1396514467"</f>
        <v>1396514467</v>
      </c>
      <c r="Y628" s="1" t="str">
        <f>"96/09/12"</f>
        <v>96/09/12</v>
      </c>
      <c r="Z628" s="1" t="str">
        <f>"37070مرحله دوم"</f>
        <v>37070مرحله دوم</v>
      </c>
      <c r="AA628" s="1" t="str">
        <f>"شهرداريها"</f>
        <v>شهرداريها</v>
      </c>
      <c r="AB628" s="1" t="str">
        <f>"96/09/04"</f>
        <v>96/09/04</v>
      </c>
      <c r="AC628" s="1" t="str">
        <f>"خراسان رضوي"</f>
        <v>خراسان رضوي</v>
      </c>
      <c r="AD628" s="1" t="str">
        <f>"96/07/03"</f>
        <v>96/07/03</v>
      </c>
      <c r="AE628" s="1" t="str">
        <f>"اختتام"</f>
        <v>اختتام</v>
      </c>
      <c r="AF628" s="1" t="str">
        <f>""</f>
        <v/>
      </c>
      <c r="AG628" s="1" t="str">
        <f>""</f>
        <v/>
      </c>
      <c r="AH628" s="1" t="str">
        <f>""</f>
        <v/>
      </c>
      <c r="AI628" s="1" t="str">
        <f>""</f>
        <v/>
      </c>
      <c r="AJ628" s="1" t="str">
        <f>""</f>
        <v/>
      </c>
      <c r="AK628" s="1" t="str">
        <f>""</f>
        <v/>
      </c>
    </row>
    <row r="629" spans="1:37">
      <c r="A629" s="1">
        <v>139448</v>
      </c>
      <c r="B629" s="1">
        <v>962000166</v>
      </c>
      <c r="C629" s="1" t="str">
        <f>"تخليه كيلومتر5جاده كاشمرمشهدنرسيده به ميدان شهيدغلامي شركت كيمياسروش پاسارگاد"</f>
        <v>تخليه كيلومتر5جاده كاشمرمشهدنرسيده به ميدان شهيدغلامي شركت كيمياسروش پاسارگاد</v>
      </c>
      <c r="D629" s="1">
        <v>9113</v>
      </c>
      <c r="E629" s="1">
        <v>139448</v>
      </c>
      <c r="F629" s="1">
        <v>96</v>
      </c>
      <c r="G629" s="1">
        <v>0</v>
      </c>
      <c r="H629" s="1" t="str">
        <f>"96/07/03"</f>
        <v>96/07/03</v>
      </c>
      <c r="I629" s="1" t="str">
        <f>"كيلوگرم"</f>
        <v>كيلوگرم</v>
      </c>
      <c r="J629" s="1" t="str">
        <f>"0000000076"</f>
        <v>0000000076</v>
      </c>
      <c r="K629" s="1" t="str">
        <f>"قير 60/70 - فله"</f>
        <v>قير 60/70 - فله</v>
      </c>
      <c r="L629" s="1">
        <v>100</v>
      </c>
      <c r="M629" s="1" t="str">
        <f>"مخازن قير اصفهان"</f>
        <v>مخازن قير اصفهان</v>
      </c>
      <c r="N629" s="1">
        <v>11438</v>
      </c>
      <c r="O629" s="1">
        <v>50036371</v>
      </c>
      <c r="P629" s="1" t="str">
        <f>"  شهرداري خليل آباد"</f>
        <v xml:space="preserve">  شهرداري خليل آباد</v>
      </c>
      <c r="Q629" s="1">
        <v>20</v>
      </c>
      <c r="R629" s="1" t="str">
        <f>"فروش داخلي - سازمان شهرداري ها و دهياري هاي كشور"</f>
        <v>فروش داخلي - سازمان شهرداري ها و دهياري هاي كشور</v>
      </c>
      <c r="S629" s="1" t="str">
        <f>"قرارداد فروش"</f>
        <v>قرارداد فروش</v>
      </c>
      <c r="T629" s="1" t="str">
        <f>"ندارد"</f>
        <v>ندارد</v>
      </c>
      <c r="U629" s="1" t="str">
        <f>"تعاوني جم گستر (1001 ج 89)"</f>
        <v>تعاوني جم گستر (1001 ج 89)</v>
      </c>
      <c r="V629" s="1">
        <v>962000166</v>
      </c>
      <c r="W629" s="1">
        <v>962000166</v>
      </c>
      <c r="X629" s="1" t="str">
        <f>"1396514467"</f>
        <v>1396514467</v>
      </c>
      <c r="Y629" s="1" t="str">
        <f>"96/07/03"</f>
        <v>96/07/03</v>
      </c>
      <c r="Z629" s="1" t="str">
        <f>"26819مرحله اول"</f>
        <v>26819مرحله اول</v>
      </c>
      <c r="AA629" s="1" t="str">
        <f>"شهرداريها"</f>
        <v>شهرداريها</v>
      </c>
      <c r="AB629" s="1" t="str">
        <f>"96/06/29"</f>
        <v>96/06/29</v>
      </c>
      <c r="AC629" s="1" t="str">
        <f>"خراسان رضوي"</f>
        <v>خراسان رضوي</v>
      </c>
      <c r="AD629" s="1" t="str">
        <f>"96/07/03"</f>
        <v>96/07/03</v>
      </c>
      <c r="AE629" s="1" t="str">
        <f>"اختتام"</f>
        <v>اختتام</v>
      </c>
      <c r="AF629" s="1" t="str">
        <f>""</f>
        <v/>
      </c>
      <c r="AG629" s="1" t="str">
        <f>""</f>
        <v/>
      </c>
      <c r="AH629" s="1" t="str">
        <f>""</f>
        <v/>
      </c>
      <c r="AI629" s="1" t="str">
        <f>""</f>
        <v/>
      </c>
      <c r="AJ629" s="1" t="str">
        <f>""</f>
        <v/>
      </c>
      <c r="AK629" s="1" t="str">
        <f>""</f>
        <v/>
      </c>
    </row>
    <row r="630" spans="1:37">
      <c r="A630" s="1">
        <v>129857</v>
      </c>
      <c r="B630" s="1">
        <v>962000170</v>
      </c>
      <c r="C630" s="1" t="str">
        <f>"تخليه خراسان رضوي تربت حيدريه جاده بوري آبادكارخانه آسفالت وليعصر(عج )"</f>
        <v>تخليه خراسان رضوي تربت حيدريه جاده بوري آبادكارخانه آسفالت وليعصر(عج )</v>
      </c>
      <c r="D630" s="1">
        <v>9113</v>
      </c>
      <c r="E630" s="1">
        <v>128920</v>
      </c>
      <c r="F630" s="1">
        <v>96</v>
      </c>
      <c r="G630" s="1">
        <v>937</v>
      </c>
      <c r="H630" s="1" t="str">
        <f>"96/07/03"</f>
        <v>96/07/03</v>
      </c>
      <c r="I630" s="1" t="str">
        <f>"كيلوگرم"</f>
        <v>كيلوگرم</v>
      </c>
      <c r="J630" s="1" t="str">
        <f>"0000000076"</f>
        <v>0000000076</v>
      </c>
      <c r="K630" s="1" t="str">
        <f>"قير 60/70 - فله"</f>
        <v>قير 60/70 - فله</v>
      </c>
      <c r="L630" s="1">
        <v>100</v>
      </c>
      <c r="M630" s="1" t="str">
        <f>"مخازن قير اصفهان"</f>
        <v>مخازن قير اصفهان</v>
      </c>
      <c r="N630" s="1">
        <v>11440</v>
      </c>
      <c r="O630" s="1">
        <v>50036375</v>
      </c>
      <c r="P630" s="1" t="str">
        <f>"  شهرداري رشتخوار"</f>
        <v xml:space="preserve">  شهرداري رشتخوار</v>
      </c>
      <c r="Q630" s="1">
        <v>20</v>
      </c>
      <c r="R630" s="1" t="str">
        <f>"فروش داخلي - سازمان شهرداري ها و دهياري هاي كشور"</f>
        <v>فروش داخلي - سازمان شهرداري ها و دهياري هاي كشور</v>
      </c>
      <c r="S630" s="1" t="str">
        <f>"قرارداد فروش"</f>
        <v>قرارداد فروش</v>
      </c>
      <c r="T630" s="1" t="str">
        <f>"ندارد"</f>
        <v>ندارد</v>
      </c>
      <c r="U630" s="1" t="str">
        <f>"تعاوني جم گستر (1001 ج 89)"</f>
        <v>تعاوني جم گستر (1001 ج 89)</v>
      </c>
      <c r="V630" s="1">
        <v>962000170</v>
      </c>
      <c r="W630" s="1">
        <v>962000170</v>
      </c>
      <c r="X630" s="1" t="str">
        <f>"1396514467"</f>
        <v>1396514467</v>
      </c>
      <c r="Y630" s="1" t="str">
        <f>"96/07/03"</f>
        <v>96/07/03</v>
      </c>
      <c r="Z630" s="1" t="str">
        <f>"26794مرحله اول"</f>
        <v>26794مرحله اول</v>
      </c>
      <c r="AA630" s="1" t="str">
        <f>"شهرداريها"</f>
        <v>شهرداريها</v>
      </c>
      <c r="AB630" s="1" t="str">
        <f>"96/06/29"</f>
        <v>96/06/29</v>
      </c>
      <c r="AC630" s="1" t="str">
        <f>"خراسان رضوي"</f>
        <v>خراسان رضوي</v>
      </c>
      <c r="AD630" s="1" t="str">
        <f>"96/07/03"</f>
        <v>96/07/03</v>
      </c>
      <c r="AE630" s="1" t="str">
        <f>"اختتام"</f>
        <v>اختتام</v>
      </c>
      <c r="AF630" s="1" t="str">
        <f>""</f>
        <v/>
      </c>
      <c r="AG630" s="1" t="str">
        <f>""</f>
        <v/>
      </c>
      <c r="AH630" s="1" t="str">
        <f>""</f>
        <v/>
      </c>
      <c r="AI630" s="1" t="str">
        <f>""</f>
        <v/>
      </c>
      <c r="AJ630" s="1" t="str">
        <f>""</f>
        <v/>
      </c>
      <c r="AK630" s="1" t="str">
        <f>""</f>
        <v/>
      </c>
    </row>
    <row r="631" spans="1:37">
      <c r="A631" s="1">
        <v>114039</v>
      </c>
      <c r="B631" s="1">
        <v>962000177</v>
      </c>
      <c r="C631" s="1" t="str">
        <f>"تخليه خراسان رضوي كيلومتر16جاده بردسكن خليل آبادايرج آبادكارخانه آسفالت طوفان"</f>
        <v>تخليه خراسان رضوي كيلومتر16جاده بردسكن خليل آبادايرج آبادكارخانه آسفالت طوفان</v>
      </c>
      <c r="D631" s="1">
        <v>9113</v>
      </c>
      <c r="E631" s="1">
        <v>114039</v>
      </c>
      <c r="F631" s="1">
        <v>96</v>
      </c>
      <c r="G631" s="1">
        <v>0</v>
      </c>
      <c r="H631" s="1" t="str">
        <f>"96/07/03"</f>
        <v>96/07/03</v>
      </c>
      <c r="I631" s="1" t="str">
        <f>"كيلوگرم"</f>
        <v>كيلوگرم</v>
      </c>
      <c r="J631" s="1" t="str">
        <f>"0000000076"</f>
        <v>0000000076</v>
      </c>
      <c r="K631" s="1" t="str">
        <f>"قير 60/70 - فله"</f>
        <v>قير 60/70 - فله</v>
      </c>
      <c r="L631" s="1">
        <v>100</v>
      </c>
      <c r="M631" s="1" t="str">
        <f>"مخازن قير اصفهان"</f>
        <v>مخازن قير اصفهان</v>
      </c>
      <c r="N631" s="1">
        <v>11446</v>
      </c>
      <c r="O631" s="1">
        <v>50036382</v>
      </c>
      <c r="P631" s="1" t="str">
        <f>"  شهرداري شهرآباد"</f>
        <v xml:space="preserve">  شهرداري شهرآباد</v>
      </c>
      <c r="Q631" s="1">
        <v>20</v>
      </c>
      <c r="R631" s="1" t="str">
        <f>"فروش داخلي - سازمان شهرداري ها و دهياري هاي كشور"</f>
        <v>فروش داخلي - سازمان شهرداري ها و دهياري هاي كشور</v>
      </c>
      <c r="S631" s="1" t="str">
        <f>"قرارداد فروش"</f>
        <v>قرارداد فروش</v>
      </c>
      <c r="T631" s="1" t="str">
        <f>"ندارد"</f>
        <v>ندارد</v>
      </c>
      <c r="U631" s="1" t="str">
        <f>"تعاوني جم گستر (1001 ج 89)"</f>
        <v>تعاوني جم گستر (1001 ج 89)</v>
      </c>
      <c r="V631" s="1">
        <v>962000177</v>
      </c>
      <c r="W631" s="1">
        <v>962000177</v>
      </c>
      <c r="X631" s="1" t="str">
        <f>"1396514467"</f>
        <v>1396514467</v>
      </c>
      <c r="Y631" s="1" t="str">
        <f>"96/07/03"</f>
        <v>96/07/03</v>
      </c>
      <c r="Z631" s="1" t="str">
        <f>"26763مرحله اول"</f>
        <v>26763مرحله اول</v>
      </c>
      <c r="AA631" s="1" t="str">
        <f>"شهرداريها"</f>
        <v>شهرداريها</v>
      </c>
      <c r="AB631" s="1" t="str">
        <f>"96/06/29"</f>
        <v>96/06/29</v>
      </c>
      <c r="AC631" s="1" t="str">
        <f>"خراسان رضوي"</f>
        <v>خراسان رضوي</v>
      </c>
      <c r="AD631" s="1" t="str">
        <f>"96/07/03"</f>
        <v>96/07/03</v>
      </c>
      <c r="AE631" s="1" t="str">
        <f>"اختتام"</f>
        <v>اختتام</v>
      </c>
      <c r="AF631" s="1" t="str">
        <f>""</f>
        <v/>
      </c>
      <c r="AG631" s="1" t="str">
        <f>""</f>
        <v/>
      </c>
      <c r="AH631" s="1" t="str">
        <f>""</f>
        <v/>
      </c>
      <c r="AI631" s="1" t="str">
        <f>""</f>
        <v/>
      </c>
      <c r="AJ631" s="1" t="str">
        <f>""</f>
        <v/>
      </c>
      <c r="AK631" s="1" t="str">
        <f>""</f>
        <v/>
      </c>
    </row>
    <row r="632" spans="1:37">
      <c r="A632" s="1">
        <v>57823</v>
      </c>
      <c r="B632" s="1">
        <v>962000337</v>
      </c>
      <c r="C632" s="1" t="str">
        <f>"تخليه خراسان رضوي جاده نيشابورفيروزه كيلومتر31فولادخراسان شركت آسفالت خيام"</f>
        <v>تخليه خراسان رضوي جاده نيشابورفيروزه كيلومتر31فولادخراسان شركت آسفالت خيام</v>
      </c>
      <c r="D632" s="1">
        <v>9113</v>
      </c>
      <c r="E632" s="1">
        <v>57434</v>
      </c>
      <c r="F632" s="1">
        <v>96</v>
      </c>
      <c r="G632" s="1">
        <v>389</v>
      </c>
      <c r="H632" s="1" t="str">
        <f>"96/09/13"</f>
        <v>96/09/13</v>
      </c>
      <c r="I632" s="1" t="str">
        <f>"كيلوگرم"</f>
        <v>كيلوگرم</v>
      </c>
      <c r="J632" s="1" t="str">
        <f>"0000000076"</f>
        <v>0000000076</v>
      </c>
      <c r="K632" s="1" t="str">
        <f>"قير 60/70 - فله"</f>
        <v>قير 60/70 - فله</v>
      </c>
      <c r="L632" s="1">
        <v>100</v>
      </c>
      <c r="M632" s="1" t="str">
        <f>"مخازن قير اصفهان"</f>
        <v>مخازن قير اصفهان</v>
      </c>
      <c r="N632" s="1">
        <v>11447</v>
      </c>
      <c r="O632" s="1">
        <v>50037546</v>
      </c>
      <c r="P632" s="1" t="str">
        <f>"  شهرداري عشق آباد خراسان رضوي"</f>
        <v xml:space="preserve">  شهرداري عشق آباد خراسان رضوي</v>
      </c>
      <c r="Q632" s="1">
        <v>20</v>
      </c>
      <c r="R632" s="1" t="str">
        <f>"فروش داخلي - سازمان شهرداري ها و دهياري هاي كشور"</f>
        <v>فروش داخلي - سازمان شهرداري ها و دهياري هاي كشور</v>
      </c>
      <c r="S632" s="1" t="str">
        <f>"قرارداد فروش"</f>
        <v>قرارداد فروش</v>
      </c>
      <c r="T632" s="1" t="str">
        <f>"ندارد"</f>
        <v>ندارد</v>
      </c>
      <c r="U632" s="1" t="str">
        <f>"تعاوني جم گستر (1001 ج 89)"</f>
        <v>تعاوني جم گستر (1001 ج 89)</v>
      </c>
      <c r="V632" s="1">
        <v>962000337</v>
      </c>
      <c r="W632" s="1">
        <v>962000337</v>
      </c>
      <c r="X632" s="1" t="str">
        <f>"1396514467"</f>
        <v>1396514467</v>
      </c>
      <c r="Y632" s="1" t="str">
        <f>"96/09/12"</f>
        <v>96/09/12</v>
      </c>
      <c r="Z632" s="1" t="str">
        <f>"37042مرحله دوم"</f>
        <v>37042مرحله دوم</v>
      </c>
      <c r="AA632" s="1" t="str">
        <f>"شهرداريها"</f>
        <v>شهرداريها</v>
      </c>
      <c r="AB632" s="1" t="str">
        <f>"96/09/04"</f>
        <v>96/09/04</v>
      </c>
      <c r="AC632" s="1" t="str">
        <f>"خراسان رضوي"</f>
        <v>خراسان رضوي</v>
      </c>
      <c r="AD632" s="1" t="str">
        <f>"96/07/03"</f>
        <v>96/07/03</v>
      </c>
      <c r="AE632" s="1" t="str">
        <f>"اختتام"</f>
        <v>اختتام</v>
      </c>
      <c r="AF632" s="1" t="str">
        <f>""</f>
        <v/>
      </c>
      <c r="AG632" s="1" t="str">
        <f>""</f>
        <v/>
      </c>
      <c r="AH632" s="1" t="str">
        <f>""</f>
        <v/>
      </c>
      <c r="AI632" s="1" t="str">
        <f>""</f>
        <v/>
      </c>
      <c r="AJ632" s="1" t="str">
        <f>""</f>
        <v/>
      </c>
      <c r="AK632" s="1" t="str">
        <f>""</f>
        <v/>
      </c>
    </row>
    <row r="633" spans="1:37">
      <c r="A633" s="1">
        <v>62217</v>
      </c>
      <c r="B633" s="1">
        <v>962000320</v>
      </c>
      <c r="C633" s="1" t="str">
        <f>"تخليه خراسان رضوي شهرستان فيروزآبادكيلومتر12جاده قوچان كارخانه آسفالت دل حفره"</f>
        <v>تخليه خراسان رضوي شهرستان فيروزآبادكيلومتر12جاده قوچان كارخانه آسفالت دل حفره</v>
      </c>
      <c r="D633" s="1">
        <v>9113</v>
      </c>
      <c r="E633" s="1">
        <v>61140</v>
      </c>
      <c r="F633" s="1">
        <v>96</v>
      </c>
      <c r="G633" s="1">
        <v>1077</v>
      </c>
      <c r="H633" s="1" t="str">
        <f>"96/09/13"</f>
        <v>96/09/13</v>
      </c>
      <c r="I633" s="1" t="str">
        <f>"كيلوگرم"</f>
        <v>كيلوگرم</v>
      </c>
      <c r="J633" s="1" t="str">
        <f>"0000000076"</f>
        <v>0000000076</v>
      </c>
      <c r="K633" s="1" t="str">
        <f>"قير 60/70 - فله"</f>
        <v>قير 60/70 - فله</v>
      </c>
      <c r="L633" s="1">
        <v>100</v>
      </c>
      <c r="M633" s="1" t="str">
        <f>"مخازن قير اصفهان"</f>
        <v>مخازن قير اصفهان</v>
      </c>
      <c r="N633" s="1">
        <v>11448</v>
      </c>
      <c r="O633" s="1">
        <v>50037525</v>
      </c>
      <c r="P633" s="1" t="str">
        <f>"  شهرداري فيروزه"</f>
        <v xml:space="preserve">  شهرداري فيروزه</v>
      </c>
      <c r="Q633" s="1">
        <v>20</v>
      </c>
      <c r="R633" s="1" t="str">
        <f>"فروش داخلي - سازمان شهرداري ها و دهياري هاي كشور"</f>
        <v>فروش داخلي - سازمان شهرداري ها و دهياري هاي كشور</v>
      </c>
      <c r="S633" s="1" t="str">
        <f>"قرارداد فروش"</f>
        <v>قرارداد فروش</v>
      </c>
      <c r="T633" s="1" t="str">
        <f>"ندارد"</f>
        <v>ندارد</v>
      </c>
      <c r="U633" s="1" t="str">
        <f>"تعاوني جم گستر (1001 ج 89)"</f>
        <v>تعاوني جم گستر (1001 ج 89)</v>
      </c>
      <c r="V633" s="1">
        <v>962000320</v>
      </c>
      <c r="W633" s="1">
        <v>962000320</v>
      </c>
      <c r="X633" s="1" t="str">
        <f>"1396514467"</f>
        <v>1396514467</v>
      </c>
      <c r="Y633" s="1" t="str">
        <f>"96/09/12"</f>
        <v>96/09/12</v>
      </c>
      <c r="Z633" s="1" t="str">
        <f>"37045مرحله دوم"</f>
        <v>37045مرحله دوم</v>
      </c>
      <c r="AA633" s="1" t="str">
        <f>"شهرداريها"</f>
        <v>شهرداريها</v>
      </c>
      <c r="AB633" s="1" t="str">
        <f>"96/09/04"</f>
        <v>96/09/04</v>
      </c>
      <c r="AC633" s="1" t="str">
        <f>"خراسان رضوي"</f>
        <v>خراسان رضوي</v>
      </c>
      <c r="AD633" s="1" t="str">
        <f>"96/07/03"</f>
        <v>96/07/03</v>
      </c>
      <c r="AE633" s="1" t="str">
        <f>"اختتام"</f>
        <v>اختتام</v>
      </c>
      <c r="AF633" s="1" t="str">
        <f>""</f>
        <v/>
      </c>
      <c r="AG633" s="1" t="str">
        <f>""</f>
        <v/>
      </c>
      <c r="AH633" s="1" t="str">
        <f>""</f>
        <v/>
      </c>
      <c r="AI633" s="1" t="str">
        <f>""</f>
        <v/>
      </c>
      <c r="AJ633" s="1" t="str">
        <f>""</f>
        <v/>
      </c>
      <c r="AK633" s="1" t="str">
        <f>""</f>
        <v/>
      </c>
    </row>
    <row r="634" spans="1:37">
      <c r="A634" s="1">
        <v>118157</v>
      </c>
      <c r="B634" s="1">
        <v>962000184</v>
      </c>
      <c r="C634" s="1" t="str">
        <f>"تخليه خراسان رضوي سنگ بست جنب كارخانه گچ رحيمي كارخانه آسفالت طوفان"</f>
        <v>تخليه خراسان رضوي سنگ بست جنب كارخانه گچ رحيمي كارخانه آسفالت طوفان</v>
      </c>
      <c r="D634" s="1">
        <v>9113</v>
      </c>
      <c r="E634" s="1">
        <v>118157</v>
      </c>
      <c r="F634" s="1">
        <v>96</v>
      </c>
      <c r="G634" s="1">
        <v>0</v>
      </c>
      <c r="H634" s="1" t="str">
        <f>"96/07/03"</f>
        <v>96/07/03</v>
      </c>
      <c r="I634" s="1" t="str">
        <f>"كيلوگرم"</f>
        <v>كيلوگرم</v>
      </c>
      <c r="J634" s="1" t="str">
        <f>"0000000076"</f>
        <v>0000000076</v>
      </c>
      <c r="K634" s="1" t="str">
        <f>"قير 60/70 - فله"</f>
        <v>قير 60/70 - فله</v>
      </c>
      <c r="L634" s="1">
        <v>100</v>
      </c>
      <c r="M634" s="1" t="str">
        <f>"مخازن قير اصفهان"</f>
        <v>مخازن قير اصفهان</v>
      </c>
      <c r="N634" s="1">
        <v>11449</v>
      </c>
      <c r="O634" s="1">
        <v>50036389</v>
      </c>
      <c r="P634" s="1" t="str">
        <f>"  شهرداري كدكن"</f>
        <v xml:space="preserve">  شهرداري كدكن</v>
      </c>
      <c r="Q634" s="1">
        <v>20</v>
      </c>
      <c r="R634" s="1" t="str">
        <f>"فروش داخلي - سازمان شهرداري ها و دهياري هاي كشور"</f>
        <v>فروش داخلي - سازمان شهرداري ها و دهياري هاي كشور</v>
      </c>
      <c r="S634" s="1" t="str">
        <f>"قرارداد فروش"</f>
        <v>قرارداد فروش</v>
      </c>
      <c r="T634" s="1" t="str">
        <f>"ندارد"</f>
        <v>ندارد</v>
      </c>
      <c r="U634" s="1" t="str">
        <f>"تعاوني جم گستر (1001 ج 89)"</f>
        <v>تعاوني جم گستر (1001 ج 89)</v>
      </c>
      <c r="V634" s="1">
        <v>962000184</v>
      </c>
      <c r="W634" s="1">
        <v>962000184</v>
      </c>
      <c r="X634" s="1" t="str">
        <f>"1396514467"</f>
        <v>1396514467</v>
      </c>
      <c r="Y634" s="1" t="str">
        <f>"96/07/03"</f>
        <v>96/07/03</v>
      </c>
      <c r="Z634" s="1" t="str">
        <f>"26684مرحله اول"</f>
        <v>26684مرحله اول</v>
      </c>
      <c r="AA634" s="1" t="str">
        <f>"شهرداريها"</f>
        <v>شهرداريها</v>
      </c>
      <c r="AB634" s="1" t="str">
        <f>"96/06/29"</f>
        <v>96/06/29</v>
      </c>
      <c r="AC634" s="1" t="str">
        <f>"خراسان رضوي"</f>
        <v>خراسان رضوي</v>
      </c>
      <c r="AD634" s="1" t="str">
        <f>"96/07/03"</f>
        <v>96/07/03</v>
      </c>
      <c r="AE634" s="1" t="str">
        <f>"اختتام"</f>
        <v>اختتام</v>
      </c>
      <c r="AF634" s="1" t="str">
        <f>""</f>
        <v/>
      </c>
      <c r="AG634" s="1" t="str">
        <f>""</f>
        <v/>
      </c>
      <c r="AH634" s="1" t="str">
        <f>""</f>
        <v/>
      </c>
      <c r="AI634" s="1" t="str">
        <f>""</f>
        <v/>
      </c>
      <c r="AJ634" s="1" t="str">
        <f>""</f>
        <v/>
      </c>
      <c r="AK634" s="1" t="str">
        <f>""</f>
        <v/>
      </c>
    </row>
    <row r="635" spans="1:37">
      <c r="A635" s="1">
        <v>59128</v>
      </c>
      <c r="B635" s="1">
        <v>962000308</v>
      </c>
      <c r="C635" s="1" t="str">
        <f>"تخليه خراسان رضوي كيلومتر15جاده درگزمشهدكارخانه آسفالت شهرداري درگز"</f>
        <v>تخليه خراسان رضوي كيلومتر15جاده درگزمشهدكارخانه آسفالت شهرداري درگز</v>
      </c>
      <c r="D635" s="1">
        <v>9113</v>
      </c>
      <c r="E635" s="1">
        <v>58603</v>
      </c>
      <c r="F635" s="1">
        <v>96</v>
      </c>
      <c r="G635" s="1">
        <v>525</v>
      </c>
      <c r="H635" s="1" t="str">
        <f>"96/09/13"</f>
        <v>96/09/13</v>
      </c>
      <c r="I635" s="1" t="str">
        <f>"كيلوگرم"</f>
        <v>كيلوگرم</v>
      </c>
      <c r="J635" s="1" t="str">
        <f>"0000000076"</f>
        <v>0000000076</v>
      </c>
      <c r="K635" s="1" t="str">
        <f>"قير 60/70 - فله"</f>
        <v>قير 60/70 - فله</v>
      </c>
      <c r="L635" s="1">
        <v>100</v>
      </c>
      <c r="M635" s="1" t="str">
        <f>"مخازن قير اصفهان"</f>
        <v>مخازن قير اصفهان</v>
      </c>
      <c r="N635" s="1">
        <v>11456</v>
      </c>
      <c r="O635" s="1">
        <v>50037510</v>
      </c>
      <c r="P635" s="1" t="str">
        <f>"  شهرداري نوخندان"</f>
        <v xml:space="preserve">  شهرداري نوخندان</v>
      </c>
      <c r="Q635" s="1">
        <v>20</v>
      </c>
      <c r="R635" s="1" t="str">
        <f>"فروش داخلي - سازمان شهرداري ها و دهياري هاي كشور"</f>
        <v>فروش داخلي - سازمان شهرداري ها و دهياري هاي كشور</v>
      </c>
      <c r="S635" s="1" t="str">
        <f>"قرارداد فروش"</f>
        <v>قرارداد فروش</v>
      </c>
      <c r="T635" s="1" t="str">
        <f>"ندارد"</f>
        <v>ندارد</v>
      </c>
      <c r="U635" s="1" t="str">
        <f>"تعاوني جم گستر (1001 ج 89)"</f>
        <v>تعاوني جم گستر (1001 ج 89)</v>
      </c>
      <c r="V635" s="1">
        <v>962000308</v>
      </c>
      <c r="W635" s="1">
        <v>962000308</v>
      </c>
      <c r="X635" s="1" t="str">
        <f>"1396514467"</f>
        <v>1396514467</v>
      </c>
      <c r="Y635" s="1" t="str">
        <f>"96/09/12"</f>
        <v>96/09/12</v>
      </c>
      <c r="Z635" s="1" t="str">
        <f>"37066مرحله دوم"</f>
        <v>37066مرحله دوم</v>
      </c>
      <c r="AA635" s="1" t="str">
        <f>"شهرداريها"</f>
        <v>شهرداريها</v>
      </c>
      <c r="AB635" s="1" t="str">
        <f>"96/09/04"</f>
        <v>96/09/04</v>
      </c>
      <c r="AC635" s="1" t="str">
        <f>"خراسان رضوي"</f>
        <v>خراسان رضوي</v>
      </c>
      <c r="AD635" s="1" t="str">
        <f>"96/07/03"</f>
        <v>96/07/03</v>
      </c>
      <c r="AE635" s="1" t="str">
        <f>"اختتام"</f>
        <v>اختتام</v>
      </c>
      <c r="AF635" s="1" t="str">
        <f>""</f>
        <v/>
      </c>
      <c r="AG635" s="1" t="str">
        <f>""</f>
        <v/>
      </c>
      <c r="AH635" s="1" t="str">
        <f>""</f>
        <v/>
      </c>
      <c r="AI635" s="1" t="str">
        <f>""</f>
        <v/>
      </c>
      <c r="AJ635" s="1" t="str">
        <f>""</f>
        <v/>
      </c>
      <c r="AK635" s="1" t="str">
        <f>""</f>
        <v/>
      </c>
    </row>
    <row r="636" spans="1:37">
      <c r="A636" s="1">
        <v>115847</v>
      </c>
      <c r="B636" s="1">
        <v>962000196</v>
      </c>
      <c r="C636" s="1" t="str">
        <f>"تخليه خراسان رضوي جاده نيشابورفيروزجاده اختصاصي فولادشركت پيام آسفالت"</f>
        <v>تخليه خراسان رضوي جاده نيشابورفيروزجاده اختصاصي فولادشركت پيام آسفالت</v>
      </c>
      <c r="D636" s="1">
        <v>9113</v>
      </c>
      <c r="E636" s="1">
        <v>115847</v>
      </c>
      <c r="F636" s="1">
        <v>96</v>
      </c>
      <c r="G636" s="1">
        <v>0</v>
      </c>
      <c r="H636" s="1" t="str">
        <f>"96/07/03"</f>
        <v>96/07/03</v>
      </c>
      <c r="I636" s="1" t="str">
        <f>"كيلوگرم"</f>
        <v>كيلوگرم</v>
      </c>
      <c r="J636" s="1" t="str">
        <f>"0000000076"</f>
        <v>0000000076</v>
      </c>
      <c r="K636" s="1" t="str">
        <f>"قير 60/70 - فله"</f>
        <v>قير 60/70 - فله</v>
      </c>
      <c r="L636" s="1">
        <v>100</v>
      </c>
      <c r="M636" s="1" t="str">
        <f>"مخازن قير اصفهان"</f>
        <v>مخازن قير اصفهان</v>
      </c>
      <c r="N636" s="1">
        <v>11457</v>
      </c>
      <c r="O636" s="1">
        <v>50036407</v>
      </c>
      <c r="P636" s="1" t="str">
        <f>"  شهرداري همت آباد"</f>
        <v xml:space="preserve">  شهرداري همت آباد</v>
      </c>
      <c r="Q636" s="1">
        <v>20</v>
      </c>
      <c r="R636" s="1" t="str">
        <f>"فروش داخلي - سازمان شهرداري ها و دهياري هاي كشور"</f>
        <v>فروش داخلي - سازمان شهرداري ها و دهياري هاي كشور</v>
      </c>
      <c r="S636" s="1" t="str">
        <f>"قرارداد فروش"</f>
        <v>قرارداد فروش</v>
      </c>
      <c r="T636" s="1" t="str">
        <f>"ندارد"</f>
        <v>ندارد</v>
      </c>
      <c r="U636" s="1" t="str">
        <f>"تعاوني جم گستر (1001 ج 89)"</f>
        <v>تعاوني جم گستر (1001 ج 89)</v>
      </c>
      <c r="V636" s="1">
        <v>962000196</v>
      </c>
      <c r="W636" s="1">
        <v>962000196</v>
      </c>
      <c r="X636" s="1" t="str">
        <f>"1396514467"</f>
        <v>1396514467</v>
      </c>
      <c r="Y636" s="1" t="str">
        <f>"96/07/03"</f>
        <v>96/07/03</v>
      </c>
      <c r="Z636" s="1" t="str">
        <f>"26657مرحله اول"</f>
        <v>26657مرحله اول</v>
      </c>
      <c r="AA636" s="1" t="str">
        <f>"شهرداريها"</f>
        <v>شهرداريها</v>
      </c>
      <c r="AB636" s="1" t="str">
        <f>"96/06/29"</f>
        <v>96/06/29</v>
      </c>
      <c r="AC636" s="1" t="str">
        <f>"خراسان رضوي"</f>
        <v>خراسان رضوي</v>
      </c>
      <c r="AD636" s="1" t="str">
        <f>"96/07/03"</f>
        <v>96/07/03</v>
      </c>
      <c r="AE636" s="1" t="str">
        <f>"اختتام"</f>
        <v>اختتام</v>
      </c>
      <c r="AF636" s="1" t="str">
        <f>""</f>
        <v/>
      </c>
      <c r="AG636" s="1" t="str">
        <f>""</f>
        <v/>
      </c>
      <c r="AH636" s="1" t="str">
        <f>""</f>
        <v/>
      </c>
      <c r="AI636" s="1" t="str">
        <f>""</f>
        <v/>
      </c>
      <c r="AJ636" s="1" t="str">
        <f>""</f>
        <v/>
      </c>
      <c r="AK636" s="1" t="str">
        <f>""</f>
        <v/>
      </c>
    </row>
    <row r="637" spans="1:37">
      <c r="A637" s="1">
        <v>57923</v>
      </c>
      <c r="B637" s="1">
        <v>962000321</v>
      </c>
      <c r="C637" s="1" t="str">
        <f>"تخليه خراسان رضوي جاده نيشابورفيروزجاده اختصاصي فولادشركت پيام آسفالت"</f>
        <v>تخليه خراسان رضوي جاده نيشابورفيروزجاده اختصاصي فولادشركت پيام آسفالت</v>
      </c>
      <c r="D637" s="1">
        <v>9113</v>
      </c>
      <c r="E637" s="1">
        <v>57673</v>
      </c>
      <c r="F637" s="1">
        <v>96</v>
      </c>
      <c r="G637" s="1">
        <v>250</v>
      </c>
      <c r="H637" s="1" t="str">
        <f>"96/09/13"</f>
        <v>96/09/13</v>
      </c>
      <c r="I637" s="1" t="str">
        <f>"كيلوگرم"</f>
        <v>كيلوگرم</v>
      </c>
      <c r="J637" s="1" t="str">
        <f>"0000000076"</f>
        <v>0000000076</v>
      </c>
      <c r="K637" s="1" t="str">
        <f>"قير 60/70 - فله"</f>
        <v>قير 60/70 - فله</v>
      </c>
      <c r="L637" s="1">
        <v>100</v>
      </c>
      <c r="M637" s="1" t="str">
        <f>"مخازن قير اصفهان"</f>
        <v>مخازن قير اصفهان</v>
      </c>
      <c r="N637" s="1">
        <v>11457</v>
      </c>
      <c r="O637" s="1">
        <v>50037526</v>
      </c>
      <c r="P637" s="1" t="str">
        <f>"  شهرداري همت آباد"</f>
        <v xml:space="preserve">  شهرداري همت آباد</v>
      </c>
      <c r="Q637" s="1">
        <v>20</v>
      </c>
      <c r="R637" s="1" t="str">
        <f>"فروش داخلي - سازمان شهرداري ها و دهياري هاي كشور"</f>
        <v>فروش داخلي - سازمان شهرداري ها و دهياري هاي كشور</v>
      </c>
      <c r="S637" s="1" t="str">
        <f>"قرارداد فروش"</f>
        <v>قرارداد فروش</v>
      </c>
      <c r="T637" s="1" t="str">
        <f>"ندارد"</f>
        <v>ندارد</v>
      </c>
      <c r="U637" s="1" t="str">
        <f>"تعاوني جم گستر (1001 ج 89)"</f>
        <v>تعاوني جم گستر (1001 ج 89)</v>
      </c>
      <c r="V637" s="1">
        <v>962000321</v>
      </c>
      <c r="W637" s="1">
        <v>962000321</v>
      </c>
      <c r="X637" s="1" t="str">
        <f>"1396514467"</f>
        <v>1396514467</v>
      </c>
      <c r="Y637" s="1" t="str">
        <f>"96/09/12"</f>
        <v>96/09/12</v>
      </c>
      <c r="Z637" s="1" t="str">
        <f>"37068مرحله دوم"</f>
        <v>37068مرحله دوم</v>
      </c>
      <c r="AA637" s="1" t="str">
        <f>"شهرداريها"</f>
        <v>شهرداريها</v>
      </c>
      <c r="AB637" s="1" t="str">
        <f>"96/09/04"</f>
        <v>96/09/04</v>
      </c>
      <c r="AC637" s="1" t="str">
        <f>"خراسان رضوي"</f>
        <v>خراسان رضوي</v>
      </c>
      <c r="AD637" s="1" t="str">
        <f>"96/07/03"</f>
        <v>96/07/03</v>
      </c>
      <c r="AE637" s="1" t="str">
        <f>"اختتام"</f>
        <v>اختتام</v>
      </c>
      <c r="AF637" s="1" t="str">
        <f>""</f>
        <v/>
      </c>
      <c r="AG637" s="1" t="str">
        <f>""</f>
        <v/>
      </c>
      <c r="AH637" s="1" t="str">
        <f>""</f>
        <v/>
      </c>
      <c r="AI637" s="1" t="str">
        <f>""</f>
        <v/>
      </c>
      <c r="AJ637" s="1" t="str">
        <f>""</f>
        <v/>
      </c>
      <c r="AK637" s="1" t="str">
        <f>""</f>
        <v/>
      </c>
    </row>
    <row r="638" spans="1:37">
      <c r="A638" s="1">
        <v>120367</v>
      </c>
      <c r="B638" s="1">
        <v>962000197</v>
      </c>
      <c r="C638" s="1" t="str">
        <f>"تخليه خراسان رضوي كيلومتر10جادهگنابادفردوس كارخانه آسفالت سليماني"</f>
        <v>تخليه خراسان رضوي كيلومتر10جادهگنابادفردوس كارخانه آسفالت سليماني</v>
      </c>
      <c r="D638" s="1">
        <v>9113</v>
      </c>
      <c r="E638" s="1">
        <v>120080</v>
      </c>
      <c r="F638" s="1">
        <v>96</v>
      </c>
      <c r="G638" s="1">
        <v>287</v>
      </c>
      <c r="H638" s="1" t="str">
        <f>"96/07/03"</f>
        <v>96/07/03</v>
      </c>
      <c r="I638" s="1" t="str">
        <f>"كيلوگرم"</f>
        <v>كيلوگرم</v>
      </c>
      <c r="J638" s="1" t="str">
        <f>"0000000076"</f>
        <v>0000000076</v>
      </c>
      <c r="K638" s="1" t="str">
        <f>"قير 60/70 - فله"</f>
        <v>قير 60/70 - فله</v>
      </c>
      <c r="L638" s="1">
        <v>100</v>
      </c>
      <c r="M638" s="1" t="str">
        <f>"مخازن قير اصفهان"</f>
        <v>مخازن قير اصفهان</v>
      </c>
      <c r="N638" s="1">
        <v>11458</v>
      </c>
      <c r="O638" s="1">
        <v>50036404</v>
      </c>
      <c r="P638" s="1" t="str">
        <f>"  شهرداري يونسي"</f>
        <v xml:space="preserve">  شهرداري يونسي</v>
      </c>
      <c r="Q638" s="1">
        <v>20</v>
      </c>
      <c r="R638" s="1" t="str">
        <f>"فروش داخلي - سازمان شهرداري ها و دهياري هاي كشور"</f>
        <v>فروش داخلي - سازمان شهرداري ها و دهياري هاي كشور</v>
      </c>
      <c r="S638" s="1" t="str">
        <f>"قرارداد فروش"</f>
        <v>قرارداد فروش</v>
      </c>
      <c r="T638" s="1" t="str">
        <f>"ندارد"</f>
        <v>ندارد</v>
      </c>
      <c r="U638" s="1" t="str">
        <f>"تعاوني جم گستر (1001 ج 89)"</f>
        <v>تعاوني جم گستر (1001 ج 89)</v>
      </c>
      <c r="V638" s="1">
        <v>962000197</v>
      </c>
      <c r="W638" s="1">
        <v>962000197</v>
      </c>
      <c r="X638" s="1" t="str">
        <f>"1396514467"</f>
        <v>1396514467</v>
      </c>
      <c r="Y638" s="1" t="str">
        <f>"96/07/03"</f>
        <v>96/07/03</v>
      </c>
      <c r="Z638" s="1" t="str">
        <f>"26620مرحله اول"</f>
        <v>26620مرحله اول</v>
      </c>
      <c r="AA638" s="1" t="str">
        <f>"شهرداريها"</f>
        <v>شهرداريها</v>
      </c>
      <c r="AB638" s="1" t="str">
        <f>"96/06/29"</f>
        <v>96/06/29</v>
      </c>
      <c r="AC638" s="1" t="str">
        <f>"خراسان رضوي"</f>
        <v>خراسان رضوي</v>
      </c>
      <c r="AD638" s="1" t="str">
        <f>"96/07/03"</f>
        <v>96/07/03</v>
      </c>
      <c r="AE638" s="1" t="str">
        <f>"اختتام"</f>
        <v>اختتام</v>
      </c>
      <c r="AF638" s="1" t="str">
        <f>""</f>
        <v/>
      </c>
      <c r="AG638" s="1" t="str">
        <f>""</f>
        <v/>
      </c>
      <c r="AH638" s="1" t="str">
        <f>""</f>
        <v/>
      </c>
      <c r="AI638" s="1" t="str">
        <f>""</f>
        <v/>
      </c>
      <c r="AJ638" s="1" t="str">
        <f>""</f>
        <v/>
      </c>
      <c r="AK638" s="1" t="str">
        <f>""</f>
        <v/>
      </c>
    </row>
    <row r="639" spans="1:37">
      <c r="A639" s="1">
        <v>60183</v>
      </c>
      <c r="B639" s="1">
        <v>962000277</v>
      </c>
      <c r="C639" s="1" t="str">
        <f>"تخليه خراسان رضوي بجستان كيلومتر3جاده فردوس مخزن قيركارخانه آسفالت شهرداري بجستان"</f>
        <v>تخليه خراسان رضوي بجستان كيلومتر3جاده فردوس مخزن قيركارخانه آسفالت شهرداري بجستان</v>
      </c>
      <c r="D639" s="1">
        <v>9113</v>
      </c>
      <c r="E639" s="1">
        <v>59100</v>
      </c>
      <c r="F639" s="1">
        <v>96</v>
      </c>
      <c r="G639" s="1">
        <v>1083</v>
      </c>
      <c r="H639" s="1" t="str">
        <f>"96/09/13"</f>
        <v>96/09/13</v>
      </c>
      <c r="I639" s="1" t="str">
        <f>"كيلوگرم"</f>
        <v>كيلوگرم</v>
      </c>
      <c r="J639" s="1" t="str">
        <f>"0000000076"</f>
        <v>0000000076</v>
      </c>
      <c r="K639" s="1" t="str">
        <f>"قير 60/70 - فله"</f>
        <v>قير 60/70 - فله</v>
      </c>
      <c r="L639" s="1">
        <v>100</v>
      </c>
      <c r="M639" s="1" t="str">
        <f>"مخازن قير اصفهان"</f>
        <v>مخازن قير اصفهان</v>
      </c>
      <c r="N639" s="1">
        <v>11458</v>
      </c>
      <c r="O639" s="1">
        <v>50037475</v>
      </c>
      <c r="P639" s="1" t="str">
        <f>"  شهرداري يونسي"</f>
        <v xml:space="preserve">  شهرداري يونسي</v>
      </c>
      <c r="Q639" s="1">
        <v>20</v>
      </c>
      <c r="R639" s="1" t="str">
        <f>"فروش داخلي - سازمان شهرداري ها و دهياري هاي كشور"</f>
        <v>فروش داخلي - سازمان شهرداري ها و دهياري هاي كشور</v>
      </c>
      <c r="S639" s="1" t="str">
        <f>"قرارداد فروش"</f>
        <v>قرارداد فروش</v>
      </c>
      <c r="T639" s="1" t="str">
        <f>"ندارد"</f>
        <v>ندارد</v>
      </c>
      <c r="U639" s="1" t="str">
        <f>"تعاوني جم گستر (1001 ج 89)"</f>
        <v>تعاوني جم گستر (1001 ج 89)</v>
      </c>
      <c r="V639" s="1">
        <v>962000277</v>
      </c>
      <c r="W639" s="1">
        <v>962000277</v>
      </c>
      <c r="X639" s="1" t="str">
        <f>"1396514467"</f>
        <v>1396514467</v>
      </c>
      <c r="Y639" s="1" t="str">
        <f>"96/09/12"</f>
        <v>96/09/12</v>
      </c>
      <c r="Z639" s="1" t="str">
        <f>"37069مرحله دوم"</f>
        <v>37069مرحله دوم</v>
      </c>
      <c r="AA639" s="1" t="str">
        <f>"شهرداريها"</f>
        <v>شهرداريها</v>
      </c>
      <c r="AB639" s="1" t="str">
        <f>"96/09/04"</f>
        <v>96/09/04</v>
      </c>
      <c r="AC639" s="1" t="str">
        <f>"خراسان رضوي"</f>
        <v>خراسان رضوي</v>
      </c>
      <c r="AD639" s="1" t="str">
        <f>"96/07/03"</f>
        <v>96/07/03</v>
      </c>
      <c r="AE639" s="1" t="str">
        <f>"اختتام"</f>
        <v>اختتام</v>
      </c>
      <c r="AF639" s="1" t="str">
        <f>""</f>
        <v/>
      </c>
      <c r="AG639" s="1" t="str">
        <f>""</f>
        <v/>
      </c>
      <c r="AH639" s="1" t="str">
        <f>""</f>
        <v/>
      </c>
      <c r="AI639" s="1" t="str">
        <f>""</f>
        <v/>
      </c>
      <c r="AJ639" s="1" t="str">
        <f>""</f>
        <v/>
      </c>
      <c r="AK639" s="1" t="str">
        <f>""</f>
        <v/>
      </c>
    </row>
    <row r="640" spans="1:37">
      <c r="A640" s="1">
        <v>109871</v>
      </c>
      <c r="B640" s="1">
        <v>962000019</v>
      </c>
      <c r="C640" s="1" t="str">
        <f>"تخليه -اصفهان -زرين شهر-كيلومتر6جاده زرين شهراصفهان جنب پل راه آهن جاده -شركت زرين سپاهان"</f>
        <v>تخليه -اصفهان -زرين شهر-كيلومتر6جاده زرين شهراصفهان جنب پل راه آهن جاده -شركت زرين سپاهان</v>
      </c>
      <c r="D640" s="1">
        <v>9113</v>
      </c>
      <c r="E640" s="1">
        <v>109871</v>
      </c>
      <c r="F640" s="1">
        <v>96</v>
      </c>
      <c r="G640" s="1">
        <v>0</v>
      </c>
      <c r="H640" s="1" t="str">
        <f>"96/07/03"</f>
        <v>96/07/03</v>
      </c>
      <c r="I640" s="1" t="str">
        <f>"كيلوگرم"</f>
        <v>كيلوگرم</v>
      </c>
      <c r="J640" s="1" t="str">
        <f>"0000000076"</f>
        <v>0000000076</v>
      </c>
      <c r="K640" s="1" t="str">
        <f>"قير 60/70 - فله"</f>
        <v>قير 60/70 - فله</v>
      </c>
      <c r="L640" s="1">
        <v>100</v>
      </c>
      <c r="M640" s="1" t="str">
        <f>"مخازن قير اصفهان"</f>
        <v>مخازن قير اصفهان</v>
      </c>
      <c r="N640" s="1">
        <v>10851</v>
      </c>
      <c r="O640" s="1">
        <v>50036160</v>
      </c>
      <c r="P640" s="1" t="str">
        <f>"  شهرداري بهاران شهر"</f>
        <v xml:space="preserve">  شهرداري بهاران شهر</v>
      </c>
      <c r="Q640" s="1">
        <v>20</v>
      </c>
      <c r="R640" s="1" t="str">
        <f>"فروش داخلي - سازمان شهرداري ها و دهياري هاي كشور"</f>
        <v>فروش داخلي - سازمان شهرداري ها و دهياري هاي كشور</v>
      </c>
      <c r="S640" s="1" t="str">
        <f>"قرارداد فروش"</f>
        <v>قرارداد فروش</v>
      </c>
      <c r="T640" s="1" t="str">
        <f>"ندارد"</f>
        <v>ندارد</v>
      </c>
      <c r="U640" s="1" t="str">
        <f>"تعاوني جم گستر (1001 ج 89)"</f>
        <v>تعاوني جم گستر (1001 ج 89)</v>
      </c>
      <c r="V640" s="1">
        <v>962000019</v>
      </c>
      <c r="W640" s="1">
        <v>962000019</v>
      </c>
      <c r="X640" s="1" t="str">
        <f>"1396514467"</f>
        <v>1396514467</v>
      </c>
      <c r="Y640" s="1" t="str">
        <f>"96/07/03"</f>
        <v>96/07/03</v>
      </c>
      <c r="Z640" s="1" t="str">
        <f>"26846مرحله اول"</f>
        <v>26846مرحله اول</v>
      </c>
      <c r="AA640" s="1" t="str">
        <f>"شهرداريها"</f>
        <v>شهرداريها</v>
      </c>
      <c r="AB640" s="1" t="str">
        <f>"96/06/29"</f>
        <v>96/06/29</v>
      </c>
      <c r="AC640" s="1" t="str">
        <f>"استان اصفهان"</f>
        <v>استان اصفهان</v>
      </c>
      <c r="AD640" s="1" t="str">
        <f>"96/07/03"</f>
        <v>96/07/03</v>
      </c>
      <c r="AE640" s="1" t="str">
        <f>"اختتام"</f>
        <v>اختتام</v>
      </c>
      <c r="AF640" s="1" t="str">
        <f>""</f>
        <v/>
      </c>
      <c r="AG640" s="1" t="str">
        <f>""</f>
        <v/>
      </c>
      <c r="AH640" s="1" t="str">
        <f>""</f>
        <v/>
      </c>
      <c r="AI640" s="1" t="str">
        <f>""</f>
        <v/>
      </c>
      <c r="AJ640" s="1" t="str">
        <f>""</f>
        <v/>
      </c>
      <c r="AK640" s="1" t="str">
        <f>""</f>
        <v/>
      </c>
    </row>
    <row r="641" spans="1:37">
      <c r="A641" s="1">
        <v>93853</v>
      </c>
      <c r="B641" s="1">
        <v>962000294</v>
      </c>
      <c r="C641" s="1" t="str">
        <f>"تخليه خراسان رضوي جاده مشهدگلبهاركيلومتر12جاده محسن آبادكارخانه طوس"</f>
        <v>تخليه خراسان رضوي جاده مشهدگلبهاركيلومتر12جاده محسن آبادكارخانه طوس</v>
      </c>
      <c r="D641" s="1">
        <v>9113</v>
      </c>
      <c r="E641" s="1">
        <v>88774</v>
      </c>
      <c r="F641" s="1">
        <v>96</v>
      </c>
      <c r="G641" s="1">
        <v>5079</v>
      </c>
      <c r="H641" s="1" t="str">
        <f>"96/09/13"</f>
        <v>96/09/13</v>
      </c>
      <c r="I641" s="1" t="str">
        <f>"كيلوگرم"</f>
        <v>كيلوگرم</v>
      </c>
      <c r="J641" s="1" t="str">
        <f>"0000000076"</f>
        <v>0000000076</v>
      </c>
      <c r="K641" s="1" t="str">
        <f>"قير 60/70 - فله"</f>
        <v>قير 60/70 - فله</v>
      </c>
      <c r="L641" s="1">
        <v>100</v>
      </c>
      <c r="M641" s="1" t="str">
        <f>"مخازن قير اصفهان"</f>
        <v>مخازن قير اصفهان</v>
      </c>
      <c r="N641" s="1">
        <v>10855</v>
      </c>
      <c r="O641" s="1">
        <v>50037495</v>
      </c>
      <c r="P641" s="1" t="str">
        <f>"  شهرداري گلبهار"</f>
        <v xml:space="preserve">  شهرداري گلبهار</v>
      </c>
      <c r="Q641" s="1">
        <v>20</v>
      </c>
      <c r="R641" s="1" t="str">
        <f>"فروش داخلي - سازمان شهرداري ها و دهياري هاي كشور"</f>
        <v>فروش داخلي - سازمان شهرداري ها و دهياري هاي كشور</v>
      </c>
      <c r="S641" s="1" t="str">
        <f>"قرارداد فروش"</f>
        <v>قرارداد فروش</v>
      </c>
      <c r="T641" s="1" t="str">
        <f>"ندارد"</f>
        <v>ندارد</v>
      </c>
      <c r="U641" s="1" t="str">
        <f>"تعاوني جم گستر (1001 ج 89)"</f>
        <v>تعاوني جم گستر (1001 ج 89)</v>
      </c>
      <c r="V641" s="1">
        <v>962000294</v>
      </c>
      <c r="W641" s="1">
        <v>962000294</v>
      </c>
      <c r="X641" s="1" t="str">
        <f>"1396514467"</f>
        <v>1396514467</v>
      </c>
      <c r="Y641" s="1" t="str">
        <f>"96/09/12"</f>
        <v>96/09/12</v>
      </c>
      <c r="Z641" s="1" t="str">
        <f>"37056مرحله دوم"</f>
        <v>37056مرحله دوم</v>
      </c>
      <c r="AA641" s="1" t="str">
        <f>"شهرداريها"</f>
        <v>شهرداريها</v>
      </c>
      <c r="AB641" s="1" t="str">
        <f>"96/09/04"</f>
        <v>96/09/04</v>
      </c>
      <c r="AC641" s="1" t="str">
        <f>"خراسان رضوي"</f>
        <v>خراسان رضوي</v>
      </c>
      <c r="AD641" s="1" t="str">
        <f>"96/07/03"</f>
        <v>96/07/03</v>
      </c>
      <c r="AE641" s="1" t="str">
        <f>"اختتام"</f>
        <v>اختتام</v>
      </c>
      <c r="AF641" s="1" t="str">
        <f>""</f>
        <v/>
      </c>
      <c r="AG641" s="1" t="str">
        <f>""</f>
        <v/>
      </c>
      <c r="AH641" s="1" t="str">
        <f>""</f>
        <v/>
      </c>
      <c r="AI641" s="1" t="str">
        <f>""</f>
        <v/>
      </c>
      <c r="AJ641" s="1" t="str">
        <f>""</f>
        <v/>
      </c>
      <c r="AK641" s="1" t="str">
        <f>""</f>
        <v/>
      </c>
    </row>
    <row r="642" spans="1:37">
      <c r="A642" s="1">
        <v>80000</v>
      </c>
      <c r="B642" s="1">
        <v>966200301</v>
      </c>
      <c r="C642" s="1" t="str">
        <f>"تخليه - خراسان رضوي-تربت حيدريه-جاده صنوبر-کارخانه 120تني شرکت جاسک"</f>
        <v>تخليه - خراسان رضوي-تربت حيدريه-جاده صنوبر-کارخانه 120تني شرکت جاسک</v>
      </c>
      <c r="D642" s="1">
        <v>9113</v>
      </c>
      <c r="E642" s="1">
        <v>80000</v>
      </c>
      <c r="F642" s="1">
        <v>96</v>
      </c>
      <c r="G642" s="1">
        <v>0</v>
      </c>
      <c r="H642" s="1" t="str">
        <f>"96/07/15"</f>
        <v>96/07/15</v>
      </c>
      <c r="I642" s="1" t="str">
        <f>"كيلوگرم"</f>
        <v>كيلوگرم</v>
      </c>
      <c r="J642" s="1" t="str">
        <f>"0000000076"</f>
        <v>0000000076</v>
      </c>
      <c r="K642" s="1" t="str">
        <f>"قير 60/70 - فله"</f>
        <v>قير 60/70 - فله</v>
      </c>
      <c r="L642" s="1">
        <v>100</v>
      </c>
      <c r="M642" s="1" t="str">
        <f>"مخازن قير اصفهان"</f>
        <v>مخازن قير اصفهان</v>
      </c>
      <c r="N642" s="1">
        <v>11471</v>
      </c>
      <c r="O642" s="1">
        <v>50036569</v>
      </c>
      <c r="P642" s="1" t="str">
        <f>"  هرم راه بار ثاوا"</f>
        <v xml:space="preserve">  هرم راه بار ثاوا</v>
      </c>
      <c r="Q642" s="1">
        <v>62</v>
      </c>
      <c r="R642" s="1" t="str">
        <f>"فروش داخلي - سازمان بنيادمسكن انقلاب اسلامي"</f>
        <v>فروش داخلي - سازمان بنيادمسكن انقلاب اسلامي</v>
      </c>
      <c r="S642" s="1" t="str">
        <f>"قرارداد فروش"</f>
        <v>قرارداد فروش</v>
      </c>
      <c r="T642" s="1" t="str">
        <f>"ندارد"</f>
        <v>ندارد</v>
      </c>
      <c r="U642" s="1" t="str">
        <f>"حسيني سيدجواد(1841076)"</f>
        <v>حسيني سيدجواد(1841076)</v>
      </c>
      <c r="V642" s="1">
        <v>966200301</v>
      </c>
      <c r="W642" s="1">
        <v>966200301</v>
      </c>
      <c r="X642" s="1" t="str">
        <f>"1396516997"</f>
        <v>1396516997</v>
      </c>
      <c r="Y642" s="1" t="str">
        <f>"96/07/15"</f>
        <v>96/07/15</v>
      </c>
      <c r="Z642" s="1" t="str">
        <f>"30882/د"</f>
        <v>30882/د</v>
      </c>
      <c r="AA642" s="1" t="str">
        <f>"بنيادمسكن انقلاب اسلامي"</f>
        <v>بنيادمسكن انقلاب اسلامي</v>
      </c>
      <c r="AB642" s="1" t="str">
        <f>"96/07/12"</f>
        <v>96/07/12</v>
      </c>
      <c r="AC642" s="1" t="str">
        <f>"خراسان رضوي"</f>
        <v>خراسان رضوي</v>
      </c>
      <c r="AD642" s="1" t="str">
        <f>"96/07/15"</f>
        <v>96/07/15</v>
      </c>
      <c r="AE642" s="1" t="str">
        <f>"اختتام"</f>
        <v>اختتام</v>
      </c>
      <c r="AF642" s="1" t="str">
        <f>""</f>
        <v/>
      </c>
      <c r="AG642" s="1" t="str">
        <f>""</f>
        <v/>
      </c>
      <c r="AH642" s="1" t="str">
        <f>""</f>
        <v/>
      </c>
      <c r="AI642" s="1" t="str">
        <f>""</f>
        <v/>
      </c>
      <c r="AJ642" s="1" t="str">
        <f>""</f>
        <v/>
      </c>
      <c r="AK642" s="1" t="str">
        <f>""</f>
        <v/>
      </c>
    </row>
    <row r="643" spans="1:37">
      <c r="A643" s="1">
        <v>59000</v>
      </c>
      <c r="B643" s="1">
        <v>966300028</v>
      </c>
      <c r="C643" s="1" t="str">
        <f>"تخليه اصفهان تونل شهركردكارخانه زرين استحكام"</f>
        <v>تخليه اصفهان تونل شهركردكارخانه زرين استحكام</v>
      </c>
      <c r="D643" s="1">
        <v>12820</v>
      </c>
      <c r="E643" s="1">
        <v>59000</v>
      </c>
      <c r="F643" s="1">
        <v>96</v>
      </c>
      <c r="G643" s="1">
        <v>0</v>
      </c>
      <c r="H643" s="1" t="str">
        <f>"96/09/08"</f>
        <v>96/09/08</v>
      </c>
      <c r="I643" s="1" t="str">
        <f>"كيلوگرم"</f>
        <v>كيلوگرم</v>
      </c>
      <c r="J643" s="1" t="str">
        <f>"0000000076"</f>
        <v>0000000076</v>
      </c>
      <c r="K643" s="1" t="str">
        <f>"قير 60/70 - فله"</f>
        <v>قير 60/70 - فله</v>
      </c>
      <c r="L643" s="1">
        <v>100</v>
      </c>
      <c r="M643" s="1" t="str">
        <f>"مخازن قير اصفهان"</f>
        <v>مخازن قير اصفهان</v>
      </c>
      <c r="N643" s="1">
        <v>11494</v>
      </c>
      <c r="O643" s="1">
        <v>50037354</v>
      </c>
      <c r="P643" s="1" t="str">
        <f>"  صنعت سازان صاعقه زاگرس"</f>
        <v xml:space="preserve">  صنعت سازان صاعقه زاگرس</v>
      </c>
      <c r="Q643" s="1">
        <v>63</v>
      </c>
      <c r="R643" s="1" t="str">
        <f>"سازمان نوسازي،توسعه و تجهيز مدارس كشور"</f>
        <v>سازمان نوسازي،توسعه و تجهيز مدارس كشور</v>
      </c>
      <c r="S643" s="1" t="str">
        <f>"قرارداد فروش"</f>
        <v>قرارداد فروش</v>
      </c>
      <c r="T643" s="1" t="str">
        <f>"ندارد"</f>
        <v>ندارد</v>
      </c>
      <c r="U643" s="1" t="str">
        <f>"قره باغي مجيد(1871065)"</f>
        <v>قره باغي مجيد(1871065)</v>
      </c>
      <c r="V643" s="1">
        <v>966300028</v>
      </c>
      <c r="W643" s="1">
        <v>966300028</v>
      </c>
      <c r="X643" s="1" t="str">
        <f>"1396529162"</f>
        <v>1396529162</v>
      </c>
      <c r="Y643" s="1" t="str">
        <f>"96/09/08"</f>
        <v>96/09/08</v>
      </c>
      <c r="Z643" s="1" t="str">
        <f>"18/96/1/7920"</f>
        <v>18/96/1/7920</v>
      </c>
      <c r="AA643" s="1" t="str">
        <f>"سازمان نوسازي توسعه وتجهيزمدارس كشور"</f>
        <v>سازمان نوسازي توسعه وتجهيزمدارس كشور</v>
      </c>
      <c r="AB643" s="1" t="str">
        <f>"96/08/24"</f>
        <v>96/08/24</v>
      </c>
      <c r="AC643" s="1" t="str">
        <f>"استان چهارمحال بختياري"</f>
        <v>استان چهارمحال بختياري</v>
      </c>
      <c r="AD643" s="1" t="str">
        <f>"96/09/08"</f>
        <v>96/09/08</v>
      </c>
      <c r="AE643" s="1" t="str">
        <f>"اختتام"</f>
        <v>اختتام</v>
      </c>
      <c r="AF643" s="1" t="str">
        <f>""</f>
        <v/>
      </c>
      <c r="AG643" s="1" t="str">
        <f>""</f>
        <v/>
      </c>
      <c r="AH643" s="1" t="str">
        <f>""</f>
        <v/>
      </c>
      <c r="AI643" s="1" t="str">
        <f>""</f>
        <v/>
      </c>
      <c r="AJ643" s="1" t="str">
        <f>""</f>
        <v/>
      </c>
      <c r="AK643" s="1" t="str">
        <f>""</f>
        <v/>
      </c>
    </row>
    <row r="644" spans="1:37">
      <c r="A644" s="1">
        <v>120000</v>
      </c>
      <c r="B644" s="1">
        <v>966200420</v>
      </c>
      <c r="C644" s="1" t="str">
        <f>"تخليه - کهگيلويهو بويراحمد-ياسوج-پليس راه ياسوج اصفهان -کارخانه جوکار"</f>
        <v>تخليه - کهگيلويهو بويراحمد-ياسوج-پليس راه ياسوج اصفهان -کارخانه جوکار</v>
      </c>
      <c r="D644" s="1">
        <v>12820</v>
      </c>
      <c r="E644" s="1">
        <v>119640</v>
      </c>
      <c r="F644" s="1">
        <v>96</v>
      </c>
      <c r="G644" s="1">
        <v>360</v>
      </c>
      <c r="H644" s="1" t="str">
        <f>"96/09/13"</f>
        <v>96/09/13</v>
      </c>
      <c r="I644" s="1" t="str">
        <f>"كيلوگرم"</f>
        <v>كيلوگرم</v>
      </c>
      <c r="J644" s="1" t="str">
        <f>"0000000076"</f>
        <v>0000000076</v>
      </c>
      <c r="K644" s="1" t="str">
        <f>"قير 60/70 - فله"</f>
        <v>قير 60/70 - فله</v>
      </c>
      <c r="L644" s="1">
        <v>100</v>
      </c>
      <c r="M644" s="1" t="str">
        <f>"مخازن قير اصفهان"</f>
        <v>مخازن قير اصفهان</v>
      </c>
      <c r="N644" s="1">
        <v>11499</v>
      </c>
      <c r="O644" s="1">
        <v>50037444</v>
      </c>
      <c r="P644" s="1" t="str">
        <f>"  نمونه کوشا رهاب سبلان"</f>
        <v xml:space="preserve">  نمونه کوشا رهاب سبلان</v>
      </c>
      <c r="Q644" s="1">
        <v>62</v>
      </c>
      <c r="R644" s="1" t="str">
        <f>"فروش داخلي - سازمان بنيادمسكن انقلاب اسلامي"</f>
        <v>فروش داخلي - سازمان بنيادمسكن انقلاب اسلامي</v>
      </c>
      <c r="S644" s="1" t="str">
        <f>"قرارداد فروش"</f>
        <v>قرارداد فروش</v>
      </c>
      <c r="T644" s="1" t="str">
        <f>"ندارد"</f>
        <v>ندارد</v>
      </c>
      <c r="U644" s="1" t="str">
        <f>"غلام نجفي سيامك‌‌‌‌‌‌(1881082)"</f>
        <v>غلام نجفي سيامك‌‌‌‌‌‌(1881082)</v>
      </c>
      <c r="V644" s="1">
        <v>966200420</v>
      </c>
      <c r="W644" s="1">
        <v>966200420</v>
      </c>
      <c r="X644" s="1" t="str">
        <f>"1396529573"</f>
        <v>1396529573</v>
      </c>
      <c r="Y644" s="1" t="str">
        <f>"96/09/13"</f>
        <v>96/09/13</v>
      </c>
      <c r="Z644" s="1" t="str">
        <f>"40061/د"</f>
        <v>40061/د</v>
      </c>
      <c r="AA644" s="1" t="str">
        <f>"بنيادمسكن انقلاب اسلامي"</f>
        <v>بنيادمسكن انقلاب اسلامي</v>
      </c>
      <c r="AB644" s="1" t="str">
        <f>"96/09/11"</f>
        <v>96/09/11</v>
      </c>
      <c r="AC644" s="1" t="str">
        <f>"كهكيلويه و بوير احمد"</f>
        <v>كهكيلويه و بوير احمد</v>
      </c>
      <c r="AD644" s="1" t="str">
        <f>"96/09/12"</f>
        <v>96/09/12</v>
      </c>
      <c r="AE644" s="1" t="str">
        <f>"اختتام"</f>
        <v>اختتام</v>
      </c>
      <c r="AF644" s="1" t="str">
        <f>""</f>
        <v/>
      </c>
      <c r="AG644" s="1" t="str">
        <f>""</f>
        <v/>
      </c>
      <c r="AH644" s="1" t="str">
        <f>""</f>
        <v/>
      </c>
      <c r="AI644" s="1" t="str">
        <f>""</f>
        <v/>
      </c>
      <c r="AJ644" s="1" t="str">
        <f>""</f>
        <v/>
      </c>
      <c r="AK644" s="1" t="str">
        <f>""</f>
        <v/>
      </c>
    </row>
    <row r="645" spans="1:37">
      <c r="A645" s="1">
        <v>15000</v>
      </c>
      <c r="B645" s="1">
        <v>966200618</v>
      </c>
      <c r="C645" s="1" t="str">
        <f>"تخليه - کهگيلويهو بويراحمد-ياسوج-پليس راه ياسوج اصفهان -کارخانه جوکار"</f>
        <v>تخليه - کهگيلويهو بويراحمد-ياسوج-پليس راه ياسوج اصفهان -کارخانه جوکار</v>
      </c>
      <c r="D645" s="1">
        <v>13350</v>
      </c>
      <c r="E645" s="1">
        <v>14760</v>
      </c>
      <c r="F645" s="1">
        <v>96</v>
      </c>
      <c r="G645" s="1">
        <v>240</v>
      </c>
      <c r="H645" s="1" t="str">
        <f>"96/12/09"</f>
        <v>96/12/09</v>
      </c>
      <c r="I645" s="1" t="str">
        <f>"كيلوگرم"</f>
        <v>كيلوگرم</v>
      </c>
      <c r="J645" s="1" t="str">
        <f>"0000000076"</f>
        <v>0000000076</v>
      </c>
      <c r="K645" s="1" t="str">
        <f>"قير 60/70 - فله"</f>
        <v>قير 60/70 - فله</v>
      </c>
      <c r="L645" s="1">
        <v>100</v>
      </c>
      <c r="M645" s="1" t="str">
        <f>"مخازن قير اصفهان"</f>
        <v>مخازن قير اصفهان</v>
      </c>
      <c r="N645" s="1">
        <v>11499</v>
      </c>
      <c r="O645" s="1">
        <v>50038677</v>
      </c>
      <c r="P645" s="1" t="str">
        <f>"  نمونه کوشا رهاب سبلان"</f>
        <v xml:space="preserve">  نمونه کوشا رهاب سبلان</v>
      </c>
      <c r="Q645" s="1">
        <v>62</v>
      </c>
      <c r="R645" s="1" t="str">
        <f>"فروش داخلي - سازمان بنيادمسكن انقلاب اسلامي"</f>
        <v>فروش داخلي - سازمان بنيادمسكن انقلاب اسلامي</v>
      </c>
      <c r="S645" s="1" t="str">
        <f>"قرارداد فروش"</f>
        <v>قرارداد فروش</v>
      </c>
      <c r="T645" s="1" t="str">
        <f>"ندارد"</f>
        <v>ندارد</v>
      </c>
      <c r="U645" s="1" t="str">
        <f>"غلام نجفي سيامك‌‌‌‌‌‌(1881082)"</f>
        <v>غلام نجفي سيامك‌‌‌‌‌‌(1881082)</v>
      </c>
      <c r="V645" s="1">
        <v>966200618</v>
      </c>
      <c r="W645" s="1">
        <v>966200618</v>
      </c>
      <c r="X645" s="1" t="str">
        <f>"1396551611"</f>
        <v>1396551611</v>
      </c>
      <c r="Y645" s="1" t="str">
        <f>"96/12/09"</f>
        <v>96/12/09</v>
      </c>
      <c r="Z645" s="1" t="str">
        <f>"55761/د"</f>
        <v>55761/د</v>
      </c>
      <c r="AA645" s="1" t="str">
        <f>"بنيادمسكن انقلاب اسلامي"</f>
        <v>بنيادمسكن انقلاب اسلامي</v>
      </c>
      <c r="AB645" s="1" t="str">
        <f>"96/12/08"</f>
        <v>96/12/08</v>
      </c>
      <c r="AC645" s="1" t="str">
        <f>"كهكيلويه و بوير احمد"</f>
        <v>كهكيلويه و بوير احمد</v>
      </c>
      <c r="AD645" s="1" t="str">
        <f>"96/12/09"</f>
        <v>96/12/09</v>
      </c>
      <c r="AE645" s="1" t="str">
        <f>"اختتام"</f>
        <v>اختتام</v>
      </c>
      <c r="AF645" s="1" t="str">
        <f>""</f>
        <v/>
      </c>
      <c r="AG645" s="1" t="str">
        <f>""</f>
        <v/>
      </c>
      <c r="AH645" s="1" t="str">
        <f>""</f>
        <v/>
      </c>
      <c r="AI645" s="1" t="str">
        <f>""</f>
        <v/>
      </c>
      <c r="AJ645" s="1" t="str">
        <f>""</f>
        <v/>
      </c>
      <c r="AK645" s="1" t="str">
        <f>""</f>
        <v/>
      </c>
    </row>
    <row r="646" spans="1:37">
      <c r="A646" s="1">
        <v>200000</v>
      </c>
      <c r="B646" s="1">
        <v>966200674</v>
      </c>
      <c r="C646" s="1" t="str">
        <f>"تخليه - کهگيلويهو بويراحمد-ياسوج-پليس راه ياسوج اصفهان -کارخانه جوکار"</f>
        <v>تخليه - کهگيلويهو بويراحمد-ياسوج-پليس راه ياسوج اصفهان -کارخانه جوکار</v>
      </c>
      <c r="D646" s="1">
        <v>13350</v>
      </c>
      <c r="E646" s="1">
        <v>197400</v>
      </c>
      <c r="F646" s="1">
        <v>96</v>
      </c>
      <c r="G646" s="1">
        <v>2600</v>
      </c>
      <c r="H646" s="1" t="str">
        <f>"96/12/16"</f>
        <v>96/12/16</v>
      </c>
      <c r="I646" s="1" t="str">
        <f>"كيلوگرم"</f>
        <v>كيلوگرم</v>
      </c>
      <c r="J646" s="1" t="str">
        <f>"0000000076"</f>
        <v>0000000076</v>
      </c>
      <c r="K646" s="1" t="str">
        <f>"قير 60/70 - فله"</f>
        <v>قير 60/70 - فله</v>
      </c>
      <c r="L646" s="1">
        <v>100</v>
      </c>
      <c r="M646" s="1" t="str">
        <f>"مخازن قير اصفهان"</f>
        <v>مخازن قير اصفهان</v>
      </c>
      <c r="N646" s="1">
        <v>11499</v>
      </c>
      <c r="O646" s="1">
        <v>50038832</v>
      </c>
      <c r="P646" s="1" t="str">
        <f>"  نمونه کوشا رهاب سبلان"</f>
        <v xml:space="preserve">  نمونه کوشا رهاب سبلان</v>
      </c>
      <c r="Q646" s="1">
        <v>62</v>
      </c>
      <c r="R646" s="1" t="str">
        <f>"فروش داخلي - سازمان بنيادمسكن انقلاب اسلامي"</f>
        <v>فروش داخلي - سازمان بنيادمسكن انقلاب اسلامي</v>
      </c>
      <c r="S646" s="1" t="str">
        <f>"قرارداد فروش"</f>
        <v>قرارداد فروش</v>
      </c>
      <c r="T646" s="1" t="str">
        <f>"ندارد"</f>
        <v>ندارد</v>
      </c>
      <c r="U646" s="1" t="str">
        <f>"غلام نجفي سيامك‌‌‌‌‌‌(1881082)"</f>
        <v>غلام نجفي سيامك‌‌‌‌‌‌(1881082)</v>
      </c>
      <c r="V646" s="1">
        <v>966200674</v>
      </c>
      <c r="W646" s="1">
        <v>966200674</v>
      </c>
      <c r="X646" s="1" t="str">
        <f>"1396553438"</f>
        <v>1396553438</v>
      </c>
      <c r="Y646" s="1" t="str">
        <f>"96/12/16"</f>
        <v>96/12/16</v>
      </c>
      <c r="Z646" s="1" t="str">
        <f>"57259/د"</f>
        <v>57259/د</v>
      </c>
      <c r="AA646" s="1" t="str">
        <f>"بنيادمسكن انقلاب اسلامي"</f>
        <v>بنيادمسكن انقلاب اسلامي</v>
      </c>
      <c r="AB646" s="1" t="str">
        <f>"96/12/15"</f>
        <v>96/12/15</v>
      </c>
      <c r="AC646" s="1" t="str">
        <f>"كهكيلويه و بوير احمد"</f>
        <v>كهكيلويه و بوير احمد</v>
      </c>
      <c r="AD646" s="1" t="str">
        <f>"96/12/16"</f>
        <v>96/12/16</v>
      </c>
      <c r="AE646" s="1" t="str">
        <f>"اختتام"</f>
        <v>اختتام</v>
      </c>
      <c r="AF646" s="1" t="str">
        <f>""</f>
        <v/>
      </c>
      <c r="AG646" s="1" t="str">
        <f>""</f>
        <v/>
      </c>
      <c r="AH646" s="1" t="str">
        <f>""</f>
        <v/>
      </c>
      <c r="AI646" s="1" t="str">
        <f>""</f>
        <v/>
      </c>
      <c r="AJ646" s="1" t="str">
        <f>""</f>
        <v/>
      </c>
      <c r="AK646" s="1" t="str">
        <f>""</f>
        <v/>
      </c>
    </row>
    <row r="647" spans="1:37">
      <c r="A647" s="1">
        <v>56517</v>
      </c>
      <c r="B647" s="1">
        <v>962000313</v>
      </c>
      <c r="C647" s="1" t="str">
        <f>"تخليه خراسان رضوي سبزوارآمادگاه ابوذر"</f>
        <v>تخليه خراسان رضوي سبزوارآمادگاه ابوذر</v>
      </c>
      <c r="D647" s="1">
        <v>9113</v>
      </c>
      <c r="E647" s="1">
        <v>55820</v>
      </c>
      <c r="F647" s="1">
        <v>96</v>
      </c>
      <c r="G647" s="1">
        <v>697</v>
      </c>
      <c r="H647" s="1" t="str">
        <f>"96/09/13"</f>
        <v>96/09/13</v>
      </c>
      <c r="I647" s="1" t="str">
        <f>"كيلوگرم"</f>
        <v>كيلوگرم</v>
      </c>
      <c r="J647" s="1" t="str">
        <f>"0000000076"</f>
        <v>0000000076</v>
      </c>
      <c r="K647" s="1" t="str">
        <f>"قير 60/70 - فله"</f>
        <v>قير 60/70 - فله</v>
      </c>
      <c r="L647" s="1">
        <v>100</v>
      </c>
      <c r="M647" s="1" t="str">
        <f>"مخازن قير اصفهان"</f>
        <v>مخازن قير اصفهان</v>
      </c>
      <c r="N647" s="1">
        <v>11509</v>
      </c>
      <c r="O647" s="1">
        <v>50037516</v>
      </c>
      <c r="P647" s="1" t="str">
        <f>"  شهرداري ششتمد"</f>
        <v xml:space="preserve">  شهرداري ششتمد</v>
      </c>
      <c r="Q647" s="1">
        <v>20</v>
      </c>
      <c r="R647" s="1" t="str">
        <f>"فروش داخلي - سازمان شهرداري ها و دهياري هاي كشور"</f>
        <v>فروش داخلي - سازمان شهرداري ها و دهياري هاي كشور</v>
      </c>
      <c r="S647" s="1" t="str">
        <f>"قرارداد فروش"</f>
        <v>قرارداد فروش</v>
      </c>
      <c r="T647" s="1" t="str">
        <f>"ندارد"</f>
        <v>ندارد</v>
      </c>
      <c r="U647" s="1" t="str">
        <f>"تعاوني جم گستر (1001 ج 89)"</f>
        <v>تعاوني جم گستر (1001 ج 89)</v>
      </c>
      <c r="V647" s="1">
        <v>962000313</v>
      </c>
      <c r="W647" s="1">
        <v>962000313</v>
      </c>
      <c r="X647" s="1" t="str">
        <f>"1396514467"</f>
        <v>1396514467</v>
      </c>
      <c r="Y647" s="1" t="str">
        <f>"96/09/12"</f>
        <v>96/09/12</v>
      </c>
      <c r="Z647" s="1" t="str">
        <f>"37037مرحله دوم"</f>
        <v>37037مرحله دوم</v>
      </c>
      <c r="AA647" s="1" t="str">
        <f>"شهرداريها"</f>
        <v>شهرداريها</v>
      </c>
      <c r="AB647" s="1" t="str">
        <f>"96/09/04"</f>
        <v>96/09/04</v>
      </c>
      <c r="AC647" s="1" t="str">
        <f>"خراسان رضوي"</f>
        <v>خراسان رضوي</v>
      </c>
      <c r="AD647" s="1" t="str">
        <f>"96/07/03"</f>
        <v>96/07/03</v>
      </c>
      <c r="AE647" s="1" t="str">
        <f>"اختتام"</f>
        <v>اختتام</v>
      </c>
      <c r="AF647" s="1" t="str">
        <f>""</f>
        <v/>
      </c>
      <c r="AG647" s="1" t="str">
        <f>""</f>
        <v/>
      </c>
      <c r="AH647" s="1" t="str">
        <f>""</f>
        <v/>
      </c>
      <c r="AI647" s="1" t="str">
        <f>""</f>
        <v/>
      </c>
      <c r="AJ647" s="1" t="str">
        <f>""</f>
        <v/>
      </c>
      <c r="AK647" s="1" t="str">
        <f>""</f>
        <v/>
      </c>
    </row>
    <row r="648" spans="1:37">
      <c r="A648" s="1">
        <v>60911</v>
      </c>
      <c r="B648" s="1">
        <v>962000316</v>
      </c>
      <c r="C648" s="1" t="str">
        <f>"تخليه خراسان رضوي ستگ بست كيلومتر20جاده مشهدفريمان كارخانه آسفالت طوفان"</f>
        <v>تخليه خراسان رضوي ستگ بست كيلومتر20جاده مشهدفريمان كارخانه آسفالت طوفان</v>
      </c>
      <c r="D648" s="1">
        <v>9113</v>
      </c>
      <c r="E648" s="1">
        <v>60280</v>
      </c>
      <c r="F648" s="1">
        <v>96</v>
      </c>
      <c r="G648" s="1">
        <v>631</v>
      </c>
      <c r="H648" s="1" t="str">
        <f>"96/09/13"</f>
        <v>96/09/13</v>
      </c>
      <c r="I648" s="1" t="str">
        <f>"كيلوگرم"</f>
        <v>كيلوگرم</v>
      </c>
      <c r="J648" s="1" t="str">
        <f>"0000000076"</f>
        <v>0000000076</v>
      </c>
      <c r="K648" s="1" t="str">
        <f>"قير 60/70 - فله"</f>
        <v>قير 60/70 - فله</v>
      </c>
      <c r="L648" s="1">
        <v>100</v>
      </c>
      <c r="M648" s="1" t="str">
        <f>"مخازن قير اصفهان"</f>
        <v>مخازن قير اصفهان</v>
      </c>
      <c r="N648" s="1">
        <v>11511</v>
      </c>
      <c r="O648" s="1">
        <v>50037521</v>
      </c>
      <c r="P648" s="1" t="str">
        <f>"  شهرداري سفيدسنگ"</f>
        <v xml:space="preserve">  شهرداري سفيدسنگ</v>
      </c>
      <c r="Q648" s="1">
        <v>20</v>
      </c>
      <c r="R648" s="1" t="str">
        <f>"فروش داخلي - سازمان شهرداري ها و دهياري هاي كشور"</f>
        <v>فروش داخلي - سازمان شهرداري ها و دهياري هاي كشور</v>
      </c>
      <c r="S648" s="1" t="str">
        <f>"قرارداد فروش"</f>
        <v>قرارداد فروش</v>
      </c>
      <c r="T648" s="1" t="str">
        <f>"ندارد"</f>
        <v>ندارد</v>
      </c>
      <c r="U648" s="1" t="str">
        <f>"تعاوني جم گستر (1001 ج 89)"</f>
        <v>تعاوني جم گستر (1001 ج 89)</v>
      </c>
      <c r="V648" s="1">
        <v>962000316</v>
      </c>
      <c r="W648" s="1">
        <v>962000316</v>
      </c>
      <c r="X648" s="1" t="str">
        <f>"1396514467"</f>
        <v>1396514467</v>
      </c>
      <c r="Y648" s="1" t="str">
        <f>"96/09/12"</f>
        <v>96/09/12</v>
      </c>
      <c r="Z648" s="1" t="str">
        <f>"37030مرحله دوم"</f>
        <v>37030مرحله دوم</v>
      </c>
      <c r="AA648" s="1" t="str">
        <f>"شهرداريها"</f>
        <v>شهرداريها</v>
      </c>
      <c r="AB648" s="1" t="str">
        <f>"96/09/04"</f>
        <v>96/09/04</v>
      </c>
      <c r="AC648" s="1" t="str">
        <f>"خراسان رضوي"</f>
        <v>خراسان رضوي</v>
      </c>
      <c r="AD648" s="1" t="str">
        <f>"96/07/03"</f>
        <v>96/07/03</v>
      </c>
      <c r="AE648" s="1" t="str">
        <f>"اختتام"</f>
        <v>اختتام</v>
      </c>
      <c r="AF648" s="1" t="str">
        <f>""</f>
        <v/>
      </c>
      <c r="AG648" s="1" t="str">
        <f>""</f>
        <v/>
      </c>
      <c r="AH648" s="1" t="str">
        <f>""</f>
        <v/>
      </c>
      <c r="AI648" s="1" t="str">
        <f>""</f>
        <v/>
      </c>
      <c r="AJ648" s="1" t="str">
        <f>""</f>
        <v/>
      </c>
      <c r="AK648" s="1" t="str">
        <f>""</f>
        <v/>
      </c>
    </row>
    <row r="649" spans="1:37">
      <c r="A649" s="1">
        <v>61689</v>
      </c>
      <c r="B649" s="1">
        <v>962000331</v>
      </c>
      <c r="C649" s="1" t="str">
        <f>"تخليه خراسان رضوي كيلومتر5جاده شادمهرفيض آبادشركت طوس مسير"</f>
        <v>تخليه خراسان رضوي كيلومتر5جاده شادمهرفيض آبادشركت طوس مسير</v>
      </c>
      <c r="D649" s="1">
        <v>9113</v>
      </c>
      <c r="E649" s="1">
        <v>61380</v>
      </c>
      <c r="F649" s="1">
        <v>96</v>
      </c>
      <c r="G649" s="1">
        <v>309</v>
      </c>
      <c r="H649" s="1" t="str">
        <f>"96/09/13"</f>
        <v>96/09/13</v>
      </c>
      <c r="I649" s="1" t="str">
        <f>"كيلوگرم"</f>
        <v>كيلوگرم</v>
      </c>
      <c r="J649" s="1" t="str">
        <f>"0000000076"</f>
        <v>0000000076</v>
      </c>
      <c r="K649" s="1" t="str">
        <f>"قير 60/70 - فله"</f>
        <v>قير 60/70 - فله</v>
      </c>
      <c r="L649" s="1">
        <v>100</v>
      </c>
      <c r="M649" s="1" t="str">
        <f>"مخازن قير اصفهان"</f>
        <v>مخازن قير اصفهان</v>
      </c>
      <c r="N649" s="1">
        <v>11514</v>
      </c>
      <c r="O649" s="1">
        <v>50037539</v>
      </c>
      <c r="P649" s="1" t="str">
        <f>"  شهرداري شادمهر"</f>
        <v xml:space="preserve">  شهرداري شادمهر</v>
      </c>
      <c r="Q649" s="1">
        <v>20</v>
      </c>
      <c r="R649" s="1" t="str">
        <f>"فروش داخلي - سازمان شهرداري ها و دهياري هاي كشور"</f>
        <v>فروش داخلي - سازمان شهرداري ها و دهياري هاي كشور</v>
      </c>
      <c r="S649" s="1" t="str">
        <f>"قرارداد فروش"</f>
        <v>قرارداد فروش</v>
      </c>
      <c r="T649" s="1" t="str">
        <f>"ندارد"</f>
        <v>ندارد</v>
      </c>
      <c r="U649" s="1" t="str">
        <f>"تعاوني جم گستر (1001 ج 89)"</f>
        <v>تعاوني جم گستر (1001 ج 89)</v>
      </c>
      <c r="V649" s="1">
        <v>962000331</v>
      </c>
      <c r="W649" s="1">
        <v>962000331</v>
      </c>
      <c r="X649" s="1" t="str">
        <f>"1396514467"</f>
        <v>1396514467</v>
      </c>
      <c r="Y649" s="1" t="str">
        <f>"96/09/12"</f>
        <v>96/09/12</v>
      </c>
      <c r="Z649" s="1" t="str">
        <f>"37034مرحله دوم"</f>
        <v>37034مرحله دوم</v>
      </c>
      <c r="AA649" s="1" t="str">
        <f>"شهرداريها"</f>
        <v>شهرداريها</v>
      </c>
      <c r="AB649" s="1" t="str">
        <f>"96/09/04"</f>
        <v>96/09/04</v>
      </c>
      <c r="AC649" s="1" t="str">
        <f>"خراسان رضوي"</f>
        <v>خراسان رضوي</v>
      </c>
      <c r="AD649" s="1" t="str">
        <f>"96/07/03"</f>
        <v>96/07/03</v>
      </c>
      <c r="AE649" s="1" t="str">
        <f>"اختتام"</f>
        <v>اختتام</v>
      </c>
      <c r="AF649" s="1" t="str">
        <f>""</f>
        <v/>
      </c>
      <c r="AG649" s="1" t="str">
        <f>""</f>
        <v/>
      </c>
      <c r="AH649" s="1" t="str">
        <f>""</f>
        <v/>
      </c>
      <c r="AI649" s="1" t="str">
        <f>""</f>
        <v/>
      </c>
      <c r="AJ649" s="1" t="str">
        <f>""</f>
        <v/>
      </c>
      <c r="AK649" s="1" t="str">
        <f>""</f>
        <v/>
      </c>
    </row>
    <row r="650" spans="1:37">
      <c r="A650" s="1">
        <v>37283</v>
      </c>
      <c r="B650" s="1">
        <v>962000344</v>
      </c>
      <c r="C650" s="1" t="str">
        <f>"تخليه كرمان كيلومتر20جاده رفسنجان انارشركت پ بل"</f>
        <v>تخليه كرمان كيلومتر20جاده رفسنجان انارشركت پ بل</v>
      </c>
      <c r="D650" s="1">
        <v>12820</v>
      </c>
      <c r="E650" s="1">
        <v>37283</v>
      </c>
      <c r="F650" s="1">
        <v>96</v>
      </c>
      <c r="G650" s="1">
        <v>0</v>
      </c>
      <c r="H650" s="1" t="str">
        <f>"96/09/18"</f>
        <v>96/09/18</v>
      </c>
      <c r="I650" s="1" t="str">
        <f>"كيلوگرم"</f>
        <v>كيلوگرم</v>
      </c>
      <c r="J650" s="1" t="str">
        <f>"0000000076"</f>
        <v>0000000076</v>
      </c>
      <c r="K650" s="1" t="str">
        <f>"قير 60/70 - فله"</f>
        <v>قير 60/70 - فله</v>
      </c>
      <c r="L650" s="1">
        <v>100</v>
      </c>
      <c r="M650" s="1" t="str">
        <f>"مخازن قير اصفهان"</f>
        <v>مخازن قير اصفهان</v>
      </c>
      <c r="N650" s="1">
        <v>11516</v>
      </c>
      <c r="O650" s="1">
        <v>50037599</v>
      </c>
      <c r="P650" s="1" t="str">
        <f>"  شهرداري بهرمان"</f>
        <v xml:space="preserve">  شهرداري بهرمان</v>
      </c>
      <c r="Q650" s="1">
        <v>20</v>
      </c>
      <c r="R650" s="1" t="str">
        <f>"فروش داخلي - سازمان شهرداري ها و دهياري هاي كشور"</f>
        <v>فروش داخلي - سازمان شهرداري ها و دهياري هاي كشور</v>
      </c>
      <c r="S650" s="1" t="str">
        <f>"قرارداد فروش"</f>
        <v>قرارداد فروش</v>
      </c>
      <c r="T650" s="1" t="str">
        <f>"ندارد"</f>
        <v>ندارد</v>
      </c>
      <c r="U650" s="1" t="str">
        <f>"تعاوني جم گستر (1001 ج 89)"</f>
        <v>تعاوني جم گستر (1001 ج 89)</v>
      </c>
      <c r="V650" s="1">
        <v>962000344</v>
      </c>
      <c r="W650" s="1">
        <v>962000344</v>
      </c>
      <c r="X650" s="1" t="str">
        <f>"1396529711"</f>
        <v>1396529711</v>
      </c>
      <c r="Y650" s="1" t="str">
        <f>"96/09/18"</f>
        <v>96/09/18</v>
      </c>
      <c r="Z650" s="1" t="str">
        <f>"38583مرحله دوم"</f>
        <v>38583مرحله دوم</v>
      </c>
      <c r="AA650" s="1" t="str">
        <f>"شهرداريها"</f>
        <v>شهرداريها</v>
      </c>
      <c r="AB650" s="1" t="str">
        <f>"96/09/11"</f>
        <v>96/09/11</v>
      </c>
      <c r="AC650" s="1" t="str">
        <f>"استان كرمان"</f>
        <v>استان كرمان</v>
      </c>
      <c r="AD650" s="1" t="str">
        <f>"96/09/13"</f>
        <v>96/09/13</v>
      </c>
      <c r="AE650" s="1" t="str">
        <f>"اختتام"</f>
        <v>اختتام</v>
      </c>
      <c r="AF650" s="1" t="str">
        <f>""</f>
        <v/>
      </c>
      <c r="AG650" s="1" t="str">
        <f>""</f>
        <v/>
      </c>
      <c r="AH650" s="1" t="str">
        <f>""</f>
        <v/>
      </c>
      <c r="AI650" s="1" t="str">
        <f>""</f>
        <v/>
      </c>
      <c r="AJ650" s="1" t="str">
        <f>""</f>
        <v/>
      </c>
      <c r="AK650" s="1" t="str">
        <f>""</f>
        <v/>
      </c>
    </row>
    <row r="651" spans="1:37">
      <c r="A651" s="1">
        <v>142713</v>
      </c>
      <c r="B651" s="1">
        <v>962000213</v>
      </c>
      <c r="C651" s="1" t="str">
        <f>"تخليه: كهگيلويه و بويراحمد- شهرستان كهگيلويه- شهرداري قلعه رئيسي"</f>
        <v>تخليه: كهگيلويه و بويراحمد- شهرستان كهگيلويه- شهرداري قلعه رئيسي</v>
      </c>
      <c r="D651" s="1">
        <v>9113</v>
      </c>
      <c r="E651" s="1">
        <v>142713</v>
      </c>
      <c r="F651" s="1">
        <v>96</v>
      </c>
      <c r="G651" s="1">
        <v>0</v>
      </c>
      <c r="H651" s="1" t="str">
        <f>"96/07/03"</f>
        <v>96/07/03</v>
      </c>
      <c r="I651" s="1" t="str">
        <f>"كيلوگرم"</f>
        <v>كيلوگرم</v>
      </c>
      <c r="J651" s="1" t="str">
        <f>"0000000076"</f>
        <v>0000000076</v>
      </c>
      <c r="K651" s="1" t="str">
        <f>"قير 60/70 - فله"</f>
        <v>قير 60/70 - فله</v>
      </c>
      <c r="L651" s="1">
        <v>100</v>
      </c>
      <c r="M651" s="1" t="str">
        <f>"مخازن قير اصفهان"</f>
        <v>مخازن قير اصفهان</v>
      </c>
      <c r="N651" s="1">
        <v>10882</v>
      </c>
      <c r="O651" s="1">
        <v>50036449</v>
      </c>
      <c r="P651" s="1" t="str">
        <f>"  شهرداري قلعه رئيسي"</f>
        <v xml:space="preserve">  شهرداري قلعه رئيسي</v>
      </c>
      <c r="Q651" s="1">
        <v>20</v>
      </c>
      <c r="R651" s="1" t="str">
        <f>"فروش داخلي - سازمان شهرداري ها و دهياري هاي كشور"</f>
        <v>فروش داخلي - سازمان شهرداري ها و دهياري هاي كشور</v>
      </c>
      <c r="S651" s="1" t="str">
        <f>"قرارداد فروش"</f>
        <v>قرارداد فروش</v>
      </c>
      <c r="T651" s="1" t="str">
        <f>"ندارد"</f>
        <v>ندارد</v>
      </c>
      <c r="U651" s="1" t="str">
        <f>"تعاوني جم گستر (1001 ج 89)"</f>
        <v>تعاوني جم گستر (1001 ج 89)</v>
      </c>
      <c r="V651" s="1">
        <v>962000213</v>
      </c>
      <c r="W651" s="1">
        <v>962000213</v>
      </c>
      <c r="X651" s="1" t="str">
        <f>"1396514467"</f>
        <v>1396514467</v>
      </c>
      <c r="Y651" s="1" t="str">
        <f>"96/07/03"</f>
        <v>96/07/03</v>
      </c>
      <c r="Z651" s="1" t="str">
        <f>"26753مرحله اول"</f>
        <v>26753مرحله اول</v>
      </c>
      <c r="AA651" s="1" t="str">
        <f>"شهرداريها"</f>
        <v>شهرداريها</v>
      </c>
      <c r="AB651" s="1" t="str">
        <f>"96/06/29"</f>
        <v>96/06/29</v>
      </c>
      <c r="AC651" s="1" t="str">
        <f>"كهكيلويه و بوير احمد"</f>
        <v>كهكيلويه و بوير احمد</v>
      </c>
      <c r="AD651" s="1" t="str">
        <f>"96/07/03"</f>
        <v>96/07/03</v>
      </c>
      <c r="AE651" s="1" t="str">
        <f>"اختتام"</f>
        <v>اختتام</v>
      </c>
      <c r="AF651" s="1" t="str">
        <f>""</f>
        <v/>
      </c>
      <c r="AG651" s="1" t="str">
        <f>""</f>
        <v/>
      </c>
      <c r="AH651" s="1" t="str">
        <f>""</f>
        <v/>
      </c>
      <c r="AI651" s="1" t="str">
        <f>""</f>
        <v/>
      </c>
      <c r="AJ651" s="1" t="str">
        <f>""</f>
        <v/>
      </c>
      <c r="AK651" s="1" t="str">
        <f>""</f>
        <v/>
      </c>
    </row>
    <row r="652" spans="1:37">
      <c r="A652" s="1">
        <v>112884</v>
      </c>
      <c r="B652" s="1">
        <v>962000205</v>
      </c>
      <c r="C652" s="1" t="str">
        <f>"تخليه كرمان كيلومتر20جاده رفسنجان -انار-شركت پ -پل"</f>
        <v>تخليه كرمان كيلومتر20جاده رفسنجان -انار-شركت پ -پل</v>
      </c>
      <c r="D652" s="1">
        <v>9113</v>
      </c>
      <c r="E652" s="1">
        <v>112884</v>
      </c>
      <c r="F652" s="1">
        <v>96</v>
      </c>
      <c r="G652" s="1">
        <v>0</v>
      </c>
      <c r="H652" s="1" t="str">
        <f>"96/07/03"</f>
        <v>96/07/03</v>
      </c>
      <c r="I652" s="1" t="str">
        <f>"كيلوگرم"</f>
        <v>كيلوگرم</v>
      </c>
      <c r="J652" s="1" t="str">
        <f>"0000000076"</f>
        <v>0000000076</v>
      </c>
      <c r="K652" s="1" t="str">
        <f>"قير 60/70 - فله"</f>
        <v>قير 60/70 - فله</v>
      </c>
      <c r="L652" s="1">
        <v>100</v>
      </c>
      <c r="M652" s="1" t="str">
        <f>"مخازن قير اصفهان"</f>
        <v>مخازن قير اصفهان</v>
      </c>
      <c r="N652" s="1">
        <v>10892</v>
      </c>
      <c r="O652" s="1">
        <v>50036450</v>
      </c>
      <c r="P652" s="1" t="str">
        <f>"  شهرداري كشكوئيه"</f>
        <v xml:space="preserve">  شهرداري كشكوئيه</v>
      </c>
      <c r="Q652" s="1">
        <v>20</v>
      </c>
      <c r="R652" s="1" t="str">
        <f>"فروش داخلي - سازمان شهرداري ها و دهياري هاي كشور"</f>
        <v>فروش داخلي - سازمان شهرداري ها و دهياري هاي كشور</v>
      </c>
      <c r="S652" s="1" t="str">
        <f>"قرارداد فروش"</f>
        <v>قرارداد فروش</v>
      </c>
      <c r="T652" s="1" t="str">
        <f>"ندارد"</f>
        <v>ندارد</v>
      </c>
      <c r="U652" s="1" t="str">
        <f>"تعاوني جم گستر (1001 ج 89)"</f>
        <v>تعاوني جم گستر (1001 ج 89)</v>
      </c>
      <c r="V652" s="1">
        <v>962000205</v>
      </c>
      <c r="W652" s="1">
        <v>962000205</v>
      </c>
      <c r="X652" s="1" t="str">
        <f>"1396514467"</f>
        <v>1396514467</v>
      </c>
      <c r="Y652" s="1" t="str">
        <f>"96/07/03"</f>
        <v>96/07/03</v>
      </c>
      <c r="Z652" s="1" t="str">
        <f>"26788مرحله اول"</f>
        <v>26788مرحله اول</v>
      </c>
      <c r="AA652" s="1" t="str">
        <f>"شهرداريها"</f>
        <v>شهرداريها</v>
      </c>
      <c r="AB652" s="1" t="str">
        <f>"96/06/29"</f>
        <v>96/06/29</v>
      </c>
      <c r="AC652" s="1" t="str">
        <f>"استان كرمان"</f>
        <v>استان كرمان</v>
      </c>
      <c r="AD652" s="1" t="str">
        <f>"96/07/03"</f>
        <v>96/07/03</v>
      </c>
      <c r="AE652" s="1" t="str">
        <f>"اختتام"</f>
        <v>اختتام</v>
      </c>
      <c r="AF652" s="1" t="str">
        <f>""</f>
        <v/>
      </c>
      <c r="AG652" s="1" t="str">
        <f>""</f>
        <v/>
      </c>
      <c r="AH652" s="1" t="str">
        <f>""</f>
        <v/>
      </c>
      <c r="AI652" s="1" t="str">
        <f>""</f>
        <v/>
      </c>
      <c r="AJ652" s="1" t="str">
        <f>""</f>
        <v/>
      </c>
      <c r="AK652" s="1" t="str">
        <f>""</f>
        <v/>
      </c>
    </row>
    <row r="653" spans="1:37">
      <c r="A653" s="1">
        <v>56934</v>
      </c>
      <c r="B653" s="1">
        <v>962000499</v>
      </c>
      <c r="C653" s="1" t="str">
        <f>"تخليه -كهگيلويه وبويراحمد-گچساران- خيرآباد-كارخانه آسفالت مظفر"</f>
        <v>تخليه -كهگيلويه وبويراحمد-گچساران- خيرآباد-كارخانه آسفالت مظفر</v>
      </c>
      <c r="D653" s="1">
        <v>12820</v>
      </c>
      <c r="E653" s="1">
        <v>56934</v>
      </c>
      <c r="F653" s="1">
        <v>96</v>
      </c>
      <c r="G653" s="1">
        <v>0</v>
      </c>
      <c r="H653" s="1" t="str">
        <f>"96/09/20"</f>
        <v>96/09/20</v>
      </c>
      <c r="I653" s="1" t="str">
        <f>"كيلوگرم"</f>
        <v>كيلوگرم</v>
      </c>
      <c r="J653" s="1" t="str">
        <f>"0000000076"</f>
        <v>0000000076</v>
      </c>
      <c r="K653" s="1" t="str">
        <f>"قير 60/70 - فله"</f>
        <v>قير 60/70 - فله</v>
      </c>
      <c r="L653" s="1">
        <v>100</v>
      </c>
      <c r="M653" s="1" t="str">
        <f>"مخازن قير اصفهان"</f>
        <v>مخازن قير اصفهان</v>
      </c>
      <c r="N653" s="1">
        <v>10898</v>
      </c>
      <c r="O653" s="1">
        <v>50037876</v>
      </c>
      <c r="P653" s="1" t="str">
        <f>"  شهرداري ديشموك"</f>
        <v xml:space="preserve">  شهرداري ديشموك</v>
      </c>
      <c r="Q653" s="1">
        <v>20</v>
      </c>
      <c r="R653" s="1" t="str">
        <f>"فروش داخلي - سازمان شهرداري ها و دهياري هاي كشور"</f>
        <v>فروش داخلي - سازمان شهرداري ها و دهياري هاي كشور</v>
      </c>
      <c r="S653" s="1" t="str">
        <f>"قرارداد فروش"</f>
        <v>قرارداد فروش</v>
      </c>
      <c r="T653" s="1" t="str">
        <f>"ندارد"</f>
        <v>ندارد</v>
      </c>
      <c r="U653" s="1" t="str">
        <f>"تعاوني جم گستر (1001 ج 89)"</f>
        <v>تعاوني جم گستر (1001 ج 89)</v>
      </c>
      <c r="V653" s="1">
        <v>962000499</v>
      </c>
      <c r="W653" s="1">
        <v>962000499</v>
      </c>
      <c r="X653" s="1" t="str">
        <f>"1396529711"</f>
        <v>1396529711</v>
      </c>
      <c r="Y653" s="1" t="str">
        <f>"96/09/20"</f>
        <v>96/09/20</v>
      </c>
      <c r="Z653" s="1" t="str">
        <f>"38296مرحله دوم"</f>
        <v>38296مرحله دوم</v>
      </c>
      <c r="AA653" s="1" t="str">
        <f>"شهرداريها"</f>
        <v>شهرداريها</v>
      </c>
      <c r="AB653" s="1" t="str">
        <f>"96/09/11"</f>
        <v>96/09/11</v>
      </c>
      <c r="AC653" s="1" t="str">
        <f>"كهكيلويه و بوير احمد"</f>
        <v>كهكيلويه و بوير احمد</v>
      </c>
      <c r="AD653" s="1" t="str">
        <f>"96/09/13"</f>
        <v>96/09/13</v>
      </c>
      <c r="AE653" s="1" t="str">
        <f>"تاييدشده"</f>
        <v>تاييدشده</v>
      </c>
      <c r="AF653" s="1" t="str">
        <f>""</f>
        <v/>
      </c>
      <c r="AG653" s="1" t="str">
        <f>""</f>
        <v/>
      </c>
      <c r="AH653" s="1" t="str">
        <f>""</f>
        <v/>
      </c>
      <c r="AI653" s="1" t="str">
        <f>""</f>
        <v/>
      </c>
      <c r="AJ653" s="1" t="str">
        <f>""</f>
        <v/>
      </c>
      <c r="AK653" s="1" t="str">
        <f>""</f>
        <v/>
      </c>
    </row>
    <row r="654" spans="1:37">
      <c r="A654" s="1">
        <v>36000</v>
      </c>
      <c r="B654" s="1">
        <v>966300038</v>
      </c>
      <c r="C654" s="1" t="str">
        <f>"تخليه اصفهان شهرك صنعتي اشترجان خيابان 11شركت راه آژند"</f>
        <v>تخليه اصفهان شهرك صنعتي اشترجان خيابان 11شركت راه آژند</v>
      </c>
      <c r="D654" s="1">
        <v>12820</v>
      </c>
      <c r="E654" s="1">
        <v>35760</v>
      </c>
      <c r="F654" s="1">
        <v>96</v>
      </c>
      <c r="G654" s="1">
        <v>240</v>
      </c>
      <c r="H654" s="1" t="str">
        <f>"96/09/19"</f>
        <v>96/09/19</v>
      </c>
      <c r="I654" s="1" t="str">
        <f>"كيلوگرم"</f>
        <v>كيلوگرم</v>
      </c>
      <c r="J654" s="1" t="str">
        <f>"0000000076"</f>
        <v>0000000076</v>
      </c>
      <c r="K654" s="1" t="str">
        <f>"قير 60/70 - فله"</f>
        <v>قير 60/70 - فله</v>
      </c>
      <c r="L654" s="1">
        <v>100</v>
      </c>
      <c r="M654" s="1" t="str">
        <f>"مخازن قير اصفهان"</f>
        <v>مخازن قير اصفهان</v>
      </c>
      <c r="N654" s="1">
        <v>11519</v>
      </c>
      <c r="O654" s="1">
        <v>50037588</v>
      </c>
      <c r="P654" s="1" t="str">
        <f>"  زيباساخت زاگرس"</f>
        <v xml:space="preserve">  زيباساخت زاگرس</v>
      </c>
      <c r="Q654" s="1">
        <v>63</v>
      </c>
      <c r="R654" s="1" t="str">
        <f>"سازمان نوسازي،توسعه و تجهيز مدارس كشور"</f>
        <v>سازمان نوسازي،توسعه و تجهيز مدارس كشور</v>
      </c>
      <c r="S654" s="1" t="str">
        <f>"قرارداد فروش"</f>
        <v>قرارداد فروش</v>
      </c>
      <c r="T654" s="1" t="str">
        <f>"ندارد"</f>
        <v>ندارد</v>
      </c>
      <c r="U654" s="1" t="str">
        <f>"سيفي پور عبدالمجيد(1009ج89)"</f>
        <v>سيفي پور عبدالمجيد(1009ج89)</v>
      </c>
      <c r="V654" s="1">
        <v>966300038</v>
      </c>
      <c r="W654" s="1">
        <v>966300038</v>
      </c>
      <c r="X654" s="1" t="str">
        <f>"1396531220"</f>
        <v>1396531220</v>
      </c>
      <c r="Y654" s="1" t="str">
        <f>"96/09/19"</f>
        <v>96/09/19</v>
      </c>
      <c r="Z654" s="1" t="str">
        <f>"18/96/1/7570"</f>
        <v>18/96/1/7570</v>
      </c>
      <c r="AA654" s="1" t="str">
        <f>"سازمان نوسازي توسعه وتجهيزمدارس كشور"</f>
        <v>سازمان نوسازي توسعه وتجهيزمدارس كشور</v>
      </c>
      <c r="AB654" s="1" t="str">
        <f>"96/08/14"</f>
        <v>96/08/14</v>
      </c>
      <c r="AC654" s="1" t="str">
        <f>"استان چهارمحال بختياري"</f>
        <v>استان چهارمحال بختياري</v>
      </c>
      <c r="AD654" s="1" t="str">
        <f>"96/09/19"</f>
        <v>96/09/19</v>
      </c>
      <c r="AE654" s="1" t="str">
        <f>"اختتام"</f>
        <v>اختتام</v>
      </c>
      <c r="AF654" s="1" t="str">
        <f>""</f>
        <v/>
      </c>
      <c r="AG654" s="1" t="str">
        <f>""</f>
        <v/>
      </c>
      <c r="AH654" s="1" t="str">
        <f>""</f>
        <v/>
      </c>
      <c r="AI654" s="1" t="str">
        <f>""</f>
        <v/>
      </c>
      <c r="AJ654" s="1" t="str">
        <f>""</f>
        <v/>
      </c>
      <c r="AK654" s="1" t="str">
        <f>""</f>
        <v/>
      </c>
    </row>
    <row r="655" spans="1:37">
      <c r="A655" s="1">
        <v>25000</v>
      </c>
      <c r="B655" s="1">
        <v>966300040</v>
      </c>
      <c r="C655" s="1" t="str">
        <f>"تخليه چهارمحال وبختياري شهركردسامان روبروي قطب صنعتي شماره 2شركت نسيم سامان"</f>
        <v>تخليه چهارمحال وبختياري شهركردسامان روبروي قطب صنعتي شماره 2شركت نسيم سامان</v>
      </c>
      <c r="D655" s="1">
        <v>12820</v>
      </c>
      <c r="E655" s="1">
        <v>24380</v>
      </c>
      <c r="F655" s="1">
        <v>96</v>
      </c>
      <c r="G655" s="1">
        <v>620</v>
      </c>
      <c r="H655" s="1" t="str">
        <f>"96/09/22"</f>
        <v>96/09/22</v>
      </c>
      <c r="I655" s="1" t="str">
        <f>"كيلوگرم"</f>
        <v>كيلوگرم</v>
      </c>
      <c r="J655" s="1" t="str">
        <f>"0000000076"</f>
        <v>0000000076</v>
      </c>
      <c r="K655" s="1" t="str">
        <f>"قير 60/70 - فله"</f>
        <v>قير 60/70 - فله</v>
      </c>
      <c r="L655" s="1">
        <v>100</v>
      </c>
      <c r="M655" s="1" t="str">
        <f>"مخازن قير اصفهان"</f>
        <v>مخازن قير اصفهان</v>
      </c>
      <c r="N655" s="1">
        <v>11522</v>
      </c>
      <c r="O655" s="1">
        <v>50037739</v>
      </c>
      <c r="P655" s="1" t="str">
        <f>"  ساختماني برج انسجام"</f>
        <v xml:space="preserve">  ساختماني برج انسجام</v>
      </c>
      <c r="Q655" s="1">
        <v>63</v>
      </c>
      <c r="R655" s="1" t="str">
        <f>"سازمان نوسازي،توسعه و تجهيز مدارس كشور"</f>
        <v>سازمان نوسازي،توسعه و تجهيز مدارس كشور</v>
      </c>
      <c r="S655" s="1" t="str">
        <f>"قرارداد فروش"</f>
        <v>قرارداد فروش</v>
      </c>
      <c r="T655" s="1" t="str">
        <f>"ندارد"</f>
        <v>ندارد</v>
      </c>
      <c r="U655" s="1" t="str">
        <f>"قره باغي مجيد(1871065)"</f>
        <v>قره باغي مجيد(1871065)</v>
      </c>
      <c r="V655" s="1">
        <v>966300040</v>
      </c>
      <c r="W655" s="1">
        <v>966300040</v>
      </c>
      <c r="X655" s="1" t="str">
        <f>"1396532536"</f>
        <v>1396532536</v>
      </c>
      <c r="Y655" s="1" t="str">
        <f>"96/09/22"</f>
        <v>96/09/22</v>
      </c>
      <c r="Z655" s="1" t="str">
        <f>"18/96/1/8378"</f>
        <v>18/96/1/8378</v>
      </c>
      <c r="AA655" s="1" t="str">
        <f>"سازمان نوسازي توسعه وتجهيزمدارس كشور"</f>
        <v>سازمان نوسازي توسعه وتجهيزمدارس كشور</v>
      </c>
      <c r="AB655" s="1" t="str">
        <f>"96/09/11"</f>
        <v>96/09/11</v>
      </c>
      <c r="AC655" s="1" t="str">
        <f>"استان چهارمحال بختياري"</f>
        <v>استان چهارمحال بختياري</v>
      </c>
      <c r="AD655" s="1" t="str">
        <f>"96/09/22"</f>
        <v>96/09/22</v>
      </c>
      <c r="AE655" s="1" t="str">
        <f>"اختتام"</f>
        <v>اختتام</v>
      </c>
      <c r="AF655" s="1" t="str">
        <f>""</f>
        <v/>
      </c>
      <c r="AG655" s="1" t="str">
        <f>""</f>
        <v/>
      </c>
      <c r="AH655" s="1" t="str">
        <f>""</f>
        <v/>
      </c>
      <c r="AI655" s="1" t="str">
        <f>""</f>
        <v/>
      </c>
      <c r="AJ655" s="1" t="str">
        <f>""</f>
        <v/>
      </c>
      <c r="AK655" s="1" t="str">
        <f>""</f>
        <v/>
      </c>
    </row>
    <row r="656" spans="1:37">
      <c r="A656" s="1">
        <v>62000</v>
      </c>
      <c r="B656" s="1">
        <v>966200460</v>
      </c>
      <c r="C656" s="1" t="str">
        <f>"تخليه - کرمان- شهربابک-کمربندي خاتون آباد-مخازن شرکت پ-بل"</f>
        <v>تخليه - کرمان- شهربابک-کمربندي خاتون آباد-مخازن شرکت پ-بل</v>
      </c>
      <c r="D656" s="1">
        <v>12820</v>
      </c>
      <c r="E656" s="1">
        <v>59760</v>
      </c>
      <c r="F656" s="1">
        <v>96</v>
      </c>
      <c r="G656" s="1">
        <v>2240</v>
      </c>
      <c r="H656" s="1" t="str">
        <f>"96/09/26"</f>
        <v>96/09/26</v>
      </c>
      <c r="I656" s="1" t="str">
        <f>"كيلوگرم"</f>
        <v>كيلوگرم</v>
      </c>
      <c r="J656" s="1" t="str">
        <f>"0000000076"</f>
        <v>0000000076</v>
      </c>
      <c r="K656" s="1" t="str">
        <f>"قير 60/70 - فله"</f>
        <v>قير 60/70 - فله</v>
      </c>
      <c r="L656" s="1">
        <v>100</v>
      </c>
      <c r="M656" s="1" t="str">
        <f>"مخازن قير اصفهان"</f>
        <v>مخازن قير اصفهان</v>
      </c>
      <c r="N656" s="1">
        <v>11523</v>
      </c>
      <c r="O656" s="1">
        <v>50037892</v>
      </c>
      <c r="P656" s="1" t="str">
        <f>"  ميمند عمران راه بابکان"</f>
        <v xml:space="preserve">  ميمند عمران راه بابکان</v>
      </c>
      <c r="Q656" s="1">
        <v>62</v>
      </c>
      <c r="R656" s="1" t="str">
        <f>"فروش داخلي - سازمان بنيادمسكن انقلاب اسلامي"</f>
        <v>فروش داخلي - سازمان بنيادمسكن انقلاب اسلامي</v>
      </c>
      <c r="S656" s="1" t="str">
        <f>"قرارداد فروش"</f>
        <v>قرارداد فروش</v>
      </c>
      <c r="T656" s="1" t="str">
        <f>"ندارد"</f>
        <v>ندارد</v>
      </c>
      <c r="U656" s="1" t="str">
        <f>"تعاوني جم گستر (1001 ج 89)"</f>
        <v>تعاوني جم گستر (1001 ج 89)</v>
      </c>
      <c r="V656" s="1">
        <v>966200460</v>
      </c>
      <c r="W656" s="1">
        <v>966200460</v>
      </c>
      <c r="X656" s="1" t="str">
        <f>"1396532937"</f>
        <v>1396532937</v>
      </c>
      <c r="Y656" s="1" t="str">
        <f>"96/09/26"</f>
        <v>96/09/26</v>
      </c>
      <c r="Z656" s="1" t="str">
        <f>"42280/د"</f>
        <v>42280/د</v>
      </c>
      <c r="AA656" s="1" t="str">
        <f>"بنيادمسكن انقلاب اسلامي"</f>
        <v>بنيادمسكن انقلاب اسلامي</v>
      </c>
      <c r="AB656" s="1" t="str">
        <f>"96/09/25"</f>
        <v>96/09/25</v>
      </c>
      <c r="AC656" s="1" t="str">
        <f>"استان كرمان"</f>
        <v>استان كرمان</v>
      </c>
      <c r="AD656" s="1" t="str">
        <f>"96/09/26"</f>
        <v>96/09/26</v>
      </c>
      <c r="AE656" s="1" t="str">
        <f>"اختتام"</f>
        <v>اختتام</v>
      </c>
      <c r="AF656" s="1" t="str">
        <f>""</f>
        <v/>
      </c>
      <c r="AG656" s="1" t="str">
        <f>""</f>
        <v/>
      </c>
      <c r="AH656" s="1" t="str">
        <f>""</f>
        <v/>
      </c>
      <c r="AI656" s="1" t="str">
        <f>""</f>
        <v/>
      </c>
      <c r="AJ656" s="1" t="str">
        <f>""</f>
        <v/>
      </c>
      <c r="AK656" s="1" t="str">
        <f>""</f>
        <v/>
      </c>
    </row>
    <row r="657" spans="1:37">
      <c r="A657" s="1">
        <v>1625000</v>
      </c>
      <c r="B657" s="1">
        <v>966200526</v>
      </c>
      <c r="C657" s="1" t="str">
        <f>"تخليه - خراسان رضوي-مشهدکيلومتر 10 جاده سرخس نرسيده به روستاي تنگل شور-کارخانه آسفالت رهپويان آريا گستر"</f>
        <v>تخليه - خراسان رضوي-مشهدکيلومتر 10 جاده سرخس نرسيده به روستاي تنگل شور-کارخانه آسفالت رهپويان آريا گستر</v>
      </c>
      <c r="D657" s="1">
        <v>12850</v>
      </c>
      <c r="E657" s="1">
        <v>1621500</v>
      </c>
      <c r="F657" s="1">
        <v>96</v>
      </c>
      <c r="G657" s="1">
        <v>3500</v>
      </c>
      <c r="H657" s="1" t="str">
        <f>"96/10/23"</f>
        <v>96/10/23</v>
      </c>
      <c r="I657" s="1" t="str">
        <f>"كيلوگرم"</f>
        <v>كيلوگرم</v>
      </c>
      <c r="J657" s="1" t="str">
        <f>"0000000076"</f>
        <v>0000000076</v>
      </c>
      <c r="K657" s="1" t="str">
        <f>"قير 60/70 - فله"</f>
        <v>قير 60/70 - فله</v>
      </c>
      <c r="L657" s="1">
        <v>100</v>
      </c>
      <c r="M657" s="1" t="str">
        <f>"مخازن قير اصفهان"</f>
        <v>مخازن قير اصفهان</v>
      </c>
      <c r="N657" s="1">
        <v>11525</v>
      </c>
      <c r="O657" s="1">
        <v>50038150</v>
      </c>
      <c r="P657" s="1" t="str">
        <f>"  بنياد مسکن انقلاب اسلامي خراسان رضوي"</f>
        <v xml:space="preserve">  بنياد مسکن انقلاب اسلامي خراسان رضوي</v>
      </c>
      <c r="Q657" s="1">
        <v>62</v>
      </c>
      <c r="R657" s="1" t="str">
        <f>"فروش داخلي - سازمان بنيادمسكن انقلاب اسلامي"</f>
        <v>فروش داخلي - سازمان بنيادمسكن انقلاب اسلامي</v>
      </c>
      <c r="S657" s="1" t="str">
        <f>"قرارداد فروش"</f>
        <v>قرارداد فروش</v>
      </c>
      <c r="T657" s="1" t="str">
        <f>"ندارد"</f>
        <v>ندارد</v>
      </c>
      <c r="U657" s="1" t="str">
        <f>"حسيني سيدجواد(1841076)"</f>
        <v>حسيني سيدجواد(1841076)</v>
      </c>
      <c r="V657" s="1">
        <v>966200526</v>
      </c>
      <c r="W657" s="1">
        <v>966200526</v>
      </c>
      <c r="X657" s="1" t="str">
        <f>"1396539696"</f>
        <v>1396539696</v>
      </c>
      <c r="Y657" s="1" t="str">
        <f>"96/10/23"</f>
        <v>96/10/23</v>
      </c>
      <c r="Z657" s="1" t="str">
        <f>"46819/د"</f>
        <v>46819/د</v>
      </c>
      <c r="AA657" s="1" t="str">
        <f>"بنيادمسكن انقلاب اسلامي"</f>
        <v>بنيادمسكن انقلاب اسلامي</v>
      </c>
      <c r="AB657" s="1" t="str">
        <f>"96/10/20"</f>
        <v>96/10/20</v>
      </c>
      <c r="AC657" s="1" t="str">
        <f>"خراسان رضوي"</f>
        <v>خراسان رضوي</v>
      </c>
      <c r="AD657" s="1" t="str">
        <f>"96/10/23"</f>
        <v>96/10/23</v>
      </c>
      <c r="AE657" s="1" t="str">
        <f>"اختتام"</f>
        <v>اختتام</v>
      </c>
      <c r="AF657" s="1" t="str">
        <f>""</f>
        <v/>
      </c>
      <c r="AG657" s="1" t="str">
        <f>""</f>
        <v/>
      </c>
      <c r="AH657" s="1" t="str">
        <f>""</f>
        <v/>
      </c>
      <c r="AI657" s="1" t="str">
        <f>""</f>
        <v/>
      </c>
      <c r="AJ657" s="1" t="str">
        <f>""</f>
        <v/>
      </c>
      <c r="AK657" s="1" t="str">
        <f>""</f>
        <v/>
      </c>
    </row>
    <row r="658" spans="1:37">
      <c r="A658" s="1">
        <v>129000</v>
      </c>
      <c r="B658" s="1">
        <v>966200549</v>
      </c>
      <c r="C658" s="1" t="str">
        <f>"تخليه- لرستان-نهاوند-کيلومتر 15جاده کرمانشاه-روستاي وسج-کارخانه شن و آسفالت وسج"</f>
        <v>تخليه- لرستان-نهاوند-کيلومتر 15جاده کرمانشاه-روستاي وسج-کارخانه شن و آسفالت وسج</v>
      </c>
      <c r="D658" s="1">
        <v>13200</v>
      </c>
      <c r="E658" s="1">
        <v>127440</v>
      </c>
      <c r="F658" s="1">
        <v>96</v>
      </c>
      <c r="G658" s="1">
        <v>1560</v>
      </c>
      <c r="H658" s="1" t="str">
        <f>"96/11/07"</f>
        <v>96/11/07</v>
      </c>
      <c r="I658" s="1" t="str">
        <f>"كيلوگرم"</f>
        <v>كيلوگرم</v>
      </c>
      <c r="J658" s="1" t="str">
        <f>"0000000076"</f>
        <v>0000000076</v>
      </c>
      <c r="K658" s="1" t="str">
        <f>"قير 60/70 - فله"</f>
        <v>قير 60/70 - فله</v>
      </c>
      <c r="L658" s="1">
        <v>100</v>
      </c>
      <c r="M658" s="1" t="str">
        <f>"مخازن قير اصفهان"</f>
        <v>مخازن قير اصفهان</v>
      </c>
      <c r="N658" s="1">
        <v>11531</v>
      </c>
      <c r="O658" s="1">
        <v>50038309</v>
      </c>
      <c r="P658" s="1" t="str">
        <f>"  کهمان سازه شهر"</f>
        <v xml:space="preserve">  کهمان سازه شهر</v>
      </c>
      <c r="Q658" s="1">
        <v>62</v>
      </c>
      <c r="R658" s="1" t="str">
        <f>"فروش داخلي - سازمان بنيادمسكن انقلاب اسلامي"</f>
        <v>فروش داخلي - سازمان بنيادمسكن انقلاب اسلامي</v>
      </c>
      <c r="S658" s="1" t="str">
        <f>"قرارداد فروش"</f>
        <v>قرارداد فروش</v>
      </c>
      <c r="T658" s="1" t="str">
        <f>"ندارد"</f>
        <v>ندارد</v>
      </c>
      <c r="U658" s="1" t="str">
        <f>"عظيمي محمد(2842015)"</f>
        <v>عظيمي محمد(2842015)</v>
      </c>
      <c r="V658" s="1">
        <v>966200549</v>
      </c>
      <c r="W658" s="1">
        <v>966200549</v>
      </c>
      <c r="X658" s="1" t="str">
        <f>"1396543412"</f>
        <v>1396543412</v>
      </c>
      <c r="Y658" s="1" t="str">
        <f>"96/11/07"</f>
        <v>96/11/07</v>
      </c>
      <c r="Z658" s="1" t="str">
        <f>"49452/د"</f>
        <v>49452/د</v>
      </c>
      <c r="AA658" s="1" t="str">
        <f>"بنيادمسكن انقلاب اسلامي"</f>
        <v>بنيادمسكن انقلاب اسلامي</v>
      </c>
      <c r="AB658" s="1" t="str">
        <f>"96/11/04"</f>
        <v>96/11/04</v>
      </c>
      <c r="AC658" s="1" t="str">
        <f>"لرستان"</f>
        <v>لرستان</v>
      </c>
      <c r="AD658" s="1" t="str">
        <f>"96/11/07"</f>
        <v>96/11/07</v>
      </c>
      <c r="AE658" s="1" t="str">
        <f>"اختتام"</f>
        <v>اختتام</v>
      </c>
      <c r="AF658" s="1" t="str">
        <f>""</f>
        <v/>
      </c>
      <c r="AG658" s="1" t="str">
        <f>""</f>
        <v/>
      </c>
      <c r="AH658" s="1" t="str">
        <f>""</f>
        <v/>
      </c>
      <c r="AI658" s="1" t="str">
        <f>""</f>
        <v/>
      </c>
      <c r="AJ658" s="1" t="str">
        <f>""</f>
        <v/>
      </c>
      <c r="AK658" s="1" t="str">
        <f>""</f>
        <v/>
      </c>
    </row>
    <row r="659" spans="1:37">
      <c r="A659" s="1">
        <v>130510</v>
      </c>
      <c r="B659" s="1">
        <v>962000178</v>
      </c>
      <c r="C659" s="1" t="str">
        <f>"تخليه -خراسان رضوي -تربت جام -شهرصالح آباد-مخزن قيرآسفالت شهرداري صالح آباد"</f>
        <v>تخليه -خراسان رضوي -تربت جام -شهرصالح آباد-مخزن قيرآسفالت شهرداري صالح آباد</v>
      </c>
      <c r="D659" s="1">
        <v>9113</v>
      </c>
      <c r="E659" s="1">
        <v>130510</v>
      </c>
      <c r="F659" s="1">
        <v>96</v>
      </c>
      <c r="G659" s="1">
        <v>0</v>
      </c>
      <c r="H659" s="1" t="str">
        <f>"96/07/03"</f>
        <v>96/07/03</v>
      </c>
      <c r="I659" s="1" t="str">
        <f>"كيلوگرم"</f>
        <v>كيلوگرم</v>
      </c>
      <c r="J659" s="1" t="str">
        <f>"0000000076"</f>
        <v>0000000076</v>
      </c>
      <c r="K659" s="1" t="str">
        <f>"قير 60/70 - فله"</f>
        <v>قير 60/70 - فله</v>
      </c>
      <c r="L659" s="1">
        <v>100</v>
      </c>
      <c r="M659" s="1" t="str">
        <f>"مخازن قير اصفهان"</f>
        <v>مخازن قير اصفهان</v>
      </c>
      <c r="N659" s="1">
        <v>10915</v>
      </c>
      <c r="O659" s="1">
        <v>50036383</v>
      </c>
      <c r="P659" s="1" t="str">
        <f>"  شهرداري صالح آبادخراسان رضوي"</f>
        <v xml:space="preserve">  شهرداري صالح آبادخراسان رضوي</v>
      </c>
      <c r="Q659" s="1">
        <v>20</v>
      </c>
      <c r="R659" s="1" t="str">
        <f>"فروش داخلي - سازمان شهرداري ها و دهياري هاي كشور"</f>
        <v>فروش داخلي - سازمان شهرداري ها و دهياري هاي كشور</v>
      </c>
      <c r="S659" s="1" t="str">
        <f>"قرارداد فروش"</f>
        <v>قرارداد فروش</v>
      </c>
      <c r="T659" s="1" t="str">
        <f>"ندارد"</f>
        <v>ندارد</v>
      </c>
      <c r="U659" s="1" t="str">
        <f>"تعاوني جم گستر (1001 ج 89)"</f>
        <v>تعاوني جم گستر (1001 ج 89)</v>
      </c>
      <c r="V659" s="1">
        <v>962000178</v>
      </c>
      <c r="W659" s="1">
        <v>962000178</v>
      </c>
      <c r="X659" s="1" t="str">
        <f>"1396514467"</f>
        <v>1396514467</v>
      </c>
      <c r="Y659" s="1" t="str">
        <f>"96/07/03"</f>
        <v>96/07/03</v>
      </c>
      <c r="Z659" s="1" t="str">
        <f>"26762مرحله اول"</f>
        <v>26762مرحله اول</v>
      </c>
      <c r="AA659" s="1" t="str">
        <f>"شهرداريها"</f>
        <v>شهرداريها</v>
      </c>
      <c r="AB659" s="1" t="str">
        <f>"96/06/29"</f>
        <v>96/06/29</v>
      </c>
      <c r="AC659" s="1" t="str">
        <f>"خراسان رضوي"</f>
        <v>خراسان رضوي</v>
      </c>
      <c r="AD659" s="1" t="str">
        <f>"96/07/03"</f>
        <v>96/07/03</v>
      </c>
      <c r="AE659" s="1" t="str">
        <f>"اختتام"</f>
        <v>اختتام</v>
      </c>
      <c r="AF659" s="1" t="str">
        <f>""</f>
        <v/>
      </c>
      <c r="AG659" s="1" t="str">
        <f>""</f>
        <v/>
      </c>
      <c r="AH659" s="1" t="str">
        <f>""</f>
        <v/>
      </c>
      <c r="AI659" s="1" t="str">
        <f>""</f>
        <v/>
      </c>
      <c r="AJ659" s="1" t="str">
        <f>""</f>
        <v/>
      </c>
      <c r="AK659" s="1" t="str">
        <f>""</f>
        <v/>
      </c>
    </row>
    <row r="660" spans="1:37">
      <c r="A660" s="1">
        <v>144119</v>
      </c>
      <c r="B660" s="1">
        <v>962000040</v>
      </c>
      <c r="C660" s="1" t="str">
        <f>"تخليه اصفهان جاده حبيب آبادجاده آجرشالباف كارخانه آسفالت زينبيه"</f>
        <v>تخليه اصفهان جاده حبيب آبادجاده آجرشالباف كارخانه آسفالت زينبيه</v>
      </c>
      <c r="D660" s="1">
        <v>9113</v>
      </c>
      <c r="E660" s="1">
        <v>144119</v>
      </c>
      <c r="F660" s="1">
        <v>96</v>
      </c>
      <c r="G660" s="1">
        <v>0</v>
      </c>
      <c r="H660" s="1" t="str">
        <f>"96/07/03"</f>
        <v>96/07/03</v>
      </c>
      <c r="I660" s="1" t="str">
        <f>"كيلوگرم"</f>
        <v>كيلوگرم</v>
      </c>
      <c r="J660" s="1" t="str">
        <f>"0000000076"</f>
        <v>0000000076</v>
      </c>
      <c r="K660" s="1" t="str">
        <f>"قير 60/70 - فله"</f>
        <v>قير 60/70 - فله</v>
      </c>
      <c r="L660" s="1">
        <v>100</v>
      </c>
      <c r="M660" s="1" t="str">
        <f>"مخازن قير اصفهان"</f>
        <v>مخازن قير اصفهان</v>
      </c>
      <c r="N660" s="1">
        <v>10958</v>
      </c>
      <c r="O660" s="1">
        <v>50036186</v>
      </c>
      <c r="P660" s="1" t="str">
        <f>"  شهرداري دولت آباد اصفهان"</f>
        <v xml:space="preserve">  شهرداري دولت آباد اصفهان</v>
      </c>
      <c r="Q660" s="1">
        <v>20</v>
      </c>
      <c r="R660" s="1" t="str">
        <f>"فروش داخلي - سازمان شهرداري ها و دهياري هاي كشور"</f>
        <v>فروش داخلي - سازمان شهرداري ها و دهياري هاي كشور</v>
      </c>
      <c r="S660" s="1" t="str">
        <f>"قرارداد فروش"</f>
        <v>قرارداد فروش</v>
      </c>
      <c r="T660" s="1" t="str">
        <f>"ندارد"</f>
        <v>ندارد</v>
      </c>
      <c r="U660" s="1" t="str">
        <f>"تعاوني جم گستر (1001 ج 89)"</f>
        <v>تعاوني جم گستر (1001 ج 89)</v>
      </c>
      <c r="V660" s="1">
        <v>962000040</v>
      </c>
      <c r="W660" s="1">
        <v>962000040</v>
      </c>
      <c r="X660" s="1" t="str">
        <f>"1396514467"</f>
        <v>1396514467</v>
      </c>
      <c r="Y660" s="1" t="str">
        <f>"96/07/03"</f>
        <v>96/07/03</v>
      </c>
      <c r="Z660" s="1" t="str">
        <f>"26817مرحله اول"</f>
        <v>26817مرحله اول</v>
      </c>
      <c r="AA660" s="1" t="str">
        <f>"شهرداريها"</f>
        <v>شهرداريها</v>
      </c>
      <c r="AB660" s="1" t="str">
        <f>"96/06/29"</f>
        <v>96/06/29</v>
      </c>
      <c r="AC660" s="1" t="str">
        <f>"استان اصفهان"</f>
        <v>استان اصفهان</v>
      </c>
      <c r="AD660" s="1" t="str">
        <f>"96/07/03"</f>
        <v>96/07/03</v>
      </c>
      <c r="AE660" s="1" t="str">
        <f>"اختتام"</f>
        <v>اختتام</v>
      </c>
      <c r="AF660" s="1" t="str">
        <f>""</f>
        <v/>
      </c>
      <c r="AG660" s="1" t="str">
        <f>""</f>
        <v/>
      </c>
      <c r="AH660" s="1" t="str">
        <f>""</f>
        <v/>
      </c>
      <c r="AI660" s="1" t="str">
        <f>""</f>
        <v/>
      </c>
      <c r="AJ660" s="1" t="str">
        <f>""</f>
        <v/>
      </c>
      <c r="AK660" s="1" t="str">
        <f>""</f>
        <v/>
      </c>
    </row>
    <row r="661" spans="1:37">
      <c r="A661" s="1">
        <v>147000</v>
      </c>
      <c r="B661" s="1">
        <v>966200007</v>
      </c>
      <c r="C661" s="1" t="str">
        <f>"تخليه - کرمانشاه - سرپل ذهاب - دشت ذهاب - روستاي گرده نو-کارخانه آسفالت قدس"</f>
        <v>تخليه - کرمانشاه - سرپل ذهاب - دشت ذهاب - روستاي گرده نو-کارخانه آسفالت قدس</v>
      </c>
      <c r="D661" s="1">
        <v>8198</v>
      </c>
      <c r="E661" s="1">
        <v>147000</v>
      </c>
      <c r="F661" s="1">
        <v>96</v>
      </c>
      <c r="G661" s="1">
        <v>0</v>
      </c>
      <c r="H661" s="1" t="str">
        <f>"96/01/21"</f>
        <v>96/01/21</v>
      </c>
      <c r="I661" s="1" t="str">
        <f>"كيلوگرم"</f>
        <v>كيلوگرم</v>
      </c>
      <c r="J661" s="1" t="str">
        <f>"0000000076"</f>
        <v>0000000076</v>
      </c>
      <c r="K661" s="1" t="str">
        <f>"قير 60/70 - فله"</f>
        <v>قير 60/70 - فله</v>
      </c>
      <c r="L661" s="1">
        <v>100</v>
      </c>
      <c r="M661" s="1" t="str">
        <f>"مخازن قير اصفهان"</f>
        <v>مخازن قير اصفهان</v>
      </c>
      <c r="N661" s="1">
        <v>10976</v>
      </c>
      <c r="O661" s="1">
        <v>50034467</v>
      </c>
      <c r="P661" s="1" t="str">
        <f>"  پي سازان كلهرزاگرس"</f>
        <v xml:space="preserve">  پي سازان كلهرزاگرس</v>
      </c>
      <c r="Q661" s="1">
        <v>62</v>
      </c>
      <c r="R661" s="1" t="str">
        <f>"فروش داخلي - سازمان بنيادمسكن انقلاب اسلامي"</f>
        <v>فروش داخلي - سازمان بنيادمسكن انقلاب اسلامي</v>
      </c>
      <c r="S661" s="1" t="str">
        <f>"قرارداد فروش"</f>
        <v>قرارداد فروش</v>
      </c>
      <c r="T661" s="1" t="str">
        <f>"ندارد"</f>
        <v>ندارد</v>
      </c>
      <c r="U661" s="1" t="str">
        <f>"حاجيلوئي علي اصغر(2842019)"</f>
        <v>حاجيلوئي علي اصغر(2842019)</v>
      </c>
      <c r="V661" s="1">
        <v>966200007</v>
      </c>
      <c r="W661" s="1">
        <v>966200007</v>
      </c>
      <c r="X661" s="1" t="str">
        <f>"1396472723"</f>
        <v>1396472723</v>
      </c>
      <c r="Y661" s="1" t="str">
        <f>"96/01/21"</f>
        <v>96/01/21</v>
      </c>
      <c r="Z661" s="1" t="str">
        <f>"991/د"</f>
        <v>991/د</v>
      </c>
      <c r="AA661" s="1" t="str">
        <f>"بنيادمسكن انقلاب اسلامي"</f>
        <v>بنيادمسكن انقلاب اسلامي</v>
      </c>
      <c r="AB661" s="1" t="str">
        <f>"96/01/19"</f>
        <v>96/01/19</v>
      </c>
      <c r="AC661" s="1" t="str">
        <f>"استان كرمانشاه"</f>
        <v>استان كرمانشاه</v>
      </c>
      <c r="AD661" s="1" t="str">
        <f>"96/01/20"</f>
        <v>96/01/20</v>
      </c>
      <c r="AE661" s="1" t="str">
        <f>"اختتام"</f>
        <v>اختتام</v>
      </c>
      <c r="AF661" s="1" t="str">
        <f>""</f>
        <v/>
      </c>
      <c r="AG661" s="1" t="str">
        <f>""</f>
        <v/>
      </c>
      <c r="AH661" s="1" t="str">
        <f>""</f>
        <v/>
      </c>
      <c r="AI661" s="1" t="str">
        <f>""</f>
        <v/>
      </c>
      <c r="AJ661" s="1" t="str">
        <f>""</f>
        <v/>
      </c>
      <c r="AK661" s="1" t="str">
        <f>""</f>
        <v/>
      </c>
    </row>
    <row r="662" spans="1:37">
      <c r="A662" s="1">
        <v>75000</v>
      </c>
      <c r="B662" s="1">
        <v>966200464</v>
      </c>
      <c r="C662" s="1" t="str">
        <f>"تخليه - کهگيلويه و بويراحمد-ياسوج-سپيدار-شهرک صنعتي دلي بجک-کارخانه آسفالت نجفي"</f>
        <v>تخليه - کهگيلويه و بويراحمد-ياسوج-سپيدار-شهرک صنعتي دلي بجک-کارخانه آسفالت نجفي</v>
      </c>
      <c r="D662" s="1">
        <v>12820</v>
      </c>
      <c r="E662" s="1">
        <v>74480</v>
      </c>
      <c r="F662" s="1">
        <v>96</v>
      </c>
      <c r="G662" s="1">
        <v>520</v>
      </c>
      <c r="H662" s="1" t="str">
        <f>"96/09/27"</f>
        <v>96/09/27</v>
      </c>
      <c r="I662" s="1" t="str">
        <f>"كيلوگرم"</f>
        <v>كيلوگرم</v>
      </c>
      <c r="J662" s="1" t="str">
        <f>"0000000076"</f>
        <v>0000000076</v>
      </c>
      <c r="K662" s="1" t="str">
        <f>"قير 60/70 - فله"</f>
        <v>قير 60/70 - فله</v>
      </c>
      <c r="L662" s="1">
        <v>100</v>
      </c>
      <c r="M662" s="1" t="str">
        <f>"مخازن قير اصفهان"</f>
        <v>مخازن قير اصفهان</v>
      </c>
      <c r="N662" s="1">
        <v>11039</v>
      </c>
      <c r="O662" s="1">
        <v>50037904</v>
      </c>
      <c r="P662" s="1" t="str">
        <f>"  سقاوه گسترسازه"</f>
        <v xml:space="preserve">  سقاوه گسترسازه</v>
      </c>
      <c r="Q662" s="1">
        <v>62</v>
      </c>
      <c r="R662" s="1" t="str">
        <f>"فروش داخلي - سازمان بنيادمسكن انقلاب اسلامي"</f>
        <v>فروش داخلي - سازمان بنيادمسكن انقلاب اسلامي</v>
      </c>
      <c r="S662" s="1" t="str">
        <f>"قرارداد فروش"</f>
        <v>قرارداد فروش</v>
      </c>
      <c r="T662" s="1" t="str">
        <f>"ندارد"</f>
        <v>ندارد</v>
      </c>
      <c r="U662" s="1" t="str">
        <f>"غلام نجفي سيامك‌‌‌‌‌‌(1881082)"</f>
        <v>غلام نجفي سيامك‌‌‌‌‌‌(1881082)</v>
      </c>
      <c r="V662" s="1">
        <v>966200464</v>
      </c>
      <c r="W662" s="1">
        <v>966200464</v>
      </c>
      <c r="X662" s="1" t="str">
        <f>"1396533043"</f>
        <v>1396533043</v>
      </c>
      <c r="Y662" s="1" t="str">
        <f>"96/09/27"</f>
        <v>96/09/27</v>
      </c>
      <c r="Z662" s="1" t="str">
        <f>"42425/د"</f>
        <v>42425/د</v>
      </c>
      <c r="AA662" s="1" t="str">
        <f>"بنيادمسكن انقلاب اسلامي"</f>
        <v>بنيادمسكن انقلاب اسلامي</v>
      </c>
      <c r="AB662" s="1" t="str">
        <f>"96/09/26"</f>
        <v>96/09/26</v>
      </c>
      <c r="AC662" s="1" t="str">
        <f>"كهكيلويه و بوير احمد"</f>
        <v>كهكيلويه و بوير احمد</v>
      </c>
      <c r="AD662" s="1" t="str">
        <f>"96/09/27"</f>
        <v>96/09/27</v>
      </c>
      <c r="AE662" s="1" t="str">
        <f>"اختتام"</f>
        <v>اختتام</v>
      </c>
      <c r="AF662" s="1" t="str">
        <f>""</f>
        <v/>
      </c>
      <c r="AG662" s="1" t="str">
        <f>""</f>
        <v/>
      </c>
      <c r="AH662" s="1" t="str">
        <f>""</f>
        <v/>
      </c>
      <c r="AI662" s="1" t="str">
        <f>""</f>
        <v/>
      </c>
      <c r="AJ662" s="1" t="str">
        <f>""</f>
        <v/>
      </c>
      <c r="AK662" s="1" t="str">
        <f>""</f>
        <v/>
      </c>
    </row>
    <row r="663" spans="1:37">
      <c r="A663" s="1">
        <v>42000</v>
      </c>
      <c r="B663" s="1">
        <v>966200479</v>
      </c>
      <c r="C663" s="1" t="str">
        <f>"تخليه-ياسوج جنب پليس راه ياسوج-اصفهان کارخانه داريوش جوکار"</f>
        <v>تخليه-ياسوج جنب پليس راه ياسوج-اصفهان کارخانه داريوش جوکار</v>
      </c>
      <c r="D663" s="1">
        <v>12820</v>
      </c>
      <c r="E663" s="1">
        <v>40900</v>
      </c>
      <c r="F663" s="1">
        <v>96</v>
      </c>
      <c r="G663" s="1">
        <v>1100</v>
      </c>
      <c r="H663" s="1" t="str">
        <f>"96/09/27"</f>
        <v>96/09/27</v>
      </c>
      <c r="I663" s="1" t="str">
        <f>"كيلوگرم"</f>
        <v>كيلوگرم</v>
      </c>
      <c r="J663" s="1" t="str">
        <f>"0000000076"</f>
        <v>0000000076</v>
      </c>
      <c r="K663" s="1" t="str">
        <f>"قير 60/70 - فله"</f>
        <v>قير 60/70 - فله</v>
      </c>
      <c r="L663" s="1">
        <v>100</v>
      </c>
      <c r="M663" s="1" t="str">
        <f>"مخازن قير اصفهان"</f>
        <v>مخازن قير اصفهان</v>
      </c>
      <c r="N663" s="1">
        <v>11040</v>
      </c>
      <c r="O663" s="1">
        <v>50037924</v>
      </c>
      <c r="P663" s="1" t="str">
        <f>"  ويلاسازان برادران برازش"</f>
        <v xml:space="preserve">  ويلاسازان برادران برازش</v>
      </c>
      <c r="Q663" s="1">
        <v>62</v>
      </c>
      <c r="R663" s="1" t="str">
        <f>"فروش داخلي - سازمان بنيادمسكن انقلاب اسلامي"</f>
        <v>فروش داخلي - سازمان بنيادمسكن انقلاب اسلامي</v>
      </c>
      <c r="S663" s="1" t="str">
        <f>"قرارداد فروش"</f>
        <v>قرارداد فروش</v>
      </c>
      <c r="T663" s="1" t="str">
        <f>"ندارد"</f>
        <v>ندارد</v>
      </c>
      <c r="U663" s="1" t="str">
        <f>"غلام نجفي سيامك‌‌‌‌‌‌(1881082)"</f>
        <v>غلام نجفي سيامك‌‌‌‌‌‌(1881082)</v>
      </c>
      <c r="V663" s="1">
        <v>966200479</v>
      </c>
      <c r="W663" s="1">
        <v>966200479</v>
      </c>
      <c r="X663" s="1" t="str">
        <f>"1396533043"</f>
        <v>1396533043</v>
      </c>
      <c r="Y663" s="1" t="str">
        <f>"96/09/27"</f>
        <v>96/09/27</v>
      </c>
      <c r="Z663" s="1" t="str">
        <f>"42444/د"</f>
        <v>42444/د</v>
      </c>
      <c r="AA663" s="1" t="str">
        <f>"بنيادمسكن انقلاب اسلامي"</f>
        <v>بنيادمسكن انقلاب اسلامي</v>
      </c>
      <c r="AB663" s="1" t="str">
        <f>"96/09/26"</f>
        <v>96/09/26</v>
      </c>
      <c r="AC663" s="1" t="str">
        <f>"كهكيلويه و بوير احمد"</f>
        <v>كهكيلويه و بوير احمد</v>
      </c>
      <c r="AD663" s="1" t="str">
        <f>"96/09/27"</f>
        <v>96/09/27</v>
      </c>
      <c r="AE663" s="1" t="str">
        <f>"اختتام"</f>
        <v>اختتام</v>
      </c>
      <c r="AF663" s="1" t="str">
        <f>""</f>
        <v/>
      </c>
      <c r="AG663" s="1" t="str">
        <f>""</f>
        <v/>
      </c>
      <c r="AH663" s="1" t="str">
        <f>""</f>
        <v/>
      </c>
      <c r="AI663" s="1" t="str">
        <f>""</f>
        <v/>
      </c>
      <c r="AJ663" s="1" t="str">
        <f>""</f>
        <v/>
      </c>
      <c r="AK663" s="1" t="str">
        <f>""</f>
        <v/>
      </c>
    </row>
    <row r="664" spans="1:37">
      <c r="A664" s="1">
        <v>10000</v>
      </c>
      <c r="B664" s="1">
        <v>966200705</v>
      </c>
      <c r="C664" s="1" t="str">
        <f>"تخليه-ياسوج جنب پليس راه ياسوج-اصفهان کارخانه داريوش جوکار"</f>
        <v>تخليه-ياسوج جنب پليس راه ياسوج-اصفهان کارخانه داريوش جوکار</v>
      </c>
      <c r="D664" s="1">
        <v>13350</v>
      </c>
      <c r="E664" s="1">
        <v>10000</v>
      </c>
      <c r="F664" s="1">
        <v>96</v>
      </c>
      <c r="G664" s="1">
        <v>0</v>
      </c>
      <c r="H664" s="1" t="str">
        <f>"96/12/26"</f>
        <v>96/12/26</v>
      </c>
      <c r="I664" s="1" t="str">
        <f>"كيلوگرم"</f>
        <v>كيلوگرم</v>
      </c>
      <c r="J664" s="1" t="str">
        <f>"0000000076"</f>
        <v>0000000076</v>
      </c>
      <c r="K664" s="1" t="str">
        <f>"قير 60/70 - فله"</f>
        <v>قير 60/70 - فله</v>
      </c>
      <c r="L664" s="1">
        <v>100</v>
      </c>
      <c r="M664" s="1" t="str">
        <f>"مخازن قير اصفهان"</f>
        <v>مخازن قير اصفهان</v>
      </c>
      <c r="N664" s="1">
        <v>11040</v>
      </c>
      <c r="O664" s="1">
        <v>50039050</v>
      </c>
      <c r="P664" s="1" t="str">
        <f>"  ويلاسازان برادران برازش"</f>
        <v xml:space="preserve">  ويلاسازان برادران برازش</v>
      </c>
      <c r="Q664" s="1">
        <v>62</v>
      </c>
      <c r="R664" s="1" t="str">
        <f>"فروش داخلي - سازمان بنيادمسكن انقلاب اسلامي"</f>
        <v>فروش داخلي - سازمان بنيادمسكن انقلاب اسلامي</v>
      </c>
      <c r="S664" s="1" t="str">
        <f>"قرارداد فروش"</f>
        <v>قرارداد فروش</v>
      </c>
      <c r="T664" s="1" t="str">
        <f>"ندارد"</f>
        <v>ندارد</v>
      </c>
      <c r="U664" s="1" t="str">
        <f>"غلام نجفي سيامك‌‌‌‌‌‌(1881082)"</f>
        <v>غلام نجفي سيامك‌‌‌‌‌‌(1881082)</v>
      </c>
      <c r="V664" s="1">
        <v>966200705</v>
      </c>
      <c r="W664" s="1">
        <v>966200705</v>
      </c>
      <c r="X664" s="1" t="str">
        <f>"1396555371"</f>
        <v>1396555371</v>
      </c>
      <c r="Y664" s="1" t="str">
        <f>"96/12/26"</f>
        <v>96/12/26</v>
      </c>
      <c r="Z664" s="1" t="str">
        <f>"59473/د"</f>
        <v>59473/د</v>
      </c>
      <c r="AA664" s="1" t="str">
        <f>"بنيادمسكن انقلاب اسلامي"</f>
        <v>بنيادمسكن انقلاب اسلامي</v>
      </c>
      <c r="AB664" s="1" t="str">
        <f>"96/12/23"</f>
        <v>96/12/23</v>
      </c>
      <c r="AC664" s="1" t="str">
        <f>"كهكيلويه و بوير احمد"</f>
        <v>كهكيلويه و بوير احمد</v>
      </c>
      <c r="AD664" s="1" t="str">
        <f>"96/12/26"</f>
        <v>96/12/26</v>
      </c>
      <c r="AE664" s="1" t="str">
        <f>"اختتام"</f>
        <v>اختتام</v>
      </c>
      <c r="AF664" s="1" t="str">
        <f>""</f>
        <v/>
      </c>
      <c r="AG664" s="1" t="str">
        <f>""</f>
        <v/>
      </c>
      <c r="AH664" s="1" t="str">
        <f>""</f>
        <v/>
      </c>
      <c r="AI664" s="1" t="str">
        <f>""</f>
        <v/>
      </c>
      <c r="AJ664" s="1" t="str">
        <f>""</f>
        <v/>
      </c>
      <c r="AK664" s="1" t="str">
        <f>""</f>
        <v/>
      </c>
    </row>
    <row r="665" spans="1:37">
      <c r="A665" s="1">
        <v>82000</v>
      </c>
      <c r="B665" s="1">
        <v>966200648</v>
      </c>
      <c r="C665" s="1" t="str">
        <f>"تخليه-اصفهان- 5کيلومتري حسن آباد جرقويه-روبروي سه راهي ورزنه"</f>
        <v>تخليه-اصفهان- 5کيلومتري حسن آباد جرقويه-روبروي سه راهي ورزنه</v>
      </c>
      <c r="D665" s="1">
        <v>13350</v>
      </c>
      <c r="E665" s="1">
        <v>81060</v>
      </c>
      <c r="F665" s="1">
        <v>96</v>
      </c>
      <c r="G665" s="1">
        <v>940</v>
      </c>
      <c r="H665" s="1" t="str">
        <f>"96/12/14"</f>
        <v>96/12/14</v>
      </c>
      <c r="I665" s="1" t="str">
        <f>"كيلوگرم"</f>
        <v>كيلوگرم</v>
      </c>
      <c r="J665" s="1" t="str">
        <f>"0000000076"</f>
        <v>0000000076</v>
      </c>
      <c r="K665" s="1" t="str">
        <f>"قير 60/70 - فله"</f>
        <v>قير 60/70 - فله</v>
      </c>
      <c r="L665" s="1">
        <v>100</v>
      </c>
      <c r="M665" s="1" t="str">
        <f>"مخازن قير اصفهان"</f>
        <v>مخازن قير اصفهان</v>
      </c>
      <c r="N665" s="1">
        <v>9345</v>
      </c>
      <c r="O665" s="1">
        <v>50038770</v>
      </c>
      <c r="P665" s="1" t="str">
        <f>"  ثمين راه صفاهان"</f>
        <v xml:space="preserve">  ثمين راه صفاهان</v>
      </c>
      <c r="Q665" s="1">
        <v>62</v>
      </c>
      <c r="R665" s="1" t="str">
        <f>"فروش داخلي - سازمان بنيادمسكن انقلاب اسلامي"</f>
        <v>فروش داخلي - سازمان بنيادمسكن انقلاب اسلامي</v>
      </c>
      <c r="S665" s="1" t="str">
        <f>"قرارداد فروش"</f>
        <v>قرارداد فروش</v>
      </c>
      <c r="T665" s="1" t="str">
        <f>"ندارد"</f>
        <v>ندارد</v>
      </c>
      <c r="U665" s="1" t="str">
        <f>"سيفي پور عبدالمجيد(1009ج89)"</f>
        <v>سيفي پور عبدالمجيد(1009ج89)</v>
      </c>
      <c r="V665" s="1">
        <v>966200648</v>
      </c>
      <c r="W665" s="1">
        <v>966200648</v>
      </c>
      <c r="X665" s="1" t="str">
        <f>"1396552261"</f>
        <v>1396552261</v>
      </c>
      <c r="Y665" s="1" t="str">
        <f>"96/12/14"</f>
        <v>96/12/14</v>
      </c>
      <c r="Z665" s="1" t="str">
        <f>"56877/د"</f>
        <v>56877/د</v>
      </c>
      <c r="AA665" s="1" t="str">
        <f>"بنيادمسكن انقلاب اسلامي"</f>
        <v>بنيادمسكن انقلاب اسلامي</v>
      </c>
      <c r="AB665" s="1" t="str">
        <f>"96/12/14"</f>
        <v>96/12/14</v>
      </c>
      <c r="AC665" s="1" t="str">
        <f>"استان اصفهان"</f>
        <v>استان اصفهان</v>
      </c>
      <c r="AD665" s="1" t="str">
        <f>"96/12/14"</f>
        <v>96/12/14</v>
      </c>
      <c r="AE665" s="1" t="str">
        <f>"اختتام"</f>
        <v>اختتام</v>
      </c>
      <c r="AF665" s="1" t="str">
        <f>""</f>
        <v/>
      </c>
      <c r="AG665" s="1" t="str">
        <f>""</f>
        <v/>
      </c>
      <c r="AH665" s="1" t="str">
        <f>""</f>
        <v/>
      </c>
      <c r="AI665" s="1" t="str">
        <f>""</f>
        <v/>
      </c>
      <c r="AJ665" s="1" t="str">
        <f>""</f>
        <v/>
      </c>
      <c r="AK665" s="1" t="str">
        <f>""</f>
        <v/>
      </c>
    </row>
    <row r="666" spans="1:37">
      <c r="A666" s="1">
        <v>238000</v>
      </c>
      <c r="B666" s="1">
        <v>966200732</v>
      </c>
      <c r="C666" s="1" t="str">
        <f>"تخليه-ياسوج- پليس راه ياسوج اصفهان-کارخانه آسفالت زارع"</f>
        <v>تخليه-ياسوج- پليس راه ياسوج اصفهان-کارخانه آسفالت زارع</v>
      </c>
      <c r="D666" s="1">
        <v>13350</v>
      </c>
      <c r="E666" s="1">
        <v>238000</v>
      </c>
      <c r="F666" s="1">
        <v>96</v>
      </c>
      <c r="G666" s="1">
        <v>0</v>
      </c>
      <c r="H666" s="1" t="str">
        <f>"96/12/26"</f>
        <v>96/12/26</v>
      </c>
      <c r="I666" s="1" t="str">
        <f>"كيلوگرم"</f>
        <v>كيلوگرم</v>
      </c>
      <c r="J666" s="1" t="str">
        <f>"0000000076"</f>
        <v>0000000076</v>
      </c>
      <c r="K666" s="1" t="str">
        <f>"قير 60/70 - فله"</f>
        <v>قير 60/70 - فله</v>
      </c>
      <c r="L666" s="1">
        <v>100</v>
      </c>
      <c r="M666" s="1" t="str">
        <f>"مخازن قير اصفهان"</f>
        <v>مخازن قير اصفهان</v>
      </c>
      <c r="N666" s="1">
        <v>11045</v>
      </c>
      <c r="O666" s="1">
        <v>50039093</v>
      </c>
      <c r="P666" s="1" t="str">
        <f>"  شاه کوه مارگون"</f>
        <v xml:space="preserve">  شاه کوه مارگون</v>
      </c>
      <c r="Q666" s="1">
        <v>62</v>
      </c>
      <c r="R666" s="1" t="str">
        <f>"فروش داخلي - سازمان بنيادمسكن انقلاب اسلامي"</f>
        <v>فروش داخلي - سازمان بنيادمسكن انقلاب اسلامي</v>
      </c>
      <c r="S666" s="1" t="str">
        <f>"قرارداد فروش"</f>
        <v>قرارداد فروش</v>
      </c>
      <c r="T666" s="1" t="str">
        <f>"ندارد"</f>
        <v>ندارد</v>
      </c>
      <c r="U666" s="1" t="str">
        <f>"غلام نجفي سيامك‌‌‌‌‌‌(1881082)"</f>
        <v>غلام نجفي سيامك‌‌‌‌‌‌(1881082)</v>
      </c>
      <c r="V666" s="1">
        <v>966200732</v>
      </c>
      <c r="W666" s="1">
        <v>966200732</v>
      </c>
      <c r="X666" s="1" t="str">
        <f>"1396555392"</f>
        <v>1396555392</v>
      </c>
      <c r="Y666" s="1" t="str">
        <f>"96/12/26"</f>
        <v>96/12/26</v>
      </c>
      <c r="Z666" s="1" t="str">
        <f>"59441/د"</f>
        <v>59441/د</v>
      </c>
      <c r="AA666" s="1" t="str">
        <f>"بنيادمسكن انقلاب اسلامي"</f>
        <v>بنيادمسكن انقلاب اسلامي</v>
      </c>
      <c r="AB666" s="1" t="str">
        <f>"96/12/23"</f>
        <v>96/12/23</v>
      </c>
      <c r="AC666" s="1" t="str">
        <f>"كهكيلويه و بوير احمد"</f>
        <v>كهكيلويه و بوير احمد</v>
      </c>
      <c r="AD666" s="1" t="str">
        <f>"96/12/26"</f>
        <v>96/12/26</v>
      </c>
      <c r="AE666" s="1" t="str">
        <f>"اختتام"</f>
        <v>اختتام</v>
      </c>
      <c r="AF666" s="1" t="str">
        <f>""</f>
        <v/>
      </c>
      <c r="AG666" s="1" t="str">
        <f>""</f>
        <v/>
      </c>
      <c r="AH666" s="1" t="str">
        <f>""</f>
        <v/>
      </c>
      <c r="AI666" s="1" t="str">
        <f>""</f>
        <v/>
      </c>
      <c r="AJ666" s="1" t="str">
        <f>""</f>
        <v/>
      </c>
      <c r="AK666" s="1" t="str">
        <f>""</f>
        <v/>
      </c>
    </row>
    <row r="667" spans="1:37">
      <c r="A667" s="1">
        <v>600000</v>
      </c>
      <c r="B667" s="1">
        <v>966200115</v>
      </c>
      <c r="C667" s="1" t="str">
        <f>"تخليه - کهگيلويه و بويراحمد-ياسوج-پليس راه ياسوج اصفهان -کارخانه آسفالت داريوش جوکار"</f>
        <v>تخليه - کهگيلويه و بويراحمد-ياسوج-پليس راه ياسوج اصفهان -کارخانه آسفالت داريوش جوکار</v>
      </c>
      <c r="D667" s="1">
        <v>8704</v>
      </c>
      <c r="E667" s="1">
        <v>598420</v>
      </c>
      <c r="F667" s="1">
        <v>96</v>
      </c>
      <c r="G667" s="1">
        <v>1580</v>
      </c>
      <c r="H667" s="1" t="str">
        <f>"96/03/23"</f>
        <v>96/03/23</v>
      </c>
      <c r="I667" s="1" t="str">
        <f>"كيلوگرم"</f>
        <v>كيلوگرم</v>
      </c>
      <c r="J667" s="1" t="str">
        <f>"0000000076"</f>
        <v>0000000076</v>
      </c>
      <c r="K667" s="1" t="str">
        <f>"قير 60/70 - فله"</f>
        <v>قير 60/70 - فله</v>
      </c>
      <c r="L667" s="1">
        <v>100</v>
      </c>
      <c r="M667" s="1" t="str">
        <f>"مخازن قير اصفهان"</f>
        <v>مخازن قير اصفهان</v>
      </c>
      <c r="N667" s="1">
        <v>11046</v>
      </c>
      <c r="O667" s="1">
        <v>50034998</v>
      </c>
      <c r="P667" s="1" t="str">
        <f>"  آذين بام مشايخ"</f>
        <v xml:space="preserve">  آذين بام مشايخ</v>
      </c>
      <c r="Q667" s="1">
        <v>62</v>
      </c>
      <c r="R667" s="1" t="str">
        <f>"فروش داخلي - سازمان بنيادمسكن انقلاب اسلامي"</f>
        <v>فروش داخلي - سازمان بنيادمسكن انقلاب اسلامي</v>
      </c>
      <c r="S667" s="1" t="str">
        <f>"قرارداد فروش"</f>
        <v>قرارداد فروش</v>
      </c>
      <c r="T667" s="1" t="str">
        <f>"ندارد"</f>
        <v>ندارد</v>
      </c>
      <c r="U667" s="1" t="str">
        <f>"غلام نجفي سيامك‌‌‌‌‌‌(1881082)"</f>
        <v>غلام نجفي سيامك‌‌‌‌‌‌(1881082)</v>
      </c>
      <c r="V667" s="1">
        <v>966200115</v>
      </c>
      <c r="W667" s="1">
        <v>966200115</v>
      </c>
      <c r="X667" s="1" t="str">
        <f>"1396487417"</f>
        <v>1396487417</v>
      </c>
      <c r="Y667" s="1" t="str">
        <f>"96/03/23"</f>
        <v>96/03/23</v>
      </c>
      <c r="Z667" s="1" t="str">
        <f>"11011/د"</f>
        <v>11011/د</v>
      </c>
      <c r="AA667" s="1" t="str">
        <f>"بنيادمسكن انقلاب اسلامي"</f>
        <v>بنيادمسكن انقلاب اسلامي</v>
      </c>
      <c r="AB667" s="1" t="str">
        <f>"96/03/22"</f>
        <v>96/03/22</v>
      </c>
      <c r="AC667" s="1" t="str">
        <f>"كهكيلويه و بوير احمد"</f>
        <v>كهكيلويه و بوير احمد</v>
      </c>
      <c r="AD667" s="1" t="str">
        <f>"96/03/23"</f>
        <v>96/03/23</v>
      </c>
      <c r="AE667" s="1" t="str">
        <f>"اختتام"</f>
        <v>اختتام</v>
      </c>
      <c r="AF667" s="1" t="str">
        <f>""</f>
        <v/>
      </c>
      <c r="AG667" s="1" t="str">
        <f>""</f>
        <v/>
      </c>
      <c r="AH667" s="1" t="str">
        <f>""</f>
        <v/>
      </c>
      <c r="AI667" s="1" t="str">
        <f>""</f>
        <v/>
      </c>
      <c r="AJ667" s="1" t="str">
        <f>""</f>
        <v/>
      </c>
      <c r="AK667" s="1" t="str">
        <f>""</f>
        <v/>
      </c>
    </row>
    <row r="668" spans="1:37">
      <c r="A668" s="1">
        <v>200000</v>
      </c>
      <c r="B668" s="1">
        <v>966200723</v>
      </c>
      <c r="C668" s="1" t="str">
        <f>"تخليه-گچساران-روستاي ناصرآباد -کارخانه آسفالت روانگرد"</f>
        <v>تخليه-گچساران-روستاي ناصرآباد -کارخانه آسفالت روانگرد</v>
      </c>
      <c r="D668" s="1">
        <v>13350</v>
      </c>
      <c r="E668" s="1">
        <v>200000</v>
      </c>
      <c r="F668" s="1">
        <v>96</v>
      </c>
      <c r="G668" s="1">
        <v>0</v>
      </c>
      <c r="H668" s="1" t="str">
        <f>"96/12/26"</f>
        <v>96/12/26</v>
      </c>
      <c r="I668" s="1" t="str">
        <f>"كيلوگرم"</f>
        <v>كيلوگرم</v>
      </c>
      <c r="J668" s="1" t="str">
        <f>"0000000076"</f>
        <v>0000000076</v>
      </c>
      <c r="K668" s="1" t="str">
        <f>"قير 60/70 - فله"</f>
        <v>قير 60/70 - فله</v>
      </c>
      <c r="L668" s="1">
        <v>100</v>
      </c>
      <c r="M668" s="1" t="str">
        <f>"مخازن قير اصفهان"</f>
        <v>مخازن قير اصفهان</v>
      </c>
      <c r="N668" s="1">
        <v>11049</v>
      </c>
      <c r="O668" s="1">
        <v>50039083</v>
      </c>
      <c r="P668" s="1" t="str">
        <f>"  آرمان احداث کوهسار"</f>
        <v xml:space="preserve">  آرمان احداث کوهسار</v>
      </c>
      <c r="Q668" s="1">
        <v>62</v>
      </c>
      <c r="R668" s="1" t="str">
        <f>"فروش داخلي - سازمان بنيادمسكن انقلاب اسلامي"</f>
        <v>فروش داخلي - سازمان بنيادمسكن انقلاب اسلامي</v>
      </c>
      <c r="S668" s="1" t="str">
        <f>"قرارداد فروش"</f>
        <v>قرارداد فروش</v>
      </c>
      <c r="T668" s="1" t="str">
        <f>"ندارد"</f>
        <v>ندارد</v>
      </c>
      <c r="U668" s="1" t="str">
        <f>"غلام نجفي سيامك‌‌‌‌‌‌(1881082)"</f>
        <v>غلام نجفي سيامك‌‌‌‌‌‌(1881082)</v>
      </c>
      <c r="V668" s="1">
        <v>966200723</v>
      </c>
      <c r="W668" s="1">
        <v>966200723</v>
      </c>
      <c r="X668" s="1" t="str">
        <f>"1396555371"</f>
        <v>1396555371</v>
      </c>
      <c r="Y668" s="1" t="str">
        <f>"96/12/26"</f>
        <v>96/12/26</v>
      </c>
      <c r="Z668" s="1" t="str">
        <f>"59382/د"</f>
        <v>59382/د</v>
      </c>
      <c r="AA668" s="1" t="str">
        <f>"بنيادمسكن انقلاب اسلامي"</f>
        <v>بنيادمسكن انقلاب اسلامي</v>
      </c>
      <c r="AB668" s="1" t="str">
        <f>"96/12/23"</f>
        <v>96/12/23</v>
      </c>
      <c r="AC668" s="1" t="str">
        <f>"كهكيلويه و بوير احمد"</f>
        <v>كهكيلويه و بوير احمد</v>
      </c>
      <c r="AD668" s="1" t="str">
        <f>"96/12/26"</f>
        <v>96/12/26</v>
      </c>
      <c r="AE668" s="1" t="str">
        <f>"اختتام"</f>
        <v>اختتام</v>
      </c>
      <c r="AF668" s="1" t="str">
        <f>""</f>
        <v/>
      </c>
      <c r="AG668" s="1" t="str">
        <f>""</f>
        <v/>
      </c>
      <c r="AH668" s="1" t="str">
        <f>""</f>
        <v/>
      </c>
      <c r="AI668" s="1" t="str">
        <f>""</f>
        <v/>
      </c>
      <c r="AJ668" s="1" t="str">
        <f>""</f>
        <v/>
      </c>
      <c r="AK668" s="1" t="str">
        <f>""</f>
        <v/>
      </c>
    </row>
    <row r="669" spans="1:37">
      <c r="A669" s="1">
        <v>88000</v>
      </c>
      <c r="B669" s="1">
        <v>966200477</v>
      </c>
      <c r="C669" s="1" t="str">
        <f>"تخليه- گچساران-روستاي بابا کلان کارخانه آسفالت خادمي"</f>
        <v>تخليه- گچساران-روستاي بابا کلان کارخانه آسفالت خادمي</v>
      </c>
      <c r="D669" s="1">
        <v>12820</v>
      </c>
      <c r="E669" s="1">
        <v>86260</v>
      </c>
      <c r="F669" s="1">
        <v>96</v>
      </c>
      <c r="G669" s="1">
        <v>1740</v>
      </c>
      <c r="H669" s="1" t="str">
        <f>"96/09/27"</f>
        <v>96/09/27</v>
      </c>
      <c r="I669" s="1" t="str">
        <f>"كيلوگرم"</f>
        <v>كيلوگرم</v>
      </c>
      <c r="J669" s="1" t="str">
        <f>"0000000076"</f>
        <v>0000000076</v>
      </c>
      <c r="K669" s="1" t="str">
        <f>"قير 60/70 - فله"</f>
        <v>قير 60/70 - فله</v>
      </c>
      <c r="L669" s="1">
        <v>100</v>
      </c>
      <c r="M669" s="1" t="str">
        <f>"مخازن قير اصفهان"</f>
        <v>مخازن قير اصفهان</v>
      </c>
      <c r="N669" s="1">
        <v>11059</v>
      </c>
      <c r="O669" s="1">
        <v>50037922</v>
      </c>
      <c r="P669" s="1" t="str">
        <f>"  نگين گنبد زيدون"</f>
        <v xml:space="preserve">  نگين گنبد زيدون</v>
      </c>
      <c r="Q669" s="1">
        <v>62</v>
      </c>
      <c r="R669" s="1" t="str">
        <f>"فروش داخلي - سازمان بنيادمسكن انقلاب اسلامي"</f>
        <v>فروش داخلي - سازمان بنيادمسكن انقلاب اسلامي</v>
      </c>
      <c r="S669" s="1" t="str">
        <f>"قرارداد فروش"</f>
        <v>قرارداد فروش</v>
      </c>
      <c r="T669" s="1" t="str">
        <f>"ندارد"</f>
        <v>ندارد</v>
      </c>
      <c r="U669" s="1" t="str">
        <f>"غلام نجفي سيامك‌‌‌‌‌‌(1881082)"</f>
        <v>غلام نجفي سيامك‌‌‌‌‌‌(1881082)</v>
      </c>
      <c r="V669" s="1">
        <v>966200477</v>
      </c>
      <c r="W669" s="1">
        <v>966200477</v>
      </c>
      <c r="X669" s="1" t="str">
        <f>"1396533043"</f>
        <v>1396533043</v>
      </c>
      <c r="Y669" s="1" t="str">
        <f>"96/09/27"</f>
        <v>96/09/27</v>
      </c>
      <c r="Z669" s="1" t="str">
        <f>"42441/د"</f>
        <v>42441/د</v>
      </c>
      <c r="AA669" s="1" t="str">
        <f>"بنيادمسكن انقلاب اسلامي"</f>
        <v>بنيادمسكن انقلاب اسلامي</v>
      </c>
      <c r="AB669" s="1" t="str">
        <f>"96/09/26"</f>
        <v>96/09/26</v>
      </c>
      <c r="AC669" s="1" t="str">
        <f>"كهكيلويه و بوير احمد"</f>
        <v>كهكيلويه و بوير احمد</v>
      </c>
      <c r="AD669" s="1" t="str">
        <f>"96/09/27"</f>
        <v>96/09/27</v>
      </c>
      <c r="AE669" s="1" t="str">
        <f>"اختتام"</f>
        <v>اختتام</v>
      </c>
      <c r="AF669" s="1" t="str">
        <f>""</f>
        <v/>
      </c>
      <c r="AG669" s="1" t="str">
        <f>""</f>
        <v/>
      </c>
      <c r="AH669" s="1" t="str">
        <f>""</f>
        <v/>
      </c>
      <c r="AI669" s="1" t="str">
        <f>""</f>
        <v/>
      </c>
      <c r="AJ669" s="1" t="str">
        <f>""</f>
        <v/>
      </c>
      <c r="AK669" s="1" t="str">
        <f>""</f>
        <v/>
      </c>
    </row>
    <row r="670" spans="1:37">
      <c r="A670" s="1">
        <v>171000</v>
      </c>
      <c r="B670" s="1">
        <v>966200468</v>
      </c>
      <c r="C670" s="1" t="str">
        <f>"تخليه-گچساران-روستاي سعادت آباد-کارخانه آسفالت بهزادي"</f>
        <v>تخليه-گچساران-روستاي سعادت آباد-کارخانه آسفالت بهزادي</v>
      </c>
      <c r="D670" s="1">
        <v>12820</v>
      </c>
      <c r="E670" s="1">
        <v>168980</v>
      </c>
      <c r="F670" s="1">
        <v>96</v>
      </c>
      <c r="G670" s="1">
        <v>2020</v>
      </c>
      <c r="H670" s="1" t="str">
        <f>"96/09/27"</f>
        <v>96/09/27</v>
      </c>
      <c r="I670" s="1" t="str">
        <f>"كيلوگرم"</f>
        <v>كيلوگرم</v>
      </c>
      <c r="J670" s="1" t="str">
        <f>"0000000076"</f>
        <v>0000000076</v>
      </c>
      <c r="K670" s="1" t="str">
        <f>"قير 60/70 - فله"</f>
        <v>قير 60/70 - فله</v>
      </c>
      <c r="L670" s="1">
        <v>100</v>
      </c>
      <c r="M670" s="1" t="str">
        <f>"مخازن قير اصفهان"</f>
        <v>مخازن قير اصفهان</v>
      </c>
      <c r="N670" s="1">
        <v>11060</v>
      </c>
      <c r="O670" s="1">
        <v>50037912</v>
      </c>
      <c r="P670" s="1" t="str">
        <f>"  آتي سازان کهکشان"</f>
        <v xml:space="preserve">  آتي سازان کهکشان</v>
      </c>
      <c r="Q670" s="1">
        <v>62</v>
      </c>
      <c r="R670" s="1" t="str">
        <f>"فروش داخلي - سازمان بنيادمسكن انقلاب اسلامي"</f>
        <v>فروش داخلي - سازمان بنيادمسكن انقلاب اسلامي</v>
      </c>
      <c r="S670" s="1" t="str">
        <f>"قرارداد فروش"</f>
        <v>قرارداد فروش</v>
      </c>
      <c r="T670" s="1" t="str">
        <f>"ندارد"</f>
        <v>ندارد</v>
      </c>
      <c r="U670" s="1" t="str">
        <f>"غلام نجفي سيامك‌‌‌‌‌‌(1881082)"</f>
        <v>غلام نجفي سيامك‌‌‌‌‌‌(1881082)</v>
      </c>
      <c r="V670" s="1">
        <v>966200468</v>
      </c>
      <c r="W670" s="1">
        <v>966200468</v>
      </c>
      <c r="X670" s="1" t="str">
        <f>"1396533043"</f>
        <v>1396533043</v>
      </c>
      <c r="Y670" s="1" t="str">
        <f>"96/09/27"</f>
        <v>96/09/27</v>
      </c>
      <c r="Z670" s="1" t="str">
        <f>"42432/د"</f>
        <v>42432/د</v>
      </c>
      <c r="AA670" s="1" t="str">
        <f>"بنيادمسكن انقلاب اسلامي"</f>
        <v>بنيادمسكن انقلاب اسلامي</v>
      </c>
      <c r="AB670" s="1" t="str">
        <f>"96/09/26"</f>
        <v>96/09/26</v>
      </c>
      <c r="AC670" s="1" t="str">
        <f>"كهكيلويه و بوير احمد"</f>
        <v>كهكيلويه و بوير احمد</v>
      </c>
      <c r="AD670" s="1" t="str">
        <f>"96/09/27"</f>
        <v>96/09/27</v>
      </c>
      <c r="AE670" s="1" t="str">
        <f>"اختتام"</f>
        <v>اختتام</v>
      </c>
      <c r="AF670" s="1" t="str">
        <f>""</f>
        <v/>
      </c>
      <c r="AG670" s="1" t="str">
        <f>""</f>
        <v/>
      </c>
      <c r="AH670" s="1" t="str">
        <f>""</f>
        <v/>
      </c>
      <c r="AI670" s="1" t="str">
        <f>""</f>
        <v/>
      </c>
      <c r="AJ670" s="1" t="str">
        <f>""</f>
        <v/>
      </c>
      <c r="AK670" s="1" t="str">
        <f>""</f>
        <v/>
      </c>
    </row>
    <row r="671" spans="1:37">
      <c r="A671" s="1">
        <v>15000</v>
      </c>
      <c r="B671" s="1">
        <v>966200597</v>
      </c>
      <c r="C671" s="1" t="str">
        <f>"تخليه - کهگيلويه و بويراحمد-باشت-روستاي سرآبيز-کارخانه اسفالت حسيني"</f>
        <v>تخليه - کهگيلويه و بويراحمد-باشت-روستاي سرآبيز-کارخانه اسفالت حسيني</v>
      </c>
      <c r="D671" s="1">
        <v>13350</v>
      </c>
      <c r="E671" s="1">
        <v>13840</v>
      </c>
      <c r="F671" s="1">
        <v>96</v>
      </c>
      <c r="G671" s="1">
        <v>1160</v>
      </c>
      <c r="H671" s="1" t="str">
        <f>"96/12/09"</f>
        <v>96/12/09</v>
      </c>
      <c r="I671" s="1" t="str">
        <f>"كيلوگرم"</f>
        <v>كيلوگرم</v>
      </c>
      <c r="J671" s="1" t="str">
        <f>"0000000076"</f>
        <v>0000000076</v>
      </c>
      <c r="K671" s="1" t="str">
        <f>"قير 60/70 - فله"</f>
        <v>قير 60/70 - فله</v>
      </c>
      <c r="L671" s="1">
        <v>100</v>
      </c>
      <c r="M671" s="1" t="str">
        <f>"مخازن قير اصفهان"</f>
        <v>مخازن قير اصفهان</v>
      </c>
      <c r="N671" s="1">
        <v>11076</v>
      </c>
      <c r="O671" s="1">
        <v>50038656</v>
      </c>
      <c r="P671" s="1" t="str">
        <f>"  راه و ساختمان پيمان فتح جنوب"</f>
        <v xml:space="preserve">  راه و ساختمان پيمان فتح جنوب</v>
      </c>
      <c r="Q671" s="1">
        <v>62</v>
      </c>
      <c r="R671" s="1" t="str">
        <f>"فروش داخلي - سازمان بنيادمسكن انقلاب اسلامي"</f>
        <v>فروش داخلي - سازمان بنيادمسكن انقلاب اسلامي</v>
      </c>
      <c r="S671" s="1" t="str">
        <f>"قرارداد فروش"</f>
        <v>قرارداد فروش</v>
      </c>
      <c r="T671" s="1" t="str">
        <f>"ندارد"</f>
        <v>ندارد</v>
      </c>
      <c r="U671" s="1" t="str">
        <f>"غلام نجفي سيامك‌‌‌‌‌‌(1881082)"</f>
        <v>غلام نجفي سيامك‌‌‌‌‌‌(1881082)</v>
      </c>
      <c r="V671" s="1">
        <v>966200597</v>
      </c>
      <c r="W671" s="1">
        <v>966200597</v>
      </c>
      <c r="X671" s="1" t="str">
        <f>"1396551611"</f>
        <v>1396551611</v>
      </c>
      <c r="Y671" s="1" t="str">
        <f>"96/12/09"</f>
        <v>96/12/09</v>
      </c>
      <c r="Z671" s="1" t="str">
        <f>"55678/د"</f>
        <v>55678/د</v>
      </c>
      <c r="AA671" s="1" t="str">
        <f>"بنيادمسكن انقلاب اسلامي"</f>
        <v>بنيادمسكن انقلاب اسلامي</v>
      </c>
      <c r="AB671" s="1" t="str">
        <f>"96/12/08"</f>
        <v>96/12/08</v>
      </c>
      <c r="AC671" s="1" t="str">
        <f>"كهكيلويه و بوير احمد"</f>
        <v>كهكيلويه و بوير احمد</v>
      </c>
      <c r="AD671" s="1" t="str">
        <f>"96/12/09"</f>
        <v>96/12/09</v>
      </c>
      <c r="AE671" s="1" t="str">
        <f>"اختتام"</f>
        <v>اختتام</v>
      </c>
      <c r="AF671" s="1" t="str">
        <f>""</f>
        <v/>
      </c>
      <c r="AG671" s="1" t="str">
        <f>""</f>
        <v/>
      </c>
      <c r="AH671" s="1" t="str">
        <f>""</f>
        <v/>
      </c>
      <c r="AI671" s="1" t="str">
        <f>""</f>
        <v/>
      </c>
      <c r="AJ671" s="1" t="str">
        <f>""</f>
        <v/>
      </c>
      <c r="AK671" s="1" t="str">
        <f>""</f>
        <v/>
      </c>
    </row>
    <row r="672" spans="1:37">
      <c r="A672" s="1">
        <v>84000</v>
      </c>
      <c r="B672" s="1">
        <v>966200446</v>
      </c>
      <c r="C672" s="1" t="str">
        <f>"تخليه- ياسوج-روستاي دارشاهي-کارخانه آسفالت شکوهي"</f>
        <v>تخليه- ياسوج-روستاي دارشاهي-کارخانه آسفالت شکوهي</v>
      </c>
      <c r="D672" s="1">
        <v>12820</v>
      </c>
      <c r="E672" s="1">
        <v>84000</v>
      </c>
      <c r="F672" s="1">
        <v>96</v>
      </c>
      <c r="G672" s="1">
        <v>0</v>
      </c>
      <c r="H672" s="1" t="str">
        <f>"96/09/20"</f>
        <v>96/09/20</v>
      </c>
      <c r="I672" s="1" t="str">
        <f>"كيلوگرم"</f>
        <v>كيلوگرم</v>
      </c>
      <c r="J672" s="1" t="str">
        <f>"0000000076"</f>
        <v>0000000076</v>
      </c>
      <c r="K672" s="1" t="str">
        <f>"قير 60/70 - فله"</f>
        <v>قير 60/70 - فله</v>
      </c>
      <c r="L672" s="1">
        <v>100</v>
      </c>
      <c r="M672" s="1" t="str">
        <f>"مخازن قير اصفهان"</f>
        <v>مخازن قير اصفهان</v>
      </c>
      <c r="N672" s="1">
        <v>11077</v>
      </c>
      <c r="O672" s="1">
        <v>50037639</v>
      </c>
      <c r="P672" s="1" t="str">
        <f>"  امير سازه بوير"</f>
        <v xml:space="preserve">  امير سازه بوير</v>
      </c>
      <c r="Q672" s="1">
        <v>62</v>
      </c>
      <c r="R672" s="1" t="str">
        <f>"فروش داخلي - سازمان بنيادمسكن انقلاب اسلامي"</f>
        <v>فروش داخلي - سازمان بنيادمسكن انقلاب اسلامي</v>
      </c>
      <c r="S672" s="1" t="str">
        <f>"قرارداد فروش"</f>
        <v>قرارداد فروش</v>
      </c>
      <c r="T672" s="1" t="str">
        <f>"ندارد"</f>
        <v>ندارد</v>
      </c>
      <c r="U672" s="1" t="str">
        <f>"غلام نجفي سيامك‌‌‌‌‌‌(1881082)"</f>
        <v>غلام نجفي سيامك‌‌‌‌‌‌(1881082)</v>
      </c>
      <c r="V672" s="1">
        <v>966200446</v>
      </c>
      <c r="W672" s="1">
        <v>966200446</v>
      </c>
      <c r="X672" s="1" t="str">
        <f>"1396531357"</f>
        <v>1396531357</v>
      </c>
      <c r="Y672" s="1" t="str">
        <f>"96/09/20"</f>
        <v>96/09/20</v>
      </c>
      <c r="Z672" s="1" t="str">
        <f>"41346/د"</f>
        <v>41346/د</v>
      </c>
      <c r="AA672" s="1" t="str">
        <f>"بنيادمسكن انقلاب اسلامي"</f>
        <v>بنيادمسكن انقلاب اسلامي</v>
      </c>
      <c r="AB672" s="1" t="str">
        <f>"96/09/20"</f>
        <v>96/09/20</v>
      </c>
      <c r="AC672" s="1" t="str">
        <f>"كهكيلويه و بوير احمد"</f>
        <v>كهكيلويه و بوير احمد</v>
      </c>
      <c r="AD672" s="1" t="str">
        <f>"96/09/20"</f>
        <v>96/09/20</v>
      </c>
      <c r="AE672" s="1" t="str">
        <f>"اختتام"</f>
        <v>اختتام</v>
      </c>
      <c r="AF672" s="1" t="str">
        <f>""</f>
        <v/>
      </c>
      <c r="AG672" s="1" t="str">
        <f>""</f>
        <v/>
      </c>
      <c r="AH672" s="1" t="str">
        <f>""</f>
        <v/>
      </c>
      <c r="AI672" s="1" t="str">
        <f>""</f>
        <v/>
      </c>
      <c r="AJ672" s="1" t="str">
        <f>""</f>
        <v/>
      </c>
      <c r="AK672" s="1" t="str">
        <f>""</f>
        <v/>
      </c>
    </row>
    <row r="673" spans="1:37">
      <c r="A673" s="1">
        <v>33000</v>
      </c>
      <c r="B673" s="1">
        <v>966200461</v>
      </c>
      <c r="C673" s="1" t="str">
        <f>"تخليه- ياسوج-روستاي دارشاهي-کارخانه آسفالت شکوهي"</f>
        <v>تخليه- ياسوج-روستاي دارشاهي-کارخانه آسفالت شکوهي</v>
      </c>
      <c r="D673" s="1">
        <v>12820</v>
      </c>
      <c r="E673" s="1">
        <v>32120</v>
      </c>
      <c r="F673" s="1">
        <v>96</v>
      </c>
      <c r="G673" s="1">
        <v>880</v>
      </c>
      <c r="H673" s="1" t="str">
        <f>"96/09/27"</f>
        <v>96/09/27</v>
      </c>
      <c r="I673" s="1" t="str">
        <f>"كيلوگرم"</f>
        <v>كيلوگرم</v>
      </c>
      <c r="J673" s="1" t="str">
        <f>"0000000076"</f>
        <v>0000000076</v>
      </c>
      <c r="K673" s="1" t="str">
        <f>"قير 60/70 - فله"</f>
        <v>قير 60/70 - فله</v>
      </c>
      <c r="L673" s="1">
        <v>100</v>
      </c>
      <c r="M673" s="1" t="str">
        <f>"مخازن قير اصفهان"</f>
        <v>مخازن قير اصفهان</v>
      </c>
      <c r="N673" s="1">
        <v>11077</v>
      </c>
      <c r="O673" s="1">
        <v>50037901</v>
      </c>
      <c r="P673" s="1" t="str">
        <f>"  امير سازه بوير"</f>
        <v xml:space="preserve">  امير سازه بوير</v>
      </c>
      <c r="Q673" s="1">
        <v>62</v>
      </c>
      <c r="R673" s="1" t="str">
        <f>"فروش داخلي - سازمان بنيادمسكن انقلاب اسلامي"</f>
        <v>فروش داخلي - سازمان بنيادمسكن انقلاب اسلامي</v>
      </c>
      <c r="S673" s="1" t="str">
        <f>"قرارداد فروش"</f>
        <v>قرارداد فروش</v>
      </c>
      <c r="T673" s="1" t="str">
        <f>"ندارد"</f>
        <v>ندارد</v>
      </c>
      <c r="U673" s="1" t="str">
        <f>"غلام نجفي سيامك‌‌‌‌‌‌(1881082)"</f>
        <v>غلام نجفي سيامك‌‌‌‌‌‌(1881082)</v>
      </c>
      <c r="V673" s="1">
        <v>966200461</v>
      </c>
      <c r="W673" s="1">
        <v>966200461</v>
      </c>
      <c r="X673" s="1" t="str">
        <f>"1396533043"</f>
        <v>1396533043</v>
      </c>
      <c r="Y673" s="1" t="str">
        <f>"96/09/27"</f>
        <v>96/09/27</v>
      </c>
      <c r="Z673" s="1" t="str">
        <f>"42423/د"</f>
        <v>42423/د</v>
      </c>
      <c r="AA673" s="1" t="str">
        <f>"بنيادمسكن انقلاب اسلامي"</f>
        <v>بنيادمسكن انقلاب اسلامي</v>
      </c>
      <c r="AB673" s="1" t="str">
        <f>"96/09/26"</f>
        <v>96/09/26</v>
      </c>
      <c r="AC673" s="1" t="str">
        <f>"كهكيلويه و بوير احمد"</f>
        <v>كهكيلويه و بوير احمد</v>
      </c>
      <c r="AD673" s="1" t="str">
        <f>"96/09/27"</f>
        <v>96/09/27</v>
      </c>
      <c r="AE673" s="1" t="str">
        <f>"اختتام"</f>
        <v>اختتام</v>
      </c>
      <c r="AF673" s="1" t="str">
        <f>""</f>
        <v/>
      </c>
      <c r="AG673" s="1" t="str">
        <f>""</f>
        <v/>
      </c>
      <c r="AH673" s="1" t="str">
        <f>""</f>
        <v/>
      </c>
      <c r="AI673" s="1" t="str">
        <f>""</f>
        <v/>
      </c>
      <c r="AJ673" s="1" t="str">
        <f>""</f>
        <v/>
      </c>
      <c r="AK673" s="1" t="str">
        <f>""</f>
        <v/>
      </c>
    </row>
    <row r="674" spans="1:37">
      <c r="A674" s="1">
        <v>15000</v>
      </c>
      <c r="B674" s="1">
        <v>966200610</v>
      </c>
      <c r="C674" s="1" t="str">
        <f>"تخليه- ياسوج-روستاي دارشاهي-کارخانه آسفالت شکوهي"</f>
        <v>تخليه- ياسوج-روستاي دارشاهي-کارخانه آسفالت شکوهي</v>
      </c>
      <c r="D674" s="1">
        <v>13350</v>
      </c>
      <c r="E674" s="1">
        <v>15000</v>
      </c>
      <c r="F674" s="1">
        <v>96</v>
      </c>
      <c r="G674" s="1">
        <v>0</v>
      </c>
      <c r="H674" s="1" t="str">
        <f>"96/12/09"</f>
        <v>96/12/09</v>
      </c>
      <c r="I674" s="1" t="str">
        <f>"كيلوگرم"</f>
        <v>كيلوگرم</v>
      </c>
      <c r="J674" s="1" t="str">
        <f>"0000000076"</f>
        <v>0000000076</v>
      </c>
      <c r="K674" s="1" t="str">
        <f>"قير 60/70 - فله"</f>
        <v>قير 60/70 - فله</v>
      </c>
      <c r="L674" s="1">
        <v>100</v>
      </c>
      <c r="M674" s="1" t="str">
        <f>"مخازن قير اصفهان"</f>
        <v>مخازن قير اصفهان</v>
      </c>
      <c r="N674" s="1">
        <v>11077</v>
      </c>
      <c r="O674" s="1">
        <v>50038669</v>
      </c>
      <c r="P674" s="1" t="str">
        <f>"  امير سازه بوير"</f>
        <v xml:space="preserve">  امير سازه بوير</v>
      </c>
      <c r="Q674" s="1">
        <v>62</v>
      </c>
      <c r="R674" s="1" t="str">
        <f>"فروش داخلي - سازمان بنيادمسكن انقلاب اسلامي"</f>
        <v>فروش داخلي - سازمان بنيادمسكن انقلاب اسلامي</v>
      </c>
      <c r="S674" s="1" t="str">
        <f>"قرارداد فروش"</f>
        <v>قرارداد فروش</v>
      </c>
      <c r="T674" s="1" t="str">
        <f>"ندارد"</f>
        <v>ندارد</v>
      </c>
      <c r="U674" s="1" t="str">
        <f>"غلام نجفي سيامك‌‌‌‌‌‌(1881082)"</f>
        <v>غلام نجفي سيامك‌‌‌‌‌‌(1881082)</v>
      </c>
      <c r="V674" s="1">
        <v>966200610</v>
      </c>
      <c r="W674" s="1">
        <v>966200610</v>
      </c>
      <c r="X674" s="1" t="str">
        <f>"1396551611"</f>
        <v>1396551611</v>
      </c>
      <c r="Y674" s="1" t="str">
        <f>"96/12/09"</f>
        <v>96/12/09</v>
      </c>
      <c r="Z674" s="1" t="str">
        <f>"55768/د"</f>
        <v>55768/د</v>
      </c>
      <c r="AA674" s="1" t="str">
        <f>"بنيادمسكن انقلاب اسلامي"</f>
        <v>بنيادمسكن انقلاب اسلامي</v>
      </c>
      <c r="AB674" s="1" t="str">
        <f>"96/12/08"</f>
        <v>96/12/08</v>
      </c>
      <c r="AC674" s="1" t="str">
        <f>"كهكيلويه و بوير احمد"</f>
        <v>كهكيلويه و بوير احمد</v>
      </c>
      <c r="AD674" s="1" t="str">
        <f>"96/12/09"</f>
        <v>96/12/09</v>
      </c>
      <c r="AE674" s="1" t="str">
        <f>"اختتام"</f>
        <v>اختتام</v>
      </c>
      <c r="AF674" s="1" t="str">
        <f>""</f>
        <v/>
      </c>
      <c r="AG674" s="1" t="str">
        <f>""</f>
        <v/>
      </c>
      <c r="AH674" s="1" t="str">
        <f>""</f>
        <v/>
      </c>
      <c r="AI674" s="1" t="str">
        <f>""</f>
        <v/>
      </c>
      <c r="AJ674" s="1" t="str">
        <f>""</f>
        <v/>
      </c>
      <c r="AK674" s="1" t="str">
        <f>""</f>
        <v/>
      </c>
    </row>
    <row r="675" spans="1:37">
      <c r="A675" s="1">
        <v>156000</v>
      </c>
      <c r="B675" s="1">
        <v>966200079</v>
      </c>
      <c r="C675" s="1" t="str">
        <f>"تخليه - لرستان - اليگودرز - شهرک صنعتي سنگ -استحكام بتن خرمي"</f>
        <v>تخليه - لرستان - اليگودرز - شهرک صنعتي سنگ -استحكام بتن خرمي</v>
      </c>
      <c r="D675" s="1">
        <v>8918</v>
      </c>
      <c r="E675" s="1">
        <v>156000</v>
      </c>
      <c r="F675" s="1">
        <v>96</v>
      </c>
      <c r="G675" s="1">
        <v>0</v>
      </c>
      <c r="H675" s="1" t="str">
        <f>"96/02/26"</f>
        <v>96/02/26</v>
      </c>
      <c r="I675" s="1" t="str">
        <f>"كيلوگرم"</f>
        <v>كيلوگرم</v>
      </c>
      <c r="J675" s="1" t="str">
        <f>"0000000076"</f>
        <v>0000000076</v>
      </c>
      <c r="K675" s="1" t="str">
        <f>"قير 60/70 - فله"</f>
        <v>قير 60/70 - فله</v>
      </c>
      <c r="L675" s="1">
        <v>100</v>
      </c>
      <c r="M675" s="1" t="str">
        <f>"مخازن قير اصفهان"</f>
        <v>مخازن قير اصفهان</v>
      </c>
      <c r="N675" s="1">
        <v>11081</v>
      </c>
      <c r="O675" s="1">
        <v>50034846</v>
      </c>
      <c r="P675" s="1" t="str">
        <f>"  استحكام بتون خرمي"</f>
        <v xml:space="preserve">  استحكام بتون خرمي</v>
      </c>
      <c r="Q675" s="1">
        <v>62</v>
      </c>
      <c r="R675" s="1" t="str">
        <f>"فروش داخلي - سازمان بنيادمسكن انقلاب اسلامي"</f>
        <v>فروش داخلي - سازمان بنيادمسكن انقلاب اسلامي</v>
      </c>
      <c r="S675" s="1" t="str">
        <f>"قرارداد فروش"</f>
        <v>قرارداد فروش</v>
      </c>
      <c r="T675" s="1" t="str">
        <f>"ندارد"</f>
        <v>ندارد</v>
      </c>
      <c r="U675" s="1" t="str">
        <f>"عظيمي محمد(2842015)"</f>
        <v>عظيمي محمد(2842015)</v>
      </c>
      <c r="V675" s="1">
        <v>966200079</v>
      </c>
      <c r="W675" s="1">
        <v>966200079</v>
      </c>
      <c r="X675" s="1" t="str">
        <f>"1396481180"</f>
        <v>1396481180</v>
      </c>
      <c r="Y675" s="1" t="str">
        <f>"96/02/26"</f>
        <v>96/02/26</v>
      </c>
      <c r="Z675" s="1" t="str">
        <f>"6827/د"</f>
        <v>6827/د</v>
      </c>
      <c r="AA675" s="1" t="str">
        <f>"بنيادمسكن انقلاب اسلامي"</f>
        <v>بنيادمسكن انقلاب اسلامي</v>
      </c>
      <c r="AB675" s="1" t="str">
        <f>"96/02/25"</f>
        <v>96/02/25</v>
      </c>
      <c r="AC675" s="1" t="str">
        <f>"لرستان"</f>
        <v>لرستان</v>
      </c>
      <c r="AD675" s="1" t="str">
        <f>"96/02/26"</f>
        <v>96/02/26</v>
      </c>
      <c r="AE675" s="1" t="str">
        <f>"اختتام"</f>
        <v>اختتام</v>
      </c>
      <c r="AF675" s="1" t="str">
        <f>""</f>
        <v/>
      </c>
      <c r="AG675" s="1" t="str">
        <f>""</f>
        <v/>
      </c>
      <c r="AH675" s="1" t="str">
        <f>""</f>
        <v/>
      </c>
      <c r="AI675" s="1" t="str">
        <f>""</f>
        <v/>
      </c>
      <c r="AJ675" s="1" t="str">
        <f>""</f>
        <v/>
      </c>
      <c r="AK675" s="1" t="str">
        <f>""</f>
        <v/>
      </c>
    </row>
    <row r="676" spans="1:37">
      <c r="A676" s="1">
        <v>365000</v>
      </c>
      <c r="B676" s="1">
        <v>966200394</v>
      </c>
      <c r="C676" s="1" t="str">
        <f>"تخليه - لرستان - اليگودرز - شهرک صنعتي سنگ -استحكام بتن خرمي"</f>
        <v>تخليه - لرستان - اليگودرز - شهرک صنعتي سنگ -استحكام بتن خرمي</v>
      </c>
      <c r="D676" s="1">
        <v>12820</v>
      </c>
      <c r="E676" s="1">
        <v>362640</v>
      </c>
      <c r="F676" s="1">
        <v>96</v>
      </c>
      <c r="G676" s="1">
        <v>2360</v>
      </c>
      <c r="H676" s="1" t="str">
        <f>"96/09/08"</f>
        <v>96/09/08</v>
      </c>
      <c r="I676" s="1" t="str">
        <f>"كيلوگرم"</f>
        <v>كيلوگرم</v>
      </c>
      <c r="J676" s="1" t="str">
        <f>"0000000076"</f>
        <v>0000000076</v>
      </c>
      <c r="K676" s="1" t="str">
        <f>"قير 60/70 - فله"</f>
        <v>قير 60/70 - فله</v>
      </c>
      <c r="L676" s="1">
        <v>100</v>
      </c>
      <c r="M676" s="1" t="str">
        <f>"مخازن قير اصفهان"</f>
        <v>مخازن قير اصفهان</v>
      </c>
      <c r="N676" s="1">
        <v>11081</v>
      </c>
      <c r="O676" s="1">
        <v>50037348</v>
      </c>
      <c r="P676" s="1" t="str">
        <f>"  استحكام بتون خرمي"</f>
        <v xml:space="preserve">  استحكام بتون خرمي</v>
      </c>
      <c r="Q676" s="1">
        <v>62</v>
      </c>
      <c r="R676" s="1" t="str">
        <f>"فروش داخلي - سازمان بنيادمسكن انقلاب اسلامي"</f>
        <v>فروش داخلي - سازمان بنيادمسكن انقلاب اسلامي</v>
      </c>
      <c r="S676" s="1" t="str">
        <f>"قرارداد فروش"</f>
        <v>قرارداد فروش</v>
      </c>
      <c r="T676" s="1" t="str">
        <f>"ندارد"</f>
        <v>ندارد</v>
      </c>
      <c r="U676" s="1" t="str">
        <f>"عظيمي محمد(2842015)"</f>
        <v>عظيمي محمد(2842015)</v>
      </c>
      <c r="V676" s="1">
        <v>966200394</v>
      </c>
      <c r="W676" s="1">
        <v>966200394</v>
      </c>
      <c r="X676" s="1" t="str">
        <f>"1396529172"</f>
        <v>1396529172</v>
      </c>
      <c r="Y676" s="1" t="str">
        <f>"96/09/08"</f>
        <v>96/09/08</v>
      </c>
      <c r="Z676" s="1" t="str">
        <f>"37708/د"</f>
        <v>37708/د</v>
      </c>
      <c r="AA676" s="1" t="str">
        <f>"بنيادمسكن انقلاب اسلامي"</f>
        <v>بنيادمسكن انقلاب اسلامي</v>
      </c>
      <c r="AB676" s="1" t="str">
        <f>"96/08/22"</f>
        <v>96/08/22</v>
      </c>
      <c r="AC676" s="1" t="str">
        <f>"لرستان"</f>
        <v>لرستان</v>
      </c>
      <c r="AD676" s="1" t="str">
        <f>"96/09/08"</f>
        <v>96/09/08</v>
      </c>
      <c r="AE676" s="1" t="str">
        <f>"اختتام"</f>
        <v>اختتام</v>
      </c>
      <c r="AF676" s="1" t="str">
        <f>""</f>
        <v/>
      </c>
      <c r="AG676" s="1" t="str">
        <f>""</f>
        <v/>
      </c>
      <c r="AH676" s="1" t="str">
        <f>""</f>
        <v/>
      </c>
      <c r="AI676" s="1" t="str">
        <f>""</f>
        <v/>
      </c>
      <c r="AJ676" s="1" t="str">
        <f>""</f>
        <v/>
      </c>
      <c r="AK676" s="1" t="str">
        <f>""</f>
        <v/>
      </c>
    </row>
    <row r="677" spans="1:37">
      <c r="A677" s="1">
        <v>130000</v>
      </c>
      <c r="B677" s="1">
        <v>966200016</v>
      </c>
      <c r="C677" s="1" t="str">
        <f>"تخليه -اصفهان داران بلواردانشگاه خيابان شهرك صنعتي مجتمع توليدي جهاد"</f>
        <v>تخليه -اصفهان داران بلواردانشگاه خيابان شهرك صنعتي مجتمع توليدي جهاد</v>
      </c>
      <c r="D677" s="1">
        <v>8198</v>
      </c>
      <c r="E677" s="1">
        <v>127220</v>
      </c>
      <c r="F677" s="1">
        <v>96</v>
      </c>
      <c r="G677" s="1">
        <v>2780</v>
      </c>
      <c r="H677" s="1" t="str">
        <f>"96/01/21"</f>
        <v>96/01/21</v>
      </c>
      <c r="I677" s="1" t="str">
        <f>"كيلوگرم"</f>
        <v>كيلوگرم</v>
      </c>
      <c r="J677" s="1" t="str">
        <f>"0000000076"</f>
        <v>0000000076</v>
      </c>
      <c r="K677" s="1" t="str">
        <f>"قير 60/70 - فله"</f>
        <v>قير 60/70 - فله</v>
      </c>
      <c r="L677" s="1">
        <v>100</v>
      </c>
      <c r="M677" s="1" t="str">
        <f>"مخازن قير اصفهان"</f>
        <v>مخازن قير اصفهان</v>
      </c>
      <c r="N677" s="1">
        <v>11082</v>
      </c>
      <c r="O677" s="1">
        <v>50034478</v>
      </c>
      <c r="P677" s="1" t="str">
        <f>"  پارسيان كاني پاسارگاد"</f>
        <v xml:space="preserve">  پارسيان كاني پاسارگاد</v>
      </c>
      <c r="Q677" s="1">
        <v>62</v>
      </c>
      <c r="R677" s="1" t="str">
        <f>"فروش داخلي - سازمان بنيادمسكن انقلاب اسلامي"</f>
        <v>فروش داخلي - سازمان بنيادمسكن انقلاب اسلامي</v>
      </c>
      <c r="S677" s="1" t="str">
        <f>"قرارداد فروش"</f>
        <v>قرارداد فروش</v>
      </c>
      <c r="T677" s="1" t="str">
        <f>"ندارد"</f>
        <v>ندارد</v>
      </c>
      <c r="U677" s="1" t="str">
        <f>"مرادي نجاتعلي(1020ج89)"</f>
        <v>مرادي نجاتعلي(1020ج89)</v>
      </c>
      <c r="V677" s="1">
        <v>966200016</v>
      </c>
      <c r="W677" s="1">
        <v>966200016</v>
      </c>
      <c r="X677" s="1" t="str">
        <f>"1396472723"</f>
        <v>1396472723</v>
      </c>
      <c r="Y677" s="1" t="str">
        <f>"96/01/21"</f>
        <v>96/01/21</v>
      </c>
      <c r="Z677" s="1" t="str">
        <f>"987/د"</f>
        <v>987/د</v>
      </c>
      <c r="AA677" s="1" t="str">
        <f>"بنيادمسكن انقلاب اسلامي"</f>
        <v>بنيادمسكن انقلاب اسلامي</v>
      </c>
      <c r="AB677" s="1" t="str">
        <f>"96/01/19"</f>
        <v>96/01/19</v>
      </c>
      <c r="AC677" s="1" t="str">
        <f>"استان اصفهان"</f>
        <v>استان اصفهان</v>
      </c>
      <c r="AD677" s="1" t="str">
        <f>"96/01/20"</f>
        <v>96/01/20</v>
      </c>
      <c r="AE677" s="1" t="str">
        <f>"اختتام"</f>
        <v>اختتام</v>
      </c>
      <c r="AF677" s="1" t="str">
        <f>""</f>
        <v/>
      </c>
      <c r="AG677" s="1" t="str">
        <f>""</f>
        <v/>
      </c>
      <c r="AH677" s="1" t="str">
        <f>""</f>
        <v/>
      </c>
      <c r="AI677" s="1" t="str">
        <f>""</f>
        <v/>
      </c>
      <c r="AJ677" s="1" t="str">
        <f>""</f>
        <v/>
      </c>
      <c r="AK677" s="1" t="str">
        <f>""</f>
        <v/>
      </c>
    </row>
    <row r="678" spans="1:37">
      <c r="A678" s="1">
        <v>49000</v>
      </c>
      <c r="B678" s="1">
        <v>966300030</v>
      </c>
      <c r="C678" s="1" t="str">
        <f>"تخليه اصفهان اشترجان شهرك صنعتي اشترجان كارخانه آسفالت راه آژند-محمدعلي كمالي"</f>
        <v>تخليه اصفهان اشترجان شهرك صنعتي اشترجان كارخانه آسفالت راه آژند-محمدعلي كمالي</v>
      </c>
      <c r="D678" s="1">
        <v>12820</v>
      </c>
      <c r="E678" s="1">
        <v>48600</v>
      </c>
      <c r="F678" s="1">
        <v>96</v>
      </c>
      <c r="G678" s="1">
        <v>400</v>
      </c>
      <c r="H678" s="1" t="str">
        <f>"96/09/12"</f>
        <v>96/09/12</v>
      </c>
      <c r="I678" s="1" t="str">
        <f>"كيلوگرم"</f>
        <v>كيلوگرم</v>
      </c>
      <c r="J678" s="1" t="str">
        <f>"0000000076"</f>
        <v>0000000076</v>
      </c>
      <c r="K678" s="1" t="str">
        <f>"قير 60/70 - فله"</f>
        <v>قير 60/70 - فله</v>
      </c>
      <c r="L678" s="1">
        <v>100</v>
      </c>
      <c r="M678" s="1" t="str">
        <f>"مخازن قير اصفهان"</f>
        <v>مخازن قير اصفهان</v>
      </c>
      <c r="N678" s="1">
        <v>11098</v>
      </c>
      <c r="O678" s="1">
        <v>50037415</v>
      </c>
      <c r="P678" s="1" t="str">
        <f>"  اداره كل نوسازي توسعه وتجهيزمدارس استان اصفهان"</f>
        <v xml:space="preserve">  اداره كل نوسازي توسعه وتجهيزمدارس استان اصفهان</v>
      </c>
      <c r="Q678" s="1">
        <v>63</v>
      </c>
      <c r="R678" s="1" t="str">
        <f>"سازمان نوسازي،توسعه و تجهيز مدارس كشور"</f>
        <v>سازمان نوسازي،توسعه و تجهيز مدارس كشور</v>
      </c>
      <c r="S678" s="1" t="str">
        <f>"قرارداد فروش"</f>
        <v>قرارداد فروش</v>
      </c>
      <c r="T678" s="1" t="str">
        <f>"ندارد"</f>
        <v>ندارد</v>
      </c>
      <c r="U678" s="1" t="str">
        <f>"سيفي پور عبدالمجيد(1009ج89)"</f>
        <v>سيفي پور عبدالمجيد(1009ج89)</v>
      </c>
      <c r="V678" s="1">
        <v>966300030</v>
      </c>
      <c r="W678" s="1">
        <v>966300030</v>
      </c>
      <c r="X678" s="1" t="str">
        <f>"1396529404"</f>
        <v>1396529404</v>
      </c>
      <c r="Y678" s="1" t="str">
        <f>"96/09/12"</f>
        <v>96/09/12</v>
      </c>
      <c r="Z678" s="1" t="str">
        <f>"3-96/424-23318"</f>
        <v>3-96/424-23318</v>
      </c>
      <c r="AA678" s="1" t="str">
        <f>"سازمان نوسازي توسعه وتجهيزمدارس كشور"</f>
        <v>سازمان نوسازي توسعه وتجهيزمدارس كشور</v>
      </c>
      <c r="AB678" s="1" t="str">
        <f>"96/09/07"</f>
        <v>96/09/07</v>
      </c>
      <c r="AC678" s="1" t="str">
        <f>"استان اصفهان"</f>
        <v>استان اصفهان</v>
      </c>
      <c r="AD678" s="1" t="str">
        <f>"96/09/11"</f>
        <v>96/09/11</v>
      </c>
      <c r="AE678" s="1" t="str">
        <f>"اختتام"</f>
        <v>اختتام</v>
      </c>
      <c r="AF678" s="1" t="str">
        <f>""</f>
        <v/>
      </c>
      <c r="AG678" s="1" t="str">
        <f>""</f>
        <v/>
      </c>
      <c r="AH678" s="1" t="str">
        <f>""</f>
        <v/>
      </c>
      <c r="AI678" s="1" t="str">
        <f>""</f>
        <v/>
      </c>
      <c r="AJ678" s="1" t="str">
        <f>""</f>
        <v/>
      </c>
      <c r="AK678" s="1" t="str">
        <f>""</f>
        <v/>
      </c>
    </row>
    <row r="679" spans="1:37">
      <c r="A679" s="1">
        <v>35000</v>
      </c>
      <c r="B679" s="1">
        <v>966300032</v>
      </c>
      <c r="C679" s="1" t="str">
        <f>"تخليه اصفهان اشترجان شهرك صنعتي اشترجان شركت بناراه شمس كارخانه آسفالت راه آژند"</f>
        <v>تخليه اصفهان اشترجان شهرك صنعتي اشترجان شركت بناراه شمس كارخانه آسفالت راه آژند</v>
      </c>
      <c r="D679" s="1">
        <v>12820</v>
      </c>
      <c r="E679" s="1">
        <v>34240</v>
      </c>
      <c r="F679" s="1">
        <v>96</v>
      </c>
      <c r="G679" s="1">
        <v>760</v>
      </c>
      <c r="H679" s="1" t="str">
        <f>"96/09/12"</f>
        <v>96/09/12</v>
      </c>
      <c r="I679" s="1" t="str">
        <f>"كيلوگرم"</f>
        <v>كيلوگرم</v>
      </c>
      <c r="J679" s="1" t="str">
        <f>"0000000076"</f>
        <v>0000000076</v>
      </c>
      <c r="K679" s="1" t="str">
        <f>"قير 60/70 - فله"</f>
        <v>قير 60/70 - فله</v>
      </c>
      <c r="L679" s="1">
        <v>100</v>
      </c>
      <c r="M679" s="1" t="str">
        <f>"مخازن قير اصفهان"</f>
        <v>مخازن قير اصفهان</v>
      </c>
      <c r="N679" s="1">
        <v>11098</v>
      </c>
      <c r="O679" s="1">
        <v>50037417</v>
      </c>
      <c r="P679" s="1" t="str">
        <f>"  اداره كل نوسازي توسعه وتجهيزمدارس استان اصفهان"</f>
        <v xml:space="preserve">  اداره كل نوسازي توسعه وتجهيزمدارس استان اصفهان</v>
      </c>
      <c r="Q679" s="1">
        <v>63</v>
      </c>
      <c r="R679" s="1" t="str">
        <f>"سازمان نوسازي،توسعه و تجهيز مدارس كشور"</f>
        <v>سازمان نوسازي،توسعه و تجهيز مدارس كشور</v>
      </c>
      <c r="S679" s="1" t="str">
        <f>"قرارداد فروش"</f>
        <v>قرارداد فروش</v>
      </c>
      <c r="T679" s="1" t="str">
        <f>"ندارد"</f>
        <v>ندارد</v>
      </c>
      <c r="U679" s="1" t="str">
        <f>"سيفي پور عبدالمجيد(1009ج89)"</f>
        <v>سيفي پور عبدالمجيد(1009ج89)</v>
      </c>
      <c r="V679" s="1">
        <v>966300032</v>
      </c>
      <c r="W679" s="1">
        <v>966300032</v>
      </c>
      <c r="X679" s="1" t="str">
        <f>"1396529404"</f>
        <v>1396529404</v>
      </c>
      <c r="Y679" s="1" t="str">
        <f>"96/09/12"</f>
        <v>96/09/12</v>
      </c>
      <c r="Z679" s="1" t="str">
        <f>"3-96/422-23266"</f>
        <v>3-96/422-23266</v>
      </c>
      <c r="AA679" s="1" t="str">
        <f>"سازمان نوسازي توسعه وتجهيزمدارس كشور"</f>
        <v>سازمان نوسازي توسعه وتجهيزمدارس كشور</v>
      </c>
      <c r="AB679" s="1" t="str">
        <f>"96/09/05"</f>
        <v>96/09/05</v>
      </c>
      <c r="AC679" s="1" t="str">
        <f>"استان اصفهان"</f>
        <v>استان اصفهان</v>
      </c>
      <c r="AD679" s="1" t="str">
        <f>"96/09/11"</f>
        <v>96/09/11</v>
      </c>
      <c r="AE679" s="1" t="str">
        <f>"اختتام"</f>
        <v>اختتام</v>
      </c>
      <c r="AF679" s="1" t="str">
        <f>""</f>
        <v/>
      </c>
      <c r="AG679" s="1" t="str">
        <f>""</f>
        <v/>
      </c>
      <c r="AH679" s="1" t="str">
        <f>""</f>
        <v/>
      </c>
      <c r="AI679" s="1" t="str">
        <f>""</f>
        <v/>
      </c>
      <c r="AJ679" s="1" t="str">
        <f>""</f>
        <v/>
      </c>
      <c r="AK679" s="1" t="str">
        <f>""</f>
        <v/>
      </c>
    </row>
    <row r="680" spans="1:37">
      <c r="A680" s="1">
        <v>42000</v>
      </c>
      <c r="B680" s="1">
        <v>966300042</v>
      </c>
      <c r="C680" s="1" t="str">
        <f>"تخليه اصفهان اشترجان شهرك صنعتي اشترجان كارخانه آسفالت راه آژند-محمدعلي كمالي"</f>
        <v>تخليه اصفهان اشترجان شهرك صنعتي اشترجان كارخانه آسفالت راه آژند-محمدعلي كمالي</v>
      </c>
      <c r="D680" s="1">
        <v>12820</v>
      </c>
      <c r="E680" s="1">
        <v>41920</v>
      </c>
      <c r="F680" s="1">
        <v>96</v>
      </c>
      <c r="G680" s="1">
        <v>80</v>
      </c>
      <c r="H680" s="1" t="str">
        <f>"96/09/26"</f>
        <v>96/09/26</v>
      </c>
      <c r="I680" s="1" t="str">
        <f>"كيلوگرم"</f>
        <v>كيلوگرم</v>
      </c>
      <c r="J680" s="1" t="str">
        <f>"0000000076"</f>
        <v>0000000076</v>
      </c>
      <c r="K680" s="1" t="str">
        <f>"قير 60/70 - فله"</f>
        <v>قير 60/70 - فله</v>
      </c>
      <c r="L680" s="1">
        <v>100</v>
      </c>
      <c r="M680" s="1" t="str">
        <f>"مخازن قير اصفهان"</f>
        <v>مخازن قير اصفهان</v>
      </c>
      <c r="N680" s="1">
        <v>11098</v>
      </c>
      <c r="O680" s="1">
        <v>50037887</v>
      </c>
      <c r="P680" s="1" t="str">
        <f>"  اداره كل نوسازي توسعه وتجهيزمدارس استان اصفهان"</f>
        <v xml:space="preserve">  اداره كل نوسازي توسعه وتجهيزمدارس استان اصفهان</v>
      </c>
      <c r="Q680" s="1">
        <v>63</v>
      </c>
      <c r="R680" s="1" t="str">
        <f>"سازمان نوسازي،توسعه و تجهيز مدارس كشور"</f>
        <v>سازمان نوسازي،توسعه و تجهيز مدارس كشور</v>
      </c>
      <c r="S680" s="1" t="str">
        <f>"قرارداد فروش"</f>
        <v>قرارداد فروش</v>
      </c>
      <c r="T680" s="1" t="str">
        <f>"ندارد"</f>
        <v>ندارد</v>
      </c>
      <c r="U680" s="1" t="str">
        <f>"سيفي پور عبدالمجيد(1009ج89)"</f>
        <v>سيفي پور عبدالمجيد(1009ج89)</v>
      </c>
      <c r="V680" s="1">
        <v>966300042</v>
      </c>
      <c r="W680" s="1">
        <v>966300042</v>
      </c>
      <c r="X680" s="1" t="str">
        <f>"1396532935"</f>
        <v>1396532935</v>
      </c>
      <c r="Y680" s="1" t="str">
        <f>"96/09/26"</f>
        <v>96/09/26</v>
      </c>
      <c r="Z680" s="1" t="str">
        <f>"3-96/424-24753"</f>
        <v>3-96/424-24753</v>
      </c>
      <c r="AA680" s="1" t="str">
        <f>"سازمان نوسازي توسعه وتجهيزمدارس كشور"</f>
        <v>سازمان نوسازي توسعه وتجهيزمدارس كشور</v>
      </c>
      <c r="AB680" s="1" t="str">
        <f>"96/09/21"</f>
        <v>96/09/21</v>
      </c>
      <c r="AC680" s="1" t="str">
        <f>"استان اصفهان"</f>
        <v>استان اصفهان</v>
      </c>
      <c r="AD680" s="1" t="str">
        <f>"96/09/26"</f>
        <v>96/09/26</v>
      </c>
      <c r="AE680" s="1" t="str">
        <f>"اختتام"</f>
        <v>اختتام</v>
      </c>
      <c r="AF680" s="1" t="str">
        <f>""</f>
        <v/>
      </c>
      <c r="AG680" s="1" t="str">
        <f>""</f>
        <v/>
      </c>
      <c r="AH680" s="1" t="str">
        <f>""</f>
        <v/>
      </c>
      <c r="AI680" s="1" t="str">
        <f>""</f>
        <v/>
      </c>
      <c r="AJ680" s="1" t="str">
        <f>""</f>
        <v/>
      </c>
      <c r="AK680" s="1" t="str">
        <f>""</f>
        <v/>
      </c>
    </row>
    <row r="681" spans="1:37">
      <c r="A681" s="1">
        <v>12000</v>
      </c>
      <c r="B681" s="1">
        <v>966300074</v>
      </c>
      <c r="C681" s="1" t="str">
        <f>"تخليه اصفهان خيابان زينبيه خ حبيب آبادخ شالباف شركت اوج بنا پايداركارخانه آسفالت مهدي"</f>
        <v>تخليه اصفهان خيابان زينبيه خ حبيب آبادخ شالباف شركت اوج بنا پايداركارخانه آسفالت مهدي</v>
      </c>
      <c r="D681" s="1">
        <v>13350</v>
      </c>
      <c r="E681" s="1">
        <v>11560</v>
      </c>
      <c r="F681" s="1">
        <v>96</v>
      </c>
      <c r="G681" s="1">
        <v>440</v>
      </c>
      <c r="H681" s="1" t="str">
        <f>"96/12/16"</f>
        <v>96/12/16</v>
      </c>
      <c r="I681" s="1" t="str">
        <f>"كيلوگرم"</f>
        <v>كيلوگرم</v>
      </c>
      <c r="J681" s="1" t="str">
        <f>"0000000076"</f>
        <v>0000000076</v>
      </c>
      <c r="K681" s="1" t="str">
        <f>"قير 60/70 - فله"</f>
        <v>قير 60/70 - فله</v>
      </c>
      <c r="L681" s="1">
        <v>100</v>
      </c>
      <c r="M681" s="1" t="str">
        <f>"مخازن قير اصفهان"</f>
        <v>مخازن قير اصفهان</v>
      </c>
      <c r="N681" s="1">
        <v>11098</v>
      </c>
      <c r="O681" s="1">
        <v>50038830</v>
      </c>
      <c r="P681" s="1" t="str">
        <f>"  اداره كل نوسازي توسعه وتجهيزمدارس استان اصفهان"</f>
        <v xml:space="preserve">  اداره كل نوسازي توسعه وتجهيزمدارس استان اصفهان</v>
      </c>
      <c r="Q681" s="1">
        <v>63</v>
      </c>
      <c r="R681" s="1" t="str">
        <f>"سازمان نوسازي،توسعه و تجهيز مدارس كشور"</f>
        <v>سازمان نوسازي،توسعه و تجهيز مدارس كشور</v>
      </c>
      <c r="S681" s="1" t="str">
        <f>"قرارداد فروش"</f>
        <v>قرارداد فروش</v>
      </c>
      <c r="T681" s="1" t="str">
        <f>"ندارد"</f>
        <v>ندارد</v>
      </c>
      <c r="U681" s="1" t="str">
        <f>"مرادي نجاتعلي(1020ج89)"</f>
        <v>مرادي نجاتعلي(1020ج89)</v>
      </c>
      <c r="V681" s="1">
        <v>966300074</v>
      </c>
      <c r="W681" s="1">
        <v>966300074</v>
      </c>
      <c r="X681" s="1" t="str">
        <f>"1396553446"</f>
        <v>1396553446</v>
      </c>
      <c r="Y681" s="1" t="str">
        <f>"96/12/16"</f>
        <v>96/12/16</v>
      </c>
      <c r="Z681" s="1" t="str">
        <f>"3-96/422-33516"</f>
        <v>3-96/422-33516</v>
      </c>
      <c r="AA681" s="1" t="str">
        <f>"سازمان نوسازي توسعه وتجهيزمدارس كشور"</f>
        <v>سازمان نوسازي توسعه وتجهيزمدارس كشور</v>
      </c>
      <c r="AB681" s="1" t="str">
        <f>"96/12/15"</f>
        <v>96/12/15</v>
      </c>
      <c r="AC681" s="1" t="str">
        <f>"استان اصفهان"</f>
        <v>استان اصفهان</v>
      </c>
      <c r="AD681" s="1" t="str">
        <f>"96/12/16"</f>
        <v>96/12/16</v>
      </c>
      <c r="AE681" s="1" t="str">
        <f>"اختتام"</f>
        <v>اختتام</v>
      </c>
      <c r="AF681" s="1" t="str">
        <f>""</f>
        <v/>
      </c>
      <c r="AG681" s="1" t="str">
        <f>""</f>
        <v/>
      </c>
      <c r="AH681" s="1" t="str">
        <f>""</f>
        <v/>
      </c>
      <c r="AI681" s="1" t="str">
        <f>""</f>
        <v/>
      </c>
      <c r="AJ681" s="1" t="str">
        <f>""</f>
        <v/>
      </c>
      <c r="AK681" s="1" t="str">
        <f>""</f>
        <v/>
      </c>
    </row>
    <row r="682" spans="1:37">
      <c r="A682" s="1">
        <v>45000</v>
      </c>
      <c r="B682" s="1">
        <v>966300076</v>
      </c>
      <c r="C682" s="1" t="str">
        <f>"تخليه اصفهان اشترجان  شهرك صنعتي اشترجان كارخانه آسفالت راه آژندشركت زرين بناي زاگرس"</f>
        <v>تخليه اصفهان اشترجان  شهرك صنعتي اشترجان كارخانه آسفالت راه آژندشركت زرين بناي زاگرس</v>
      </c>
      <c r="D682" s="1">
        <v>13350</v>
      </c>
      <c r="E682" s="1">
        <v>44160</v>
      </c>
      <c r="F682" s="1">
        <v>96</v>
      </c>
      <c r="G682" s="1">
        <v>840</v>
      </c>
      <c r="H682" s="1" t="str">
        <f>"96/12/20"</f>
        <v>96/12/20</v>
      </c>
      <c r="I682" s="1" t="str">
        <f>"كيلوگرم"</f>
        <v>كيلوگرم</v>
      </c>
      <c r="J682" s="1" t="str">
        <f>"0000000076"</f>
        <v>0000000076</v>
      </c>
      <c r="K682" s="1" t="str">
        <f>"قير 60/70 - فله"</f>
        <v>قير 60/70 - فله</v>
      </c>
      <c r="L682" s="1">
        <v>100</v>
      </c>
      <c r="M682" s="1" t="str">
        <f>"مخازن قير اصفهان"</f>
        <v>مخازن قير اصفهان</v>
      </c>
      <c r="N682" s="1">
        <v>11098</v>
      </c>
      <c r="O682" s="1">
        <v>50038873</v>
      </c>
      <c r="P682" s="1" t="str">
        <f>"  اداره كل نوسازي توسعه وتجهيزمدارس استان اصفهان"</f>
        <v xml:space="preserve">  اداره كل نوسازي توسعه وتجهيزمدارس استان اصفهان</v>
      </c>
      <c r="Q682" s="1">
        <v>63</v>
      </c>
      <c r="R682" s="1" t="str">
        <f>"سازمان نوسازي،توسعه و تجهيز مدارس كشور"</f>
        <v>سازمان نوسازي،توسعه و تجهيز مدارس كشور</v>
      </c>
      <c r="S682" s="1" t="str">
        <f>"قرارداد فروش"</f>
        <v>قرارداد فروش</v>
      </c>
      <c r="T682" s="1" t="str">
        <f>"ندارد"</f>
        <v>ندارد</v>
      </c>
      <c r="U682" s="1" t="str">
        <f>"سيفي پور عبدالمجيد(1009ج89)"</f>
        <v>سيفي پور عبدالمجيد(1009ج89)</v>
      </c>
      <c r="V682" s="1">
        <v>966300076</v>
      </c>
      <c r="W682" s="1">
        <v>966300076</v>
      </c>
      <c r="X682" s="1" t="str">
        <f>"1396553912"</f>
        <v>1396553912</v>
      </c>
      <c r="Y682" s="1" t="str">
        <f>"96/12/20"</f>
        <v>96/12/20</v>
      </c>
      <c r="Z682" s="1" t="str">
        <f>"3-96/422-33546"</f>
        <v>3-96/422-33546</v>
      </c>
      <c r="AA682" s="1" t="str">
        <f>"سازمان نوسازي توسعه وتجهيزمدارس كشور"</f>
        <v>سازمان نوسازي توسعه وتجهيزمدارس كشور</v>
      </c>
      <c r="AB682" s="1" t="str">
        <f>"96/12/15"</f>
        <v>96/12/15</v>
      </c>
      <c r="AC682" s="1" t="str">
        <f>"استان اصفهان"</f>
        <v>استان اصفهان</v>
      </c>
      <c r="AD682" s="1" t="str">
        <f>"96/12/20"</f>
        <v>96/12/20</v>
      </c>
      <c r="AE682" s="1" t="str">
        <f>"اختتام"</f>
        <v>اختتام</v>
      </c>
      <c r="AF682" s="1" t="str">
        <f>""</f>
        <v/>
      </c>
      <c r="AG682" s="1" t="str">
        <f>""</f>
        <v/>
      </c>
      <c r="AH682" s="1" t="str">
        <f>""</f>
        <v/>
      </c>
      <c r="AI682" s="1" t="str">
        <f>""</f>
        <v/>
      </c>
      <c r="AJ682" s="1" t="str">
        <f>""</f>
        <v/>
      </c>
      <c r="AK682" s="1" t="str">
        <f>""</f>
        <v/>
      </c>
    </row>
    <row r="683" spans="1:37">
      <c r="A683" s="1">
        <v>15000</v>
      </c>
      <c r="B683" s="1">
        <v>966300079</v>
      </c>
      <c r="C683" s="1" t="str">
        <f>"تخليه اصفهان منطقه صنعتي اشترجان خيابان 11شركت آرشيت عمران پارس كارخانه آسفالت راه آژند"</f>
        <v>تخليه اصفهان منطقه صنعتي اشترجان خيابان 11شركت آرشيت عمران پارس كارخانه آسفالت راه آژند</v>
      </c>
      <c r="D683" s="1">
        <v>13350</v>
      </c>
      <c r="E683" s="1">
        <v>15000</v>
      </c>
      <c r="F683" s="1">
        <v>96</v>
      </c>
      <c r="G683" s="1">
        <v>0</v>
      </c>
      <c r="H683" s="1" t="str">
        <f>"96/12/26"</f>
        <v>96/12/26</v>
      </c>
      <c r="I683" s="1" t="str">
        <f>"كيلوگرم"</f>
        <v>كيلوگرم</v>
      </c>
      <c r="J683" s="1" t="str">
        <f>"0000000076"</f>
        <v>0000000076</v>
      </c>
      <c r="K683" s="1" t="str">
        <f>"قير 60/70 - فله"</f>
        <v>قير 60/70 - فله</v>
      </c>
      <c r="L683" s="1">
        <v>100</v>
      </c>
      <c r="M683" s="1" t="str">
        <f>"مخازن قير اصفهان"</f>
        <v>مخازن قير اصفهان</v>
      </c>
      <c r="N683" s="1">
        <v>11098</v>
      </c>
      <c r="O683" s="1">
        <v>50039033</v>
      </c>
      <c r="P683" s="1" t="str">
        <f>"  اداره كل نوسازي توسعه وتجهيزمدارس استان اصفهان"</f>
        <v xml:space="preserve">  اداره كل نوسازي توسعه وتجهيزمدارس استان اصفهان</v>
      </c>
      <c r="Q683" s="1">
        <v>63</v>
      </c>
      <c r="R683" s="1" t="str">
        <f>"سازمان نوسازي،توسعه و تجهيز مدارس كشور"</f>
        <v>سازمان نوسازي،توسعه و تجهيز مدارس كشور</v>
      </c>
      <c r="S683" s="1" t="str">
        <f>"قرارداد فروش"</f>
        <v>قرارداد فروش</v>
      </c>
      <c r="T683" s="1" t="str">
        <f>"ندارد"</f>
        <v>ندارد</v>
      </c>
      <c r="U683" s="1" t="str">
        <f>"سيفي پور عبدالمجيد(1009ج89)"</f>
        <v>سيفي پور عبدالمجيد(1009ج89)</v>
      </c>
      <c r="V683" s="1">
        <v>966300079</v>
      </c>
      <c r="W683" s="1">
        <v>966300079</v>
      </c>
      <c r="X683" s="1" t="str">
        <f>"1396555236"</f>
        <v>1396555236</v>
      </c>
      <c r="Y683" s="1" t="str">
        <f>"96/12/26"</f>
        <v>96/12/26</v>
      </c>
      <c r="Z683" s="1" t="str">
        <f>"3-96/422-34090"</f>
        <v>3-96/422-34090</v>
      </c>
      <c r="AA683" s="1" t="str">
        <f>"سازمان نوسازي توسعه وتجهيزمدارس كشور"</f>
        <v>سازمان نوسازي توسعه وتجهيزمدارس كشور</v>
      </c>
      <c r="AB683" s="1" t="str">
        <f>"96/12/21"</f>
        <v>96/12/21</v>
      </c>
      <c r="AC683" s="1" t="str">
        <f>"استان اصفهان"</f>
        <v>استان اصفهان</v>
      </c>
      <c r="AD683" s="1" t="str">
        <f>"96/12/23"</f>
        <v>96/12/23</v>
      </c>
      <c r="AE683" s="1" t="str">
        <f>"اختتام"</f>
        <v>اختتام</v>
      </c>
      <c r="AF683" s="1" t="str">
        <f>""</f>
        <v/>
      </c>
      <c r="AG683" s="1" t="str">
        <f>""</f>
        <v/>
      </c>
      <c r="AH683" s="1" t="str">
        <f>""</f>
        <v/>
      </c>
      <c r="AI683" s="1" t="str">
        <f>""</f>
        <v/>
      </c>
      <c r="AJ683" s="1" t="str">
        <f>""</f>
        <v/>
      </c>
      <c r="AK683" s="1" t="str">
        <f>""</f>
        <v/>
      </c>
    </row>
    <row r="684" spans="1:37">
      <c r="A684" s="1">
        <v>130309</v>
      </c>
      <c r="B684" s="1">
        <v>962000128</v>
      </c>
      <c r="C684" s="1" t="str">
        <f>"تخليه -خراسان جنوبي -قاين اسفدن -شركت توس راديه"</f>
        <v>تخليه -خراسان جنوبي -قاين اسفدن -شركت توس راديه</v>
      </c>
      <c r="D684" s="1">
        <v>9113</v>
      </c>
      <c r="E684" s="1">
        <v>130309</v>
      </c>
      <c r="F684" s="1">
        <v>96</v>
      </c>
      <c r="G684" s="1">
        <v>0</v>
      </c>
      <c r="H684" s="1" t="str">
        <f>"96/07/03"</f>
        <v>96/07/03</v>
      </c>
      <c r="I684" s="1" t="str">
        <f>"كيلوگرم"</f>
        <v>كيلوگرم</v>
      </c>
      <c r="J684" s="1" t="str">
        <f>"0000000076"</f>
        <v>0000000076</v>
      </c>
      <c r="K684" s="1" t="str">
        <f>"قير 60/70 - فله"</f>
        <v>قير 60/70 - فله</v>
      </c>
      <c r="L684" s="1">
        <v>100</v>
      </c>
      <c r="M684" s="1" t="str">
        <f>"مخازن قير اصفهان"</f>
        <v>مخازن قير اصفهان</v>
      </c>
      <c r="N684" s="1">
        <v>7307</v>
      </c>
      <c r="O684" s="1">
        <v>50036313</v>
      </c>
      <c r="P684" s="1" t="str">
        <f>"  شهرداري اسفدن"</f>
        <v xml:space="preserve">  شهرداري اسفدن</v>
      </c>
      <c r="Q684" s="1">
        <v>20</v>
      </c>
      <c r="R684" s="1" t="str">
        <f>"فروش داخلي - سازمان شهرداري ها و دهياري هاي كشور"</f>
        <v>فروش داخلي - سازمان شهرداري ها و دهياري هاي كشور</v>
      </c>
      <c r="S684" s="1" t="str">
        <f>"قرارداد فروش"</f>
        <v>قرارداد فروش</v>
      </c>
      <c r="T684" s="1" t="str">
        <f>"ندارد"</f>
        <v>ندارد</v>
      </c>
      <c r="U684" s="1" t="str">
        <f>"تعاوني جم گستر (1001 ج 89)"</f>
        <v>تعاوني جم گستر (1001 ج 89)</v>
      </c>
      <c r="V684" s="1">
        <v>962000128</v>
      </c>
      <c r="W684" s="1">
        <v>962000128</v>
      </c>
      <c r="X684" s="1" t="str">
        <f>"1396514467"</f>
        <v>1396514467</v>
      </c>
      <c r="Y684" s="1" t="str">
        <f>"96/07/03"</f>
        <v>96/07/03</v>
      </c>
      <c r="Z684" s="1" t="str">
        <f>"26737مرحله اول"</f>
        <v>26737مرحله اول</v>
      </c>
      <c r="AA684" s="1" t="str">
        <f>"شهرداريها"</f>
        <v>شهرداريها</v>
      </c>
      <c r="AB684" s="1" t="str">
        <f>"96/06/29"</f>
        <v>96/06/29</v>
      </c>
      <c r="AC684" s="1" t="str">
        <f>"خراسان جنوبي"</f>
        <v>خراسان جنوبي</v>
      </c>
      <c r="AD684" s="1" t="str">
        <f>"96/07/03"</f>
        <v>96/07/03</v>
      </c>
      <c r="AE684" s="1" t="str">
        <f>"اختتام"</f>
        <v>اختتام</v>
      </c>
      <c r="AF684" s="1" t="str">
        <f>""</f>
        <v/>
      </c>
      <c r="AG684" s="1" t="str">
        <f>""</f>
        <v/>
      </c>
      <c r="AH684" s="1" t="str">
        <f>""</f>
        <v/>
      </c>
      <c r="AI684" s="1" t="str">
        <f>""</f>
        <v/>
      </c>
      <c r="AJ684" s="1" t="str">
        <f>""</f>
        <v/>
      </c>
      <c r="AK684" s="1" t="str">
        <f>""</f>
        <v/>
      </c>
    </row>
    <row r="685" spans="1:37">
      <c r="A685" s="1">
        <v>235000</v>
      </c>
      <c r="B685" s="1">
        <v>966200437</v>
      </c>
      <c r="C685" s="1" t="str">
        <f>"تخليه خراسان جنوبي بيرجندكيلومتر15جاده بيرجند-خوسف جنب كويرتايرابتداي جاده كات كارخانه آسفالت مسيرياب بيرجند"</f>
        <v>تخليه خراسان جنوبي بيرجندكيلومتر15جاده بيرجند-خوسف جنب كويرتايرابتداي جاده كات كارخانه آسفالت مسيرياب بيرجند</v>
      </c>
      <c r="D685" s="1">
        <v>12820</v>
      </c>
      <c r="E685" s="1">
        <v>235000</v>
      </c>
      <c r="F685" s="1">
        <v>96</v>
      </c>
      <c r="G685" s="1">
        <v>0</v>
      </c>
      <c r="H685" s="1" t="str">
        <f>"96/09/20"</f>
        <v>96/09/20</v>
      </c>
      <c r="I685" s="1" t="str">
        <f>"كيلوگرم"</f>
        <v>كيلوگرم</v>
      </c>
      <c r="J685" s="1" t="str">
        <f>"0000000076"</f>
        <v>0000000076</v>
      </c>
      <c r="K685" s="1" t="str">
        <f>"قير 60/70 - فله"</f>
        <v>قير 60/70 - فله</v>
      </c>
      <c r="L685" s="1">
        <v>100</v>
      </c>
      <c r="M685" s="1" t="str">
        <f>"مخازن قير اصفهان"</f>
        <v>مخازن قير اصفهان</v>
      </c>
      <c r="N685" s="1">
        <v>11109</v>
      </c>
      <c r="O685" s="1">
        <v>50037628</v>
      </c>
      <c r="P685" s="1" t="str">
        <f>"  راهسازي وساختمان مسيرياب بيرجند"</f>
        <v xml:space="preserve">  راهسازي وساختمان مسيرياب بيرجند</v>
      </c>
      <c r="Q685" s="1">
        <v>62</v>
      </c>
      <c r="R685" s="1" t="str">
        <f>"فروش داخلي - سازمان بنيادمسكن انقلاب اسلامي"</f>
        <v>فروش داخلي - سازمان بنيادمسكن انقلاب اسلامي</v>
      </c>
      <c r="S685" s="1" t="str">
        <f>"قرارداد فروش"</f>
        <v>قرارداد فروش</v>
      </c>
      <c r="T685" s="1" t="str">
        <f>"ندارد"</f>
        <v>ندارد</v>
      </c>
      <c r="U685" s="1" t="str">
        <f>"كاردان اسپادان راه مصطفي  (1911100)"</f>
        <v>كاردان اسپادان راه مصطفي  (1911100)</v>
      </c>
      <c r="V685" s="1">
        <v>966200437</v>
      </c>
      <c r="W685" s="1">
        <v>966200437</v>
      </c>
      <c r="X685" s="1" t="str">
        <f>"1396531357"</f>
        <v>1396531357</v>
      </c>
      <c r="Y685" s="1" t="str">
        <f>"96/09/20"</f>
        <v>96/09/20</v>
      </c>
      <c r="Z685" s="1" t="str">
        <f>"41352/د"</f>
        <v>41352/د</v>
      </c>
      <c r="AA685" s="1" t="str">
        <f>"بنيادمسكن انقلاب اسلامي"</f>
        <v>بنيادمسكن انقلاب اسلامي</v>
      </c>
      <c r="AB685" s="1" t="str">
        <f>"96/09/20"</f>
        <v>96/09/20</v>
      </c>
      <c r="AC685" s="1" t="str">
        <f>"خراسان جنوبي"</f>
        <v>خراسان جنوبي</v>
      </c>
      <c r="AD685" s="1" t="str">
        <f>"96/09/20"</f>
        <v>96/09/20</v>
      </c>
      <c r="AE685" s="1" t="str">
        <f>"اختتام"</f>
        <v>اختتام</v>
      </c>
      <c r="AF685" s="1" t="str">
        <f>""</f>
        <v/>
      </c>
      <c r="AG685" s="1" t="str">
        <f>""</f>
        <v/>
      </c>
      <c r="AH685" s="1" t="str">
        <f>""</f>
        <v/>
      </c>
      <c r="AI685" s="1" t="str">
        <f>""</f>
        <v/>
      </c>
      <c r="AJ685" s="1" t="str">
        <f>""</f>
        <v/>
      </c>
      <c r="AK685" s="1" t="str">
        <f>""</f>
        <v/>
      </c>
    </row>
    <row r="686" spans="1:37">
      <c r="A686" s="1">
        <v>174000</v>
      </c>
      <c r="B686" s="1">
        <v>966200533</v>
      </c>
      <c r="C686" s="1" t="str">
        <f>"تخليه-چهارمحال و بختياري- اردل- گندمکار-جنب تلمبه خانه شماره 6 شهيد جبار زارع- کارخانه آسفالت شرکت آزمون فلز پارس"</f>
        <v>تخليه-چهارمحال و بختياري- اردل- گندمکار-جنب تلمبه خانه شماره 6 شهيد جبار زارع- کارخانه آسفالت شرکت آزمون فلز پارس</v>
      </c>
      <c r="D686" s="1">
        <v>12850</v>
      </c>
      <c r="E686" s="1">
        <v>172660</v>
      </c>
      <c r="F686" s="1">
        <v>96</v>
      </c>
      <c r="G686" s="1">
        <v>1340</v>
      </c>
      <c r="H686" s="1" t="str">
        <f>"96/10/25"</f>
        <v>96/10/25</v>
      </c>
      <c r="I686" s="1" t="str">
        <f>"كيلوگرم"</f>
        <v>كيلوگرم</v>
      </c>
      <c r="J686" s="1" t="str">
        <f>"0000000076"</f>
        <v>0000000076</v>
      </c>
      <c r="K686" s="1" t="str">
        <f>"قير 60/70 - فله"</f>
        <v>قير 60/70 - فله</v>
      </c>
      <c r="L686" s="1">
        <v>100</v>
      </c>
      <c r="M686" s="1" t="str">
        <f>"مخازن قير اصفهان"</f>
        <v>مخازن قير اصفهان</v>
      </c>
      <c r="N686" s="1">
        <v>11124</v>
      </c>
      <c r="O686" s="1">
        <v>50038179</v>
      </c>
      <c r="P686" s="1" t="str">
        <f>"  آزمون فلز پارس"</f>
        <v xml:space="preserve">  آزمون فلز پارس</v>
      </c>
      <c r="Q686" s="1">
        <v>62</v>
      </c>
      <c r="R686" s="1" t="str">
        <f>"فروش داخلي - سازمان بنيادمسكن انقلاب اسلامي"</f>
        <v>فروش داخلي - سازمان بنيادمسكن انقلاب اسلامي</v>
      </c>
      <c r="S686" s="1" t="str">
        <f>"قرارداد فروش"</f>
        <v>قرارداد فروش</v>
      </c>
      <c r="T686" s="1" t="str">
        <f>"ندارد"</f>
        <v>ندارد</v>
      </c>
      <c r="U686" s="1" t="str">
        <f>"قره باغي مجيد(1871065)"</f>
        <v>قره باغي مجيد(1871065)</v>
      </c>
      <c r="V686" s="1">
        <v>966200533</v>
      </c>
      <c r="W686" s="1">
        <v>966200533</v>
      </c>
      <c r="X686" s="1" t="str">
        <f>"1396540147"</f>
        <v>1396540147</v>
      </c>
      <c r="Y686" s="1" t="str">
        <f>"96/10/25"</f>
        <v>96/10/25</v>
      </c>
      <c r="Z686" s="1" t="str">
        <f>"47458/د"</f>
        <v>47458/د</v>
      </c>
      <c r="AA686" s="1" t="str">
        <f>"بنيادمسكن انقلاب اسلامي"</f>
        <v>بنيادمسكن انقلاب اسلامي</v>
      </c>
      <c r="AB686" s="1" t="str">
        <f>"96/10/24"</f>
        <v>96/10/24</v>
      </c>
      <c r="AC686" s="1" t="str">
        <f>"استان چهارمحال بختياري"</f>
        <v>استان چهارمحال بختياري</v>
      </c>
      <c r="AD686" s="1" t="str">
        <f>"96/10/25"</f>
        <v>96/10/25</v>
      </c>
      <c r="AE686" s="1" t="str">
        <f>"اختتام"</f>
        <v>اختتام</v>
      </c>
      <c r="AF686" s="1" t="str">
        <f>""</f>
        <v/>
      </c>
      <c r="AG686" s="1" t="str">
        <f>""</f>
        <v/>
      </c>
      <c r="AH686" s="1" t="str">
        <f>""</f>
        <v/>
      </c>
      <c r="AI686" s="1" t="str">
        <f>""</f>
        <v/>
      </c>
      <c r="AJ686" s="1" t="str">
        <f>""</f>
        <v/>
      </c>
      <c r="AK686" s="1" t="str">
        <f>""</f>
        <v/>
      </c>
    </row>
    <row r="687" spans="1:37">
      <c r="A687" s="1">
        <v>97569</v>
      </c>
      <c r="B687" s="1">
        <v>962000014</v>
      </c>
      <c r="C687" s="1" t="str">
        <f>"تخليه اصفهان زرين شهركيلومتر5جاده زرين شهرشركت زرين سپاهان"</f>
        <v>تخليه اصفهان زرين شهركيلومتر5جاده زرين شهرشركت زرين سپاهان</v>
      </c>
      <c r="D687" s="1">
        <v>9113</v>
      </c>
      <c r="E687" s="1">
        <v>97569</v>
      </c>
      <c r="F687" s="1">
        <v>96</v>
      </c>
      <c r="G687" s="1">
        <v>0</v>
      </c>
      <c r="H687" s="1" t="str">
        <f>"96/07/03"</f>
        <v>96/07/03</v>
      </c>
      <c r="I687" s="1" t="str">
        <f>"كيلوگرم"</f>
        <v>كيلوگرم</v>
      </c>
      <c r="J687" s="1" t="str">
        <f>"0000000076"</f>
        <v>0000000076</v>
      </c>
      <c r="K687" s="1" t="str">
        <f>"قير 60/70 - فله"</f>
        <v>قير 60/70 - فله</v>
      </c>
      <c r="L687" s="1">
        <v>100</v>
      </c>
      <c r="M687" s="1" t="str">
        <f>"مخازن قير اصفهان"</f>
        <v>مخازن قير اصفهان</v>
      </c>
      <c r="N687" s="1">
        <v>11184</v>
      </c>
      <c r="O687" s="1">
        <v>50036155</v>
      </c>
      <c r="P687" s="1" t="str">
        <f>"  شهرداري باغشاد"</f>
        <v xml:space="preserve">  شهرداري باغشاد</v>
      </c>
      <c r="Q687" s="1">
        <v>20</v>
      </c>
      <c r="R687" s="1" t="str">
        <f>"فروش داخلي - سازمان شهرداري ها و دهياري هاي كشور"</f>
        <v>فروش داخلي - سازمان شهرداري ها و دهياري هاي كشور</v>
      </c>
      <c r="S687" s="1" t="str">
        <f>"قرارداد فروش"</f>
        <v>قرارداد فروش</v>
      </c>
      <c r="T687" s="1" t="str">
        <f>"ندارد"</f>
        <v>ندارد</v>
      </c>
      <c r="U687" s="1" t="str">
        <f>"تعاوني جم گستر (1001 ج 89)"</f>
        <v>تعاوني جم گستر (1001 ج 89)</v>
      </c>
      <c r="V687" s="1">
        <v>962000014</v>
      </c>
      <c r="W687" s="1">
        <v>962000014</v>
      </c>
      <c r="X687" s="1" t="str">
        <f>"1396514467"</f>
        <v>1396514467</v>
      </c>
      <c r="Y687" s="1" t="str">
        <f>"96/07/03"</f>
        <v>96/07/03</v>
      </c>
      <c r="Z687" s="1" t="str">
        <f>"26891مرحله اول"</f>
        <v>26891مرحله اول</v>
      </c>
      <c r="AA687" s="1" t="str">
        <f>"شهرداريها"</f>
        <v>شهرداريها</v>
      </c>
      <c r="AB687" s="1" t="str">
        <f>"96/06/29"</f>
        <v>96/06/29</v>
      </c>
      <c r="AC687" s="1" t="str">
        <f>"استان اصفهان"</f>
        <v>استان اصفهان</v>
      </c>
      <c r="AD687" s="1" t="str">
        <f>"96/07/03"</f>
        <v>96/07/03</v>
      </c>
      <c r="AE687" s="1" t="str">
        <f>"اختتام"</f>
        <v>اختتام</v>
      </c>
      <c r="AF687" s="1" t="str">
        <f>""</f>
        <v/>
      </c>
      <c r="AG687" s="1" t="str">
        <f>""</f>
        <v/>
      </c>
      <c r="AH687" s="1" t="str">
        <f>""</f>
        <v/>
      </c>
      <c r="AI687" s="1" t="str">
        <f>""</f>
        <v/>
      </c>
      <c r="AJ687" s="1" t="str">
        <f>""</f>
        <v/>
      </c>
      <c r="AK687" s="1" t="str">
        <f>""</f>
        <v/>
      </c>
    </row>
    <row r="688" spans="1:37">
      <c r="A688" s="1">
        <v>100000</v>
      </c>
      <c r="B688" s="1">
        <v>966200482</v>
      </c>
      <c r="C688" s="1" t="str">
        <f>"تخليه - کهگيلويه- دهدشت-خيرآباد -کارخانه آسفالت مظاهري"</f>
        <v>تخليه - کهگيلويه- دهدشت-خيرآباد -کارخانه آسفالت مظاهري</v>
      </c>
      <c r="D688" s="1">
        <v>12820</v>
      </c>
      <c r="E688" s="1">
        <v>96740</v>
      </c>
      <c r="F688" s="1">
        <v>96</v>
      </c>
      <c r="G688" s="1">
        <v>3260</v>
      </c>
      <c r="H688" s="1" t="str">
        <f>"96/09/27"</f>
        <v>96/09/27</v>
      </c>
      <c r="I688" s="1" t="str">
        <f>"كيلوگرم"</f>
        <v>كيلوگرم</v>
      </c>
      <c r="J688" s="1" t="str">
        <f>"0000000076"</f>
        <v>0000000076</v>
      </c>
      <c r="K688" s="1" t="str">
        <f>"قير 60/70 - فله"</f>
        <v>قير 60/70 - فله</v>
      </c>
      <c r="L688" s="1">
        <v>100</v>
      </c>
      <c r="M688" s="1" t="str">
        <f>"مخازن قير اصفهان"</f>
        <v>مخازن قير اصفهان</v>
      </c>
      <c r="N688" s="1">
        <v>11187</v>
      </c>
      <c r="O688" s="1">
        <v>50037927</v>
      </c>
      <c r="P688" s="1" t="str">
        <f>"  ساعي نصر"</f>
        <v xml:space="preserve">  ساعي نصر</v>
      </c>
      <c r="Q688" s="1">
        <v>62</v>
      </c>
      <c r="R688" s="1" t="str">
        <f>"فروش داخلي - سازمان بنيادمسكن انقلاب اسلامي"</f>
        <v>فروش داخلي - سازمان بنيادمسكن انقلاب اسلامي</v>
      </c>
      <c r="S688" s="1" t="str">
        <f>"قرارداد فروش"</f>
        <v>قرارداد فروش</v>
      </c>
      <c r="T688" s="1" t="str">
        <f>"ندارد"</f>
        <v>ندارد</v>
      </c>
      <c r="U688" s="1" t="str">
        <f>"غلام نجفي سيامك‌‌‌‌‌‌(1881082)"</f>
        <v>غلام نجفي سيامك‌‌‌‌‌‌(1881082)</v>
      </c>
      <c r="V688" s="1">
        <v>966200482</v>
      </c>
      <c r="W688" s="1">
        <v>966200482</v>
      </c>
      <c r="X688" s="1" t="str">
        <f>"1396533043"</f>
        <v>1396533043</v>
      </c>
      <c r="Y688" s="1" t="str">
        <f>"96/09/27"</f>
        <v>96/09/27</v>
      </c>
      <c r="Z688" s="1" t="str">
        <f>"42445/د"</f>
        <v>42445/د</v>
      </c>
      <c r="AA688" s="1" t="str">
        <f>"بنيادمسكن انقلاب اسلامي"</f>
        <v>بنيادمسكن انقلاب اسلامي</v>
      </c>
      <c r="AB688" s="1" t="str">
        <f>"96/09/26"</f>
        <v>96/09/26</v>
      </c>
      <c r="AC688" s="1" t="str">
        <f>"كهكيلويه و بوير احمد"</f>
        <v>كهكيلويه و بوير احمد</v>
      </c>
      <c r="AD688" s="1" t="str">
        <f>"96/09/27"</f>
        <v>96/09/27</v>
      </c>
      <c r="AE688" s="1" t="str">
        <f>"اختتام"</f>
        <v>اختتام</v>
      </c>
      <c r="AF688" s="1" t="str">
        <f>""</f>
        <v/>
      </c>
      <c r="AG688" s="1" t="str">
        <f>""</f>
        <v/>
      </c>
      <c r="AH688" s="1" t="str">
        <f>""</f>
        <v/>
      </c>
      <c r="AI688" s="1" t="str">
        <f>""</f>
        <v/>
      </c>
      <c r="AJ688" s="1" t="str">
        <f>""</f>
        <v/>
      </c>
      <c r="AK688" s="1" t="str">
        <f>""</f>
        <v/>
      </c>
    </row>
    <row r="689" spans="1:37">
      <c r="A689" s="1">
        <v>100000</v>
      </c>
      <c r="B689" s="1">
        <v>966200707</v>
      </c>
      <c r="C689" s="1" t="str">
        <f>"تخليه كهگيلويه گچساران روستاي سرآبيز كارخانه آسفالت آقاي حسيني"</f>
        <v>تخليه كهگيلويه گچساران روستاي سرآبيز كارخانه آسفالت آقاي حسيني</v>
      </c>
      <c r="D689" s="1">
        <v>13350</v>
      </c>
      <c r="E689" s="1">
        <v>100000</v>
      </c>
      <c r="F689" s="1">
        <v>96</v>
      </c>
      <c r="G689" s="1">
        <v>0</v>
      </c>
      <c r="H689" s="1" t="str">
        <f>"96/12/26"</f>
        <v>96/12/26</v>
      </c>
      <c r="I689" s="1" t="str">
        <f>"كيلوگرم"</f>
        <v>كيلوگرم</v>
      </c>
      <c r="J689" s="1" t="str">
        <f>"0000000076"</f>
        <v>0000000076</v>
      </c>
      <c r="K689" s="1" t="str">
        <f>"قير 60/70 - فله"</f>
        <v>قير 60/70 - فله</v>
      </c>
      <c r="L689" s="1">
        <v>100</v>
      </c>
      <c r="M689" s="1" t="str">
        <f>"مخازن قير اصفهان"</f>
        <v>مخازن قير اصفهان</v>
      </c>
      <c r="N689" s="1">
        <v>11189</v>
      </c>
      <c r="O689" s="1">
        <v>50039055</v>
      </c>
      <c r="P689" s="1" t="str">
        <f>"  ساحل عمران تنگه تنگاري"</f>
        <v xml:space="preserve">  ساحل عمران تنگه تنگاري</v>
      </c>
      <c r="Q689" s="1">
        <v>62</v>
      </c>
      <c r="R689" s="1" t="str">
        <f>"فروش داخلي - سازمان بنيادمسكن انقلاب اسلامي"</f>
        <v>فروش داخلي - سازمان بنيادمسكن انقلاب اسلامي</v>
      </c>
      <c r="S689" s="1" t="str">
        <f>"قرارداد فروش"</f>
        <v>قرارداد فروش</v>
      </c>
      <c r="T689" s="1" t="str">
        <f>"ندارد"</f>
        <v>ندارد</v>
      </c>
      <c r="U689" s="1" t="str">
        <f>"غلام نجفي سيامك‌‌‌‌‌‌(1881082)"</f>
        <v>غلام نجفي سيامك‌‌‌‌‌‌(1881082)</v>
      </c>
      <c r="V689" s="1">
        <v>966200707</v>
      </c>
      <c r="W689" s="1">
        <v>966200707</v>
      </c>
      <c r="X689" s="1" t="str">
        <f>"1396555371"</f>
        <v>1396555371</v>
      </c>
      <c r="Y689" s="1" t="str">
        <f>"96/12/26"</f>
        <v>96/12/26</v>
      </c>
      <c r="Z689" s="1" t="str">
        <f>"59381/د"</f>
        <v>59381/د</v>
      </c>
      <c r="AA689" s="1" t="str">
        <f>"بنيادمسكن انقلاب اسلامي"</f>
        <v>بنيادمسكن انقلاب اسلامي</v>
      </c>
      <c r="AB689" s="1" t="str">
        <f>"96/12/23"</f>
        <v>96/12/23</v>
      </c>
      <c r="AC689" s="1" t="str">
        <f>"كهكيلويه و بوير احمد"</f>
        <v>كهكيلويه و بوير احمد</v>
      </c>
      <c r="AD689" s="1" t="str">
        <f>"96/12/26"</f>
        <v>96/12/26</v>
      </c>
      <c r="AE689" s="1" t="str">
        <f>"اختتام"</f>
        <v>اختتام</v>
      </c>
      <c r="AF689" s="1" t="str">
        <f>""</f>
        <v/>
      </c>
      <c r="AG689" s="1" t="str">
        <f>""</f>
        <v/>
      </c>
      <c r="AH689" s="1" t="str">
        <f>""</f>
        <v/>
      </c>
      <c r="AI689" s="1" t="str">
        <f>""</f>
        <v/>
      </c>
      <c r="AJ689" s="1" t="str">
        <f>""</f>
        <v/>
      </c>
      <c r="AK689" s="1" t="str">
        <f>""</f>
        <v/>
      </c>
    </row>
    <row r="690" spans="1:37">
      <c r="A690" s="1">
        <v>136184</v>
      </c>
      <c r="B690" s="1">
        <v>962000214</v>
      </c>
      <c r="C690" s="1" t="str">
        <f>"تخليه - کهگيلويه و بويراحمد-ياسوج-دارشاهي-کارخانه آسفالت اسلامي"</f>
        <v>تخليه - کهگيلويه و بويراحمد-ياسوج-دارشاهي-کارخانه آسفالت اسلامي</v>
      </c>
      <c r="D690" s="1">
        <v>9113</v>
      </c>
      <c r="E690" s="1">
        <v>136184</v>
      </c>
      <c r="F690" s="1">
        <v>96</v>
      </c>
      <c r="G690" s="1">
        <v>0</v>
      </c>
      <c r="H690" s="1" t="str">
        <f>"96/07/03"</f>
        <v>96/07/03</v>
      </c>
      <c r="I690" s="1" t="str">
        <f>"كيلوگرم"</f>
        <v>كيلوگرم</v>
      </c>
      <c r="J690" s="1" t="str">
        <f>"0000000076"</f>
        <v>0000000076</v>
      </c>
      <c r="K690" s="1" t="str">
        <f>"قير 60/70 - فله"</f>
        <v>قير 60/70 - فله</v>
      </c>
      <c r="L690" s="1">
        <v>100</v>
      </c>
      <c r="M690" s="1" t="str">
        <f>"مخازن قير اصفهان"</f>
        <v>مخازن قير اصفهان</v>
      </c>
      <c r="N690" s="1">
        <v>11191</v>
      </c>
      <c r="O690" s="1">
        <v>50036451</v>
      </c>
      <c r="P690" s="1" t="str">
        <f>"  شهرداري گراب سفلي"</f>
        <v xml:space="preserve">  شهرداري گراب سفلي</v>
      </c>
      <c r="Q690" s="1">
        <v>20</v>
      </c>
      <c r="R690" s="1" t="str">
        <f>"فروش داخلي - سازمان شهرداري ها و دهياري هاي كشور"</f>
        <v>فروش داخلي - سازمان شهرداري ها و دهياري هاي كشور</v>
      </c>
      <c r="S690" s="1" t="str">
        <f>"قرارداد فروش"</f>
        <v>قرارداد فروش</v>
      </c>
      <c r="T690" s="1" t="str">
        <f>"ندارد"</f>
        <v>ندارد</v>
      </c>
      <c r="U690" s="1" t="str">
        <f>"تعاوني جم گستر (1001 ج 89)"</f>
        <v>تعاوني جم گستر (1001 ج 89)</v>
      </c>
      <c r="V690" s="1">
        <v>962000214</v>
      </c>
      <c r="W690" s="1">
        <v>962000214</v>
      </c>
      <c r="X690" s="1" t="str">
        <f>"1396514467"</f>
        <v>1396514467</v>
      </c>
      <c r="Y690" s="1" t="str">
        <f>"96/07/03"</f>
        <v>96/07/03</v>
      </c>
      <c r="Z690" s="1" t="str">
        <f>"26756مرحله اول"</f>
        <v>26756مرحله اول</v>
      </c>
      <c r="AA690" s="1" t="str">
        <f>"شهرداريها"</f>
        <v>شهرداريها</v>
      </c>
      <c r="AB690" s="1" t="str">
        <f>"96/06/29"</f>
        <v>96/06/29</v>
      </c>
      <c r="AC690" s="1" t="str">
        <f>"كهكيلويه و بوير احمد"</f>
        <v>كهكيلويه و بوير احمد</v>
      </c>
      <c r="AD690" s="1" t="str">
        <f>"93/07/03"</f>
        <v>93/07/03</v>
      </c>
      <c r="AE690" s="1" t="str">
        <f>"اختتام"</f>
        <v>اختتام</v>
      </c>
      <c r="AF690" s="1" t="str">
        <f>""</f>
        <v/>
      </c>
      <c r="AG690" s="1" t="str">
        <f>""</f>
        <v/>
      </c>
      <c r="AH690" s="1" t="str">
        <f>""</f>
        <v/>
      </c>
      <c r="AI690" s="1" t="str">
        <f>""</f>
        <v/>
      </c>
      <c r="AJ690" s="1" t="str">
        <f>""</f>
        <v/>
      </c>
      <c r="AK690" s="1" t="str">
        <f>""</f>
        <v/>
      </c>
    </row>
    <row r="691" spans="1:37">
      <c r="A691" s="1">
        <v>38104</v>
      </c>
      <c r="B691" s="1">
        <v>962000453</v>
      </c>
      <c r="C691" s="1" t="str">
        <f>"تخليه اصفهان جنب پلي اكريل شركت اصفهان بتن راه"</f>
        <v>تخليه اصفهان جنب پلي اكريل شركت اصفهان بتن راه</v>
      </c>
      <c r="D691" s="1">
        <v>12820</v>
      </c>
      <c r="E691" s="1">
        <v>38060</v>
      </c>
      <c r="F691" s="1">
        <v>96</v>
      </c>
      <c r="G691" s="1">
        <v>44</v>
      </c>
      <c r="H691" s="1" t="str">
        <f>"96/09/20"</f>
        <v>96/09/20</v>
      </c>
      <c r="I691" s="1" t="str">
        <f>"كيلوگرم"</f>
        <v>كيلوگرم</v>
      </c>
      <c r="J691" s="1" t="str">
        <f>"0000000076"</f>
        <v>0000000076</v>
      </c>
      <c r="K691" s="1" t="str">
        <f>"قير 60/70 - فله"</f>
        <v>قير 60/70 - فله</v>
      </c>
      <c r="L691" s="1">
        <v>100</v>
      </c>
      <c r="M691" s="1" t="str">
        <f>"مخازن قير اصفهان"</f>
        <v>مخازن قير اصفهان</v>
      </c>
      <c r="N691" s="1">
        <v>11195</v>
      </c>
      <c r="O691" s="1">
        <v>50037775</v>
      </c>
      <c r="P691" s="1" t="str">
        <f>"  شهرداري زازران"</f>
        <v xml:space="preserve">  شهرداري زازران</v>
      </c>
      <c r="Q691" s="1">
        <v>20</v>
      </c>
      <c r="R691" s="1" t="str">
        <f>"فروش داخلي - سازمان شهرداري ها و دهياري هاي كشور"</f>
        <v>فروش داخلي - سازمان شهرداري ها و دهياري هاي كشور</v>
      </c>
      <c r="S691" s="1" t="str">
        <f>"قرارداد فروش"</f>
        <v>قرارداد فروش</v>
      </c>
      <c r="T691" s="1" t="str">
        <f>"ندارد"</f>
        <v>ندارد</v>
      </c>
      <c r="U691" s="1" t="str">
        <f>"تعاوني جم گستر (1001 ج 89)"</f>
        <v>تعاوني جم گستر (1001 ج 89)</v>
      </c>
      <c r="V691" s="1">
        <v>962000453</v>
      </c>
      <c r="W691" s="1">
        <v>962000453</v>
      </c>
      <c r="X691" s="1" t="str">
        <f>"1396529711"</f>
        <v>1396529711</v>
      </c>
      <c r="Y691" s="1" t="str">
        <f>"96/09/20"</f>
        <v>96/09/20</v>
      </c>
      <c r="Z691" s="1" t="str">
        <f>"37163مرحله دوم"</f>
        <v>37163مرحله دوم</v>
      </c>
      <c r="AA691" s="1" t="str">
        <f>"شهرداريها"</f>
        <v>شهرداريها</v>
      </c>
      <c r="AB691" s="1" t="str">
        <f>"96/09/05"</f>
        <v>96/09/05</v>
      </c>
      <c r="AC691" s="1" t="str">
        <f>"استان اصفهان"</f>
        <v>استان اصفهان</v>
      </c>
      <c r="AD691" s="1" t="str">
        <f>"96/09/13"</f>
        <v>96/09/13</v>
      </c>
      <c r="AE691" s="1" t="str">
        <f>"تاييدشده"</f>
        <v>تاييدشده</v>
      </c>
      <c r="AF691" s="1" t="str">
        <f>""</f>
        <v/>
      </c>
      <c r="AG691" s="1" t="str">
        <f>""</f>
        <v/>
      </c>
      <c r="AH691" s="1" t="str">
        <f>""</f>
        <v/>
      </c>
      <c r="AI691" s="1" t="str">
        <f>""</f>
        <v/>
      </c>
      <c r="AJ691" s="1" t="str">
        <f>""</f>
        <v/>
      </c>
      <c r="AK691" s="1" t="str">
        <f>""</f>
        <v/>
      </c>
    </row>
    <row r="692" spans="1:37">
      <c r="A692" s="1">
        <v>111579</v>
      </c>
      <c r="B692" s="1">
        <v>962000027</v>
      </c>
      <c r="C692" s="1" t="str">
        <f>"تخليه اصفهان كيلومتر29اتوبان اصفهان شهركردگردنه گاوپيشه كارخانه آسفالت زرين سپاهان"</f>
        <v>تخليه اصفهان كيلومتر29اتوبان اصفهان شهركردگردنه گاوپيشه كارخانه آسفالت زرين سپاهان</v>
      </c>
      <c r="D692" s="1">
        <v>9113</v>
      </c>
      <c r="E692" s="1">
        <v>111579</v>
      </c>
      <c r="F692" s="1">
        <v>96</v>
      </c>
      <c r="G692" s="1">
        <v>0</v>
      </c>
      <c r="H692" s="1" t="str">
        <f>"96/07/03"</f>
        <v>96/07/03</v>
      </c>
      <c r="I692" s="1" t="str">
        <f>"كيلوگرم"</f>
        <v>كيلوگرم</v>
      </c>
      <c r="J692" s="1" t="str">
        <f>"0000000076"</f>
        <v>0000000076</v>
      </c>
      <c r="K692" s="1" t="str">
        <f>"قير 60/70 - فله"</f>
        <v>قير 60/70 - فله</v>
      </c>
      <c r="L692" s="1">
        <v>100</v>
      </c>
      <c r="M692" s="1" t="str">
        <f>"مخازن قير اصفهان"</f>
        <v>مخازن قير اصفهان</v>
      </c>
      <c r="N692" s="1">
        <v>11196</v>
      </c>
      <c r="O692" s="1">
        <v>50036168</v>
      </c>
      <c r="P692" s="1" t="str">
        <f>"  شهرداري چرمهين"</f>
        <v xml:space="preserve">  شهرداري چرمهين</v>
      </c>
      <c r="Q692" s="1">
        <v>20</v>
      </c>
      <c r="R692" s="1" t="str">
        <f>"فروش داخلي - سازمان شهرداري ها و دهياري هاي كشور"</f>
        <v>فروش داخلي - سازمان شهرداري ها و دهياري هاي كشور</v>
      </c>
      <c r="S692" s="1" t="str">
        <f>"قرارداد فروش"</f>
        <v>قرارداد فروش</v>
      </c>
      <c r="T692" s="1" t="str">
        <f>"ندارد"</f>
        <v>ندارد</v>
      </c>
      <c r="U692" s="1" t="str">
        <f>"تعاوني جم گستر (1001 ج 89)"</f>
        <v>تعاوني جم گستر (1001 ج 89)</v>
      </c>
      <c r="V692" s="1">
        <v>962000027</v>
      </c>
      <c r="W692" s="1">
        <v>962000027</v>
      </c>
      <c r="X692" s="1" t="str">
        <f>"1396514467"</f>
        <v>1396514467</v>
      </c>
      <c r="Y692" s="1" t="str">
        <f>"96/07/03"</f>
        <v>96/07/03</v>
      </c>
      <c r="Z692" s="1" t="str">
        <f>"26854مرحله اول"</f>
        <v>26854مرحله اول</v>
      </c>
      <c r="AA692" s="1" t="str">
        <f>"شهرداريها"</f>
        <v>شهرداريها</v>
      </c>
      <c r="AB692" s="1" t="str">
        <f>"96/06/29"</f>
        <v>96/06/29</v>
      </c>
      <c r="AC692" s="1" t="str">
        <f>"استان اصفهان"</f>
        <v>استان اصفهان</v>
      </c>
      <c r="AD692" s="1" t="str">
        <f>"96/07/03"</f>
        <v>96/07/03</v>
      </c>
      <c r="AE692" s="1" t="str">
        <f>"اختتام"</f>
        <v>اختتام</v>
      </c>
      <c r="AF692" s="1" t="str">
        <f>""</f>
        <v/>
      </c>
      <c r="AG692" s="1" t="str">
        <f>""</f>
        <v/>
      </c>
      <c r="AH692" s="1" t="str">
        <f>""</f>
        <v/>
      </c>
      <c r="AI692" s="1" t="str">
        <f>""</f>
        <v/>
      </c>
      <c r="AJ692" s="1" t="str">
        <f>""</f>
        <v/>
      </c>
      <c r="AK692" s="1" t="str">
        <f>""</f>
        <v/>
      </c>
    </row>
    <row r="693" spans="1:37">
      <c r="A693" s="1">
        <v>36587</v>
      </c>
      <c r="B693" s="1">
        <v>962000465</v>
      </c>
      <c r="C693" s="1" t="str">
        <f>"تخليه اصفهان مباركه بعدازشهرك صنعتي مباركه شركت اصفهان بتون راه"</f>
        <v>تخليه اصفهان مباركه بعدازشهرك صنعتي مباركه شركت اصفهان بتون راه</v>
      </c>
      <c r="D693" s="1">
        <v>12820</v>
      </c>
      <c r="E693" s="1">
        <v>36587</v>
      </c>
      <c r="F693" s="1">
        <v>96</v>
      </c>
      <c r="G693" s="1">
        <v>0</v>
      </c>
      <c r="H693" s="1" t="str">
        <f>"96/09/20"</f>
        <v>96/09/20</v>
      </c>
      <c r="I693" s="1" t="str">
        <f>"كيلوگرم"</f>
        <v>كيلوگرم</v>
      </c>
      <c r="J693" s="1" t="str">
        <f>"0000000076"</f>
        <v>0000000076</v>
      </c>
      <c r="K693" s="1" t="str">
        <f>"قير 60/70 - فله"</f>
        <v>قير 60/70 - فله</v>
      </c>
      <c r="L693" s="1">
        <v>100</v>
      </c>
      <c r="M693" s="1" t="str">
        <f>"مخازن قير اصفهان"</f>
        <v>مخازن قير اصفهان</v>
      </c>
      <c r="N693" s="1">
        <v>11197</v>
      </c>
      <c r="O693" s="1">
        <v>50037787</v>
      </c>
      <c r="P693" s="1" t="str">
        <f>"  شهرداري باغبادران"</f>
        <v xml:space="preserve">  شهرداري باغبادران</v>
      </c>
      <c r="Q693" s="1">
        <v>20</v>
      </c>
      <c r="R693" s="1" t="str">
        <f>"فروش داخلي - سازمان شهرداري ها و دهياري هاي كشور"</f>
        <v>فروش داخلي - سازمان شهرداري ها و دهياري هاي كشور</v>
      </c>
      <c r="S693" s="1" t="str">
        <f>"قرارداد فروش"</f>
        <v>قرارداد فروش</v>
      </c>
      <c r="T693" s="1" t="str">
        <f>"ندارد"</f>
        <v>ندارد</v>
      </c>
      <c r="U693" s="1" t="str">
        <f>"تعاوني جم گستر (1001 ج 89)"</f>
        <v>تعاوني جم گستر (1001 ج 89)</v>
      </c>
      <c r="V693" s="1">
        <v>962000465</v>
      </c>
      <c r="W693" s="1">
        <v>962000465</v>
      </c>
      <c r="X693" s="1" t="str">
        <f>"1396529711"</f>
        <v>1396529711</v>
      </c>
      <c r="Y693" s="1" t="str">
        <f>"96/09/20"</f>
        <v>96/09/20</v>
      </c>
      <c r="Z693" s="1" t="str">
        <f>"37595مرحله دوم"</f>
        <v>37595مرحله دوم</v>
      </c>
      <c r="AA693" s="1" t="str">
        <f>"شهرداريها"</f>
        <v>شهرداريها</v>
      </c>
      <c r="AB693" s="1" t="str">
        <f>"96/09/05"</f>
        <v>96/09/05</v>
      </c>
      <c r="AC693" s="1" t="str">
        <f>"استان اصفهان"</f>
        <v>استان اصفهان</v>
      </c>
      <c r="AD693" s="1" t="str">
        <f>"96/09/13"</f>
        <v>96/09/13</v>
      </c>
      <c r="AE693" s="1" t="str">
        <f>"اختتام"</f>
        <v>اختتام</v>
      </c>
      <c r="AF693" s="1" t="str">
        <f>""</f>
        <v/>
      </c>
      <c r="AG693" s="1" t="str">
        <f>""</f>
        <v/>
      </c>
      <c r="AH693" s="1" t="str">
        <f>""</f>
        <v/>
      </c>
      <c r="AI693" s="1" t="str">
        <f>""</f>
        <v/>
      </c>
      <c r="AJ693" s="1" t="str">
        <f>""</f>
        <v/>
      </c>
      <c r="AK693" s="1" t="str">
        <f>""</f>
        <v/>
      </c>
    </row>
    <row r="694" spans="1:37">
      <c r="A694" s="1">
        <v>33000</v>
      </c>
      <c r="B694" s="1">
        <v>966200731</v>
      </c>
      <c r="C694" s="1" t="str">
        <f>"تخليه - کهگيلويه - باشت - جاده ده بزرگ -کارخانه آسفالت رزمان"</f>
        <v>تخليه - کهگيلويه - باشت - جاده ده بزرگ -کارخانه آسفالت رزمان</v>
      </c>
      <c r="D694" s="1">
        <v>13350</v>
      </c>
      <c r="E694" s="1">
        <v>32400</v>
      </c>
      <c r="F694" s="1">
        <v>96</v>
      </c>
      <c r="G694" s="1">
        <v>600</v>
      </c>
      <c r="H694" s="1" t="str">
        <f>"96/12/26"</f>
        <v>96/12/26</v>
      </c>
      <c r="I694" s="1" t="str">
        <f>"كيلوگرم"</f>
        <v>كيلوگرم</v>
      </c>
      <c r="J694" s="1" t="str">
        <f>"0000000076"</f>
        <v>0000000076</v>
      </c>
      <c r="K694" s="1" t="str">
        <f>"قير 60/70 - فله"</f>
        <v>قير 60/70 - فله</v>
      </c>
      <c r="L694" s="1">
        <v>100</v>
      </c>
      <c r="M694" s="1" t="str">
        <f>"مخازن قير اصفهان"</f>
        <v>مخازن قير اصفهان</v>
      </c>
      <c r="N694" s="1">
        <v>11203</v>
      </c>
      <c r="O694" s="1">
        <v>50039092</v>
      </c>
      <c r="P694" s="1" t="str">
        <f>"  مسير پيماي شياس"</f>
        <v xml:space="preserve">  مسير پيماي شياس</v>
      </c>
      <c r="Q694" s="1">
        <v>62</v>
      </c>
      <c r="R694" s="1" t="str">
        <f>"فروش داخلي - سازمان بنيادمسكن انقلاب اسلامي"</f>
        <v>فروش داخلي - سازمان بنيادمسكن انقلاب اسلامي</v>
      </c>
      <c r="S694" s="1" t="str">
        <f>"قرارداد فروش"</f>
        <v>قرارداد فروش</v>
      </c>
      <c r="T694" s="1" t="str">
        <f>"ندارد"</f>
        <v>ندارد</v>
      </c>
      <c r="U694" s="1" t="str">
        <f>"غلام نجفي سيامك‌‌‌‌‌‌(1881082)"</f>
        <v>غلام نجفي سيامك‌‌‌‌‌‌(1881082)</v>
      </c>
      <c r="V694" s="1">
        <v>966200731</v>
      </c>
      <c r="W694" s="1">
        <v>966200731</v>
      </c>
      <c r="X694" s="1" t="str">
        <f>"1396555392"</f>
        <v>1396555392</v>
      </c>
      <c r="Y694" s="1" t="str">
        <f>"96/12/26"</f>
        <v>96/12/26</v>
      </c>
      <c r="Z694" s="1" t="str">
        <f>"59426/د"</f>
        <v>59426/د</v>
      </c>
      <c r="AA694" s="1" t="str">
        <f>"بنيادمسكن انقلاب اسلامي"</f>
        <v>بنيادمسكن انقلاب اسلامي</v>
      </c>
      <c r="AB694" s="1" t="str">
        <f>"96/12/23"</f>
        <v>96/12/23</v>
      </c>
      <c r="AC694" s="1" t="str">
        <f>"كهكيلويه و بوير احمد"</f>
        <v>كهكيلويه و بوير احمد</v>
      </c>
      <c r="AD694" s="1" t="str">
        <f>"96/12/26"</f>
        <v>96/12/26</v>
      </c>
      <c r="AE694" s="1" t="str">
        <f>"اختتام"</f>
        <v>اختتام</v>
      </c>
      <c r="AF694" s="1" t="str">
        <f>""</f>
        <v/>
      </c>
      <c r="AG694" s="1" t="str">
        <f>""</f>
        <v/>
      </c>
      <c r="AH694" s="1" t="str">
        <f>""</f>
        <v/>
      </c>
      <c r="AI694" s="1" t="str">
        <f>""</f>
        <v/>
      </c>
      <c r="AJ694" s="1" t="str">
        <f>""</f>
        <v/>
      </c>
      <c r="AK694" s="1" t="str">
        <f>""</f>
        <v/>
      </c>
    </row>
    <row r="695" spans="1:37">
      <c r="A695" s="1">
        <v>18000</v>
      </c>
      <c r="B695" s="1">
        <v>966300018</v>
      </c>
      <c r="C695" s="1" t="str">
        <f>"تخليه اصفهان شهركردكارخانه اتحادناغان"</f>
        <v>تخليه اصفهان شهركردكارخانه اتحادناغان</v>
      </c>
      <c r="D695" s="1">
        <v>9416</v>
      </c>
      <c r="E695" s="1">
        <v>18000</v>
      </c>
      <c r="F695" s="1">
        <v>96</v>
      </c>
      <c r="G695" s="1">
        <v>0</v>
      </c>
      <c r="H695" s="1" t="str">
        <f>"96/08/20"</f>
        <v>96/08/20</v>
      </c>
      <c r="I695" s="1" t="str">
        <f>"كيلوگرم"</f>
        <v>كيلوگرم</v>
      </c>
      <c r="J695" s="1" t="str">
        <f>"0000000076"</f>
        <v>0000000076</v>
      </c>
      <c r="K695" s="1" t="str">
        <f>"قير 60/70 - فله"</f>
        <v>قير 60/70 - فله</v>
      </c>
      <c r="L695" s="1">
        <v>100</v>
      </c>
      <c r="M695" s="1" t="str">
        <f>"مخازن قير اصفهان"</f>
        <v>مخازن قير اصفهان</v>
      </c>
      <c r="N695" s="1">
        <v>11220</v>
      </c>
      <c r="O695" s="1">
        <v>50037161</v>
      </c>
      <c r="P695" s="1" t="str">
        <f>"  پايه ستون زاگرس"</f>
        <v xml:space="preserve">  پايه ستون زاگرس</v>
      </c>
      <c r="Q695" s="1">
        <v>63</v>
      </c>
      <c r="R695" s="1" t="str">
        <f>"سازمان نوسازي،توسعه و تجهيز مدارس كشور"</f>
        <v>سازمان نوسازي،توسعه و تجهيز مدارس كشور</v>
      </c>
      <c r="S695" s="1" t="str">
        <f>"قرارداد فروش"</f>
        <v>قرارداد فروش</v>
      </c>
      <c r="T695" s="1" t="str">
        <f>"ندارد"</f>
        <v>ندارد</v>
      </c>
      <c r="U695" s="1" t="str">
        <f>"قره باغي مجيد(1871065)"</f>
        <v>قره باغي مجيد(1871065)</v>
      </c>
      <c r="V695" s="1">
        <v>966300018</v>
      </c>
      <c r="W695" s="1">
        <v>966300018</v>
      </c>
      <c r="X695" s="1" t="str">
        <f>"1396525016"</f>
        <v>1396525016</v>
      </c>
      <c r="Y695" s="1" t="str">
        <f>"96/08/20"</f>
        <v>96/08/20</v>
      </c>
      <c r="Z695" s="1" t="str">
        <f>"18/96/1/7657"</f>
        <v>18/96/1/7657</v>
      </c>
      <c r="AA695" s="1" t="str">
        <f>"سازمان نوسازي توسعه وتجهيزمدارس كشور"</f>
        <v>سازمان نوسازي توسعه وتجهيزمدارس كشور</v>
      </c>
      <c r="AB695" s="1" t="str">
        <f>"96/08/16"</f>
        <v>96/08/16</v>
      </c>
      <c r="AC695" s="1" t="str">
        <f>"استان چهارمحال بختياري"</f>
        <v>استان چهارمحال بختياري</v>
      </c>
      <c r="AD695" s="1" t="str">
        <f>"96/08/20"</f>
        <v>96/08/20</v>
      </c>
      <c r="AE695" s="1" t="str">
        <f>"اختتام"</f>
        <v>اختتام</v>
      </c>
      <c r="AF695" s="1" t="str">
        <f>""</f>
        <v/>
      </c>
      <c r="AG695" s="1" t="str">
        <f>""</f>
        <v/>
      </c>
      <c r="AH695" s="1" t="str">
        <f>""</f>
        <v/>
      </c>
      <c r="AI695" s="1" t="str">
        <f>""</f>
        <v/>
      </c>
      <c r="AJ695" s="1" t="str">
        <f>""</f>
        <v/>
      </c>
      <c r="AK695" s="1" t="str">
        <f>""</f>
        <v/>
      </c>
    </row>
    <row r="696" spans="1:37">
      <c r="A696" s="1">
        <v>365000</v>
      </c>
      <c r="B696" s="1">
        <v>966200217</v>
      </c>
      <c r="C696" s="1" t="str">
        <f>"تخليه-خراسان رضوي-مشهد-کيلومتر 10جاده سرخس-نرسيده به روستاي تنگل شور سمت چپ-روبروي شن شويي"</f>
        <v>تخليه-خراسان رضوي-مشهد-کيلومتر 10جاده سرخس-نرسيده به روستاي تنگل شور سمت چپ-روبروي شن شويي</v>
      </c>
      <c r="D696" s="1">
        <v>8954</v>
      </c>
      <c r="E696" s="1">
        <v>365000</v>
      </c>
      <c r="F696" s="1">
        <v>96</v>
      </c>
      <c r="G696" s="1">
        <v>0</v>
      </c>
      <c r="H696" s="1" t="str">
        <f>"96/06/07"</f>
        <v>96/06/07</v>
      </c>
      <c r="I696" s="1" t="str">
        <f>"كيلوگرم"</f>
        <v>كيلوگرم</v>
      </c>
      <c r="J696" s="1" t="str">
        <f>"0000000076"</f>
        <v>0000000076</v>
      </c>
      <c r="K696" s="1" t="str">
        <f>"قير 60/70 - فله"</f>
        <v>قير 60/70 - فله</v>
      </c>
      <c r="L696" s="1">
        <v>100</v>
      </c>
      <c r="M696" s="1" t="str">
        <f>"مخازن قير اصفهان"</f>
        <v>مخازن قير اصفهان</v>
      </c>
      <c r="N696" s="1">
        <v>11227</v>
      </c>
      <c r="O696" s="1">
        <v>50035848</v>
      </c>
      <c r="P696" s="1" t="str">
        <f>"  ره پويان آريا گستر"</f>
        <v xml:space="preserve">  ره پويان آريا گستر</v>
      </c>
      <c r="Q696" s="1">
        <v>62</v>
      </c>
      <c r="R696" s="1" t="str">
        <f>"فروش داخلي - سازمان بنيادمسكن انقلاب اسلامي"</f>
        <v>فروش داخلي - سازمان بنيادمسكن انقلاب اسلامي</v>
      </c>
      <c r="S696" s="1" t="str">
        <f>"قرارداد فروش"</f>
        <v>قرارداد فروش</v>
      </c>
      <c r="T696" s="1" t="str">
        <f>"ندارد"</f>
        <v>ندارد</v>
      </c>
      <c r="U696" s="1" t="str">
        <f>"حسيني سيدجواد(1841076)"</f>
        <v>حسيني سيدجواد(1841076)</v>
      </c>
      <c r="V696" s="1">
        <v>966200217</v>
      </c>
      <c r="W696" s="1">
        <v>966200217</v>
      </c>
      <c r="X696" s="1" t="str">
        <f>"1396508616"</f>
        <v>1396508616</v>
      </c>
      <c r="Y696" s="1" t="str">
        <f>"96/06/07"</f>
        <v>96/06/07</v>
      </c>
      <c r="Z696" s="1" t="str">
        <f>"24580/د"</f>
        <v>24580/د</v>
      </c>
      <c r="AA696" s="1" t="str">
        <f>"بنيادمسكن انقلاب اسلامي"</f>
        <v>بنيادمسكن انقلاب اسلامي</v>
      </c>
      <c r="AB696" s="1" t="str">
        <f>"96/06/06"</f>
        <v>96/06/06</v>
      </c>
      <c r="AC696" s="1" t="str">
        <f>"خراسان رضوي"</f>
        <v>خراسان رضوي</v>
      </c>
      <c r="AD696" s="1" t="str">
        <f>"96/06/07"</f>
        <v>96/06/07</v>
      </c>
      <c r="AE696" s="1" t="str">
        <f>"اختتام"</f>
        <v>اختتام</v>
      </c>
      <c r="AF696" s="1" t="str">
        <f>""</f>
        <v/>
      </c>
      <c r="AG696" s="1" t="str">
        <f>""</f>
        <v/>
      </c>
      <c r="AH696" s="1" t="str">
        <f>""</f>
        <v/>
      </c>
      <c r="AI696" s="1" t="str">
        <f>""</f>
        <v/>
      </c>
      <c r="AJ696" s="1" t="str">
        <f>""</f>
        <v/>
      </c>
      <c r="AK696" s="1" t="str">
        <f>""</f>
        <v/>
      </c>
    </row>
    <row r="697" spans="1:37">
      <c r="A697" s="1">
        <v>65000</v>
      </c>
      <c r="B697" s="1">
        <v>966200102</v>
      </c>
      <c r="C697" s="1" t="str">
        <f>"تخليه - مازندران- ساري--بالاهور-کارخانه آسفالت نو آوران مازند شمال"</f>
        <v>تخليه - مازندران- ساري--بالاهور-کارخانه آسفالت نو آوران مازند شمال</v>
      </c>
      <c r="D697" s="1">
        <v>8918</v>
      </c>
      <c r="E697" s="1">
        <v>64840</v>
      </c>
      <c r="F697" s="1">
        <v>96</v>
      </c>
      <c r="G697" s="1">
        <v>160</v>
      </c>
      <c r="H697" s="1" t="str">
        <f>"96/02/31"</f>
        <v>96/02/31</v>
      </c>
      <c r="I697" s="1" t="str">
        <f>"كيلوگرم"</f>
        <v>كيلوگرم</v>
      </c>
      <c r="J697" s="1" t="str">
        <f>"0000000076"</f>
        <v>0000000076</v>
      </c>
      <c r="K697" s="1" t="str">
        <f>"قير 60/70 - فله"</f>
        <v>قير 60/70 - فله</v>
      </c>
      <c r="L697" s="1">
        <v>100</v>
      </c>
      <c r="M697" s="1" t="str">
        <f>"مخازن قير اصفهان"</f>
        <v>مخازن قير اصفهان</v>
      </c>
      <c r="N697" s="1">
        <v>11228</v>
      </c>
      <c r="O697" s="1">
        <v>50034881</v>
      </c>
      <c r="P697" s="1" t="str">
        <f>"  پارسيان سازه بهرام"</f>
        <v xml:space="preserve">  پارسيان سازه بهرام</v>
      </c>
      <c r="Q697" s="1">
        <v>62</v>
      </c>
      <c r="R697" s="1" t="str">
        <f>"فروش داخلي - سازمان بنيادمسكن انقلاب اسلامي"</f>
        <v>فروش داخلي - سازمان بنيادمسكن انقلاب اسلامي</v>
      </c>
      <c r="S697" s="1" t="str">
        <f>"قرارداد فروش"</f>
        <v>قرارداد فروش</v>
      </c>
      <c r="T697" s="1" t="str">
        <f>"ندارد"</f>
        <v>ندارد</v>
      </c>
      <c r="U697" s="1" t="str">
        <f>"شيشه بر كريم(1841016)"</f>
        <v>شيشه بر كريم(1841016)</v>
      </c>
      <c r="V697" s="1">
        <v>966200102</v>
      </c>
      <c r="W697" s="1">
        <v>966200102</v>
      </c>
      <c r="X697" s="1" t="str">
        <f>"1396482232"</f>
        <v>1396482232</v>
      </c>
      <c r="Y697" s="1" t="str">
        <f>"96/02/31"</f>
        <v>96/02/31</v>
      </c>
      <c r="Z697" s="1" t="str">
        <f>"7423/د"</f>
        <v>7423/د</v>
      </c>
      <c r="AA697" s="1" t="str">
        <f>"بنيادمسكن انقلاب اسلامي"</f>
        <v>بنيادمسكن انقلاب اسلامي</v>
      </c>
      <c r="AB697" s="1" t="str">
        <f>"96/02/30"</f>
        <v>96/02/30</v>
      </c>
      <c r="AC697" s="1" t="str">
        <f>"استان مازندران"</f>
        <v>استان مازندران</v>
      </c>
      <c r="AD697" s="1" t="str">
        <f>"96/02/31"</f>
        <v>96/02/31</v>
      </c>
      <c r="AE697" s="1" t="str">
        <f>"اختتام"</f>
        <v>اختتام</v>
      </c>
      <c r="AF697" s="1" t="str">
        <f>""</f>
        <v/>
      </c>
      <c r="AG697" s="1" t="str">
        <f>""</f>
        <v/>
      </c>
      <c r="AH697" s="1" t="str">
        <f>""</f>
        <v/>
      </c>
      <c r="AI697" s="1" t="str">
        <f>""</f>
        <v/>
      </c>
      <c r="AJ697" s="1" t="str">
        <f>""</f>
        <v/>
      </c>
      <c r="AK697" s="1" t="str">
        <f>""</f>
        <v/>
      </c>
    </row>
    <row r="698" spans="1:37">
      <c r="A698" s="1">
        <v>909000</v>
      </c>
      <c r="B698" s="1">
        <v>966200081</v>
      </c>
      <c r="C698" s="1" t="str">
        <f>"تخليه - بوشهر-بزرگراه سيراف نرسيده به خورموج-کيلومتر 9 جاده باشي به چاوشي-کارخانه آسفالت راهگشايان دشتي"</f>
        <v>تخليه - بوشهر-بزرگراه سيراف نرسيده به خورموج-کيلومتر 9 جاده باشي به چاوشي-کارخانه آسفالت راهگشايان دشتي</v>
      </c>
      <c r="D698" s="1">
        <v>8918</v>
      </c>
      <c r="E698" s="1">
        <v>907920</v>
      </c>
      <c r="F698" s="1">
        <v>96</v>
      </c>
      <c r="G698" s="1">
        <v>1080</v>
      </c>
      <c r="H698" s="1" t="str">
        <f>"96/02/27"</f>
        <v>96/02/27</v>
      </c>
      <c r="I698" s="1" t="str">
        <f>"كيلوگرم"</f>
        <v>كيلوگرم</v>
      </c>
      <c r="J698" s="1" t="str">
        <f>"0000000076"</f>
        <v>0000000076</v>
      </c>
      <c r="K698" s="1" t="str">
        <f>"قير 60/70 - فله"</f>
        <v>قير 60/70 - فله</v>
      </c>
      <c r="L698" s="1">
        <v>100</v>
      </c>
      <c r="M698" s="1" t="str">
        <f>"مخازن قير اصفهان"</f>
        <v>مخازن قير اصفهان</v>
      </c>
      <c r="N698" s="1">
        <v>11269</v>
      </c>
      <c r="O698" s="1">
        <v>50034850</v>
      </c>
      <c r="P698" s="1" t="str">
        <f>"  نيارش سازه هيرمند"</f>
        <v xml:space="preserve">  نيارش سازه هيرمند</v>
      </c>
      <c r="Q698" s="1">
        <v>62</v>
      </c>
      <c r="R698" s="1" t="str">
        <f>"فروش داخلي - سازمان بنيادمسكن انقلاب اسلامي"</f>
        <v>فروش داخلي - سازمان بنيادمسكن انقلاب اسلامي</v>
      </c>
      <c r="S698" s="1" t="str">
        <f>"قرارداد فروش"</f>
        <v>قرارداد فروش</v>
      </c>
      <c r="T698" s="1" t="str">
        <f>"ندارد"</f>
        <v>ندارد</v>
      </c>
      <c r="U698" s="1" t="str">
        <f>"دهقانيان بيژن (4954038)"</f>
        <v>دهقانيان بيژن (4954038)</v>
      </c>
      <c r="V698" s="1">
        <v>966200081</v>
      </c>
      <c r="W698" s="1">
        <v>966200081</v>
      </c>
      <c r="X698" s="1" t="str">
        <f>"1396481180"</f>
        <v>1396481180</v>
      </c>
      <c r="Y698" s="1" t="str">
        <f>"96/02/26"</f>
        <v>96/02/26</v>
      </c>
      <c r="Z698" s="1" t="str">
        <f>"6841/د"</f>
        <v>6841/د</v>
      </c>
      <c r="AA698" s="1" t="str">
        <f>"بنيادمسكن انقلاب اسلامي"</f>
        <v>بنيادمسكن انقلاب اسلامي</v>
      </c>
      <c r="AB698" s="1" t="str">
        <f>"96/02/25"</f>
        <v>96/02/25</v>
      </c>
      <c r="AC698" s="1" t="str">
        <f>"بوشهر"</f>
        <v>بوشهر</v>
      </c>
      <c r="AD698" s="1" t="str">
        <f>"96/02/26"</f>
        <v>96/02/26</v>
      </c>
      <c r="AE698" s="1" t="str">
        <f>"اختتام"</f>
        <v>اختتام</v>
      </c>
      <c r="AF698" s="1" t="str">
        <f>""</f>
        <v/>
      </c>
      <c r="AG698" s="1" t="str">
        <f>""</f>
        <v/>
      </c>
      <c r="AH698" s="1" t="str">
        <f>""</f>
        <v/>
      </c>
      <c r="AI698" s="1" t="str">
        <f>""</f>
        <v/>
      </c>
      <c r="AJ698" s="1" t="str">
        <f>""</f>
        <v/>
      </c>
      <c r="AK698" s="1" t="str">
        <f>""</f>
        <v/>
      </c>
    </row>
    <row r="699" spans="1:37">
      <c r="A699" s="1">
        <v>68000</v>
      </c>
      <c r="B699" s="1">
        <v>966200363</v>
      </c>
      <c r="C699" s="1" t="str">
        <f>"تخليه - چهارمحال و بختياري-لردگان-سه راهي کوشکي-کيلومتر 7 جاده ياسوج-سه راهي سلح چين-شرکت کارخانه آسفالت کوثر خانميرزا"</f>
        <v>تخليه - چهارمحال و بختياري-لردگان-سه راهي کوشکي-کيلومتر 7 جاده ياسوج-سه راهي سلح چين-شرکت کارخانه آسفالت کوثر خانميرزا</v>
      </c>
      <c r="D699" s="1">
        <v>9416</v>
      </c>
      <c r="E699" s="1">
        <v>68000</v>
      </c>
      <c r="F699" s="1">
        <v>96</v>
      </c>
      <c r="G699" s="1">
        <v>0</v>
      </c>
      <c r="H699" s="1" t="str">
        <f>"96/08/09"</f>
        <v>96/08/09</v>
      </c>
      <c r="I699" s="1" t="str">
        <f>"كيلوگرم"</f>
        <v>كيلوگرم</v>
      </c>
      <c r="J699" s="1" t="str">
        <f>"0000000076"</f>
        <v>0000000076</v>
      </c>
      <c r="K699" s="1" t="str">
        <f>"قير 60/70 - فله"</f>
        <v>قير 60/70 - فله</v>
      </c>
      <c r="L699" s="1">
        <v>100</v>
      </c>
      <c r="M699" s="1" t="str">
        <f>"مخازن قير اصفهان"</f>
        <v>مخازن قير اصفهان</v>
      </c>
      <c r="N699" s="1">
        <v>11281</v>
      </c>
      <c r="O699" s="1">
        <v>50036977</v>
      </c>
      <c r="P699" s="1" t="str">
        <f>"  پوياسازه ارمند"</f>
        <v xml:space="preserve">  پوياسازه ارمند</v>
      </c>
      <c r="Q699" s="1">
        <v>62</v>
      </c>
      <c r="R699" s="1" t="str">
        <f>"فروش داخلي - سازمان بنيادمسكن انقلاب اسلامي"</f>
        <v>فروش داخلي - سازمان بنيادمسكن انقلاب اسلامي</v>
      </c>
      <c r="S699" s="1" t="str">
        <f>"قرارداد فروش"</f>
        <v>قرارداد فروش</v>
      </c>
      <c r="T699" s="1" t="str">
        <f>"ندارد"</f>
        <v>ندارد</v>
      </c>
      <c r="U699" s="1" t="str">
        <f>"ريسماني حسن(1007ج89)"</f>
        <v>ريسماني حسن(1007ج89)</v>
      </c>
      <c r="V699" s="1">
        <v>966200363</v>
      </c>
      <c r="W699" s="1">
        <v>966200363</v>
      </c>
      <c r="X699" s="1" t="str">
        <f>"1396522408"</f>
        <v>1396522408</v>
      </c>
      <c r="Y699" s="1" t="str">
        <f>"96/08/09"</f>
        <v>96/08/09</v>
      </c>
      <c r="Z699" s="1" t="str">
        <f>"35264/د"</f>
        <v>35264/د</v>
      </c>
      <c r="AA699" s="1" t="str">
        <f>"بنيادمسكن انقلاب اسلامي"</f>
        <v>بنيادمسكن انقلاب اسلامي</v>
      </c>
      <c r="AB699" s="1" t="str">
        <f>"96/08/08"</f>
        <v>96/08/08</v>
      </c>
      <c r="AC699" s="1" t="str">
        <f>"استان چهارمحال بختياري"</f>
        <v>استان چهارمحال بختياري</v>
      </c>
      <c r="AD699" s="1" t="str">
        <f>"96/08/09"</f>
        <v>96/08/09</v>
      </c>
      <c r="AE699" s="1" t="str">
        <f>"اختتام"</f>
        <v>اختتام</v>
      </c>
      <c r="AF699" s="1" t="str">
        <f>""</f>
        <v/>
      </c>
      <c r="AG699" s="1" t="str">
        <f>""</f>
        <v/>
      </c>
      <c r="AH699" s="1" t="str">
        <f>""</f>
        <v/>
      </c>
      <c r="AI699" s="1" t="str">
        <f>""</f>
        <v/>
      </c>
      <c r="AJ699" s="1" t="str">
        <f>""</f>
        <v/>
      </c>
      <c r="AK699" s="1" t="str">
        <f>""</f>
        <v/>
      </c>
    </row>
    <row r="700" spans="1:37">
      <c r="A700" s="1">
        <v>125000</v>
      </c>
      <c r="B700" s="1">
        <v>966200401</v>
      </c>
      <c r="C700" s="1" t="str">
        <f>"تخليه - چهارمحال و بختياري-لردگان-سه راهي کوشکي-کيلومتر 7 جاده ياسوج-سه راهي سلح چين-شرکت کارخانه آسفالت کوثر خانميرزا"</f>
        <v>تخليه - چهارمحال و بختياري-لردگان-سه راهي کوشکي-کيلومتر 7 جاده ياسوج-سه راهي سلح چين-شرکت کارخانه آسفالت کوثر خانميرزا</v>
      </c>
      <c r="D700" s="1">
        <v>12820</v>
      </c>
      <c r="E700" s="1">
        <v>125000</v>
      </c>
      <c r="F700" s="1">
        <v>96</v>
      </c>
      <c r="G700" s="1">
        <v>0</v>
      </c>
      <c r="H700" s="1" t="str">
        <f>"96/09/08"</f>
        <v>96/09/08</v>
      </c>
      <c r="I700" s="1" t="str">
        <f>"كيلوگرم"</f>
        <v>كيلوگرم</v>
      </c>
      <c r="J700" s="1" t="str">
        <f>"0000000076"</f>
        <v>0000000076</v>
      </c>
      <c r="K700" s="1" t="str">
        <f>"قير 60/70 - فله"</f>
        <v>قير 60/70 - فله</v>
      </c>
      <c r="L700" s="1">
        <v>100</v>
      </c>
      <c r="M700" s="1" t="str">
        <f>"مخازن قير اصفهان"</f>
        <v>مخازن قير اصفهان</v>
      </c>
      <c r="N700" s="1">
        <v>11281</v>
      </c>
      <c r="O700" s="1">
        <v>50037365</v>
      </c>
      <c r="P700" s="1" t="str">
        <f>"  پوياسازه ارمند"</f>
        <v xml:space="preserve">  پوياسازه ارمند</v>
      </c>
      <c r="Q700" s="1">
        <v>62</v>
      </c>
      <c r="R700" s="1" t="str">
        <f>"فروش داخلي - سازمان بنيادمسكن انقلاب اسلامي"</f>
        <v>فروش داخلي - سازمان بنيادمسكن انقلاب اسلامي</v>
      </c>
      <c r="S700" s="1" t="str">
        <f>"قرارداد فروش"</f>
        <v>قرارداد فروش</v>
      </c>
      <c r="T700" s="1" t="str">
        <f>"ندارد"</f>
        <v>ندارد</v>
      </c>
      <c r="U700" s="1" t="str">
        <f>"ريسماني حسن(1007ج89)"</f>
        <v>ريسماني حسن(1007ج89)</v>
      </c>
      <c r="V700" s="1">
        <v>966200401</v>
      </c>
      <c r="W700" s="1">
        <v>966200401</v>
      </c>
      <c r="X700" s="1" t="str">
        <f>"1396529172"</f>
        <v>1396529172</v>
      </c>
      <c r="Y700" s="1" t="str">
        <f>"96/09/08"</f>
        <v>96/09/08</v>
      </c>
      <c r="Z700" s="1" t="str">
        <f>"38789/د"</f>
        <v>38789/د</v>
      </c>
      <c r="AA700" s="1" t="str">
        <f>"بنيادمسكن انقلاب اسلامي"</f>
        <v>بنيادمسكن انقلاب اسلامي</v>
      </c>
      <c r="AB700" s="1" t="str">
        <f>"96/09/01"</f>
        <v>96/09/01</v>
      </c>
      <c r="AC700" s="1" t="str">
        <f>"استان چهارمحال بختياري"</f>
        <v>استان چهارمحال بختياري</v>
      </c>
      <c r="AD700" s="1" t="str">
        <f>"96/09/08"</f>
        <v>96/09/08</v>
      </c>
      <c r="AE700" s="1" t="str">
        <f>"اختتام"</f>
        <v>اختتام</v>
      </c>
      <c r="AF700" s="1" t="str">
        <f>""</f>
        <v/>
      </c>
      <c r="AG700" s="1" t="str">
        <f>""</f>
        <v/>
      </c>
      <c r="AH700" s="1" t="str">
        <f>""</f>
        <v/>
      </c>
      <c r="AI700" s="1" t="str">
        <f>""</f>
        <v/>
      </c>
      <c r="AJ700" s="1" t="str">
        <f>""</f>
        <v/>
      </c>
      <c r="AK700" s="1" t="str">
        <f>""</f>
        <v/>
      </c>
    </row>
    <row r="701" spans="1:37">
      <c r="A701" s="1">
        <v>317000</v>
      </c>
      <c r="B701" s="1">
        <v>966200584</v>
      </c>
      <c r="C701" s="1" t="str">
        <f>"تخليه - کرمان - کيلومتر 15 جاده کرمان زرند-روبروي پمپ بنزين-کارخانه آسفالت گستران زنگلان"</f>
        <v>تخليه - کرمان - کيلومتر 15 جاده کرمان زرند-روبروي پمپ بنزين-کارخانه آسفالت گستران زنگلان</v>
      </c>
      <c r="D701" s="1">
        <v>13200</v>
      </c>
      <c r="E701" s="1">
        <v>315860</v>
      </c>
      <c r="F701" s="1">
        <v>96</v>
      </c>
      <c r="G701" s="1">
        <v>1140</v>
      </c>
      <c r="H701" s="1" t="str">
        <f>"96/11/25"</f>
        <v>96/11/25</v>
      </c>
      <c r="I701" s="1" t="str">
        <f>"كيلوگرم"</f>
        <v>كيلوگرم</v>
      </c>
      <c r="J701" s="1" t="str">
        <f>"0000000076"</f>
        <v>0000000076</v>
      </c>
      <c r="K701" s="1" t="str">
        <f>"قير 60/70 - فله"</f>
        <v>قير 60/70 - فله</v>
      </c>
      <c r="L701" s="1">
        <v>100</v>
      </c>
      <c r="M701" s="1" t="str">
        <f>"مخازن قير اصفهان"</f>
        <v>مخازن قير اصفهان</v>
      </c>
      <c r="N701" s="1">
        <v>11288</v>
      </c>
      <c r="O701" s="1">
        <v>50038520</v>
      </c>
      <c r="P701" s="1" t="str">
        <f>"  آسفالت گستران زنگلان"</f>
        <v xml:space="preserve">  آسفالت گستران زنگلان</v>
      </c>
      <c r="Q701" s="1">
        <v>62</v>
      </c>
      <c r="R701" s="1" t="str">
        <f>"فروش داخلي - سازمان بنيادمسكن انقلاب اسلامي"</f>
        <v>فروش داخلي - سازمان بنيادمسكن انقلاب اسلامي</v>
      </c>
      <c r="S701" s="1" t="str">
        <f>"قرارداد فروش"</f>
        <v>قرارداد فروش</v>
      </c>
      <c r="T701" s="1" t="str">
        <f>"ندارد"</f>
        <v>ندارد</v>
      </c>
      <c r="U701" s="1" t="str">
        <f>"دهقانيان بيژن (4954038)"</f>
        <v>دهقانيان بيژن (4954038)</v>
      </c>
      <c r="V701" s="1">
        <v>966200584</v>
      </c>
      <c r="W701" s="1">
        <v>966200584</v>
      </c>
      <c r="X701" s="1" t="str">
        <f>"1396548725"</f>
        <v>1396548725</v>
      </c>
      <c r="Y701" s="1" t="str">
        <f>"96/11/25"</f>
        <v>96/11/25</v>
      </c>
      <c r="Z701" s="1" t="str">
        <f>"53051/د"</f>
        <v>53051/د</v>
      </c>
      <c r="AA701" s="1" t="str">
        <f>"بنيادمسكن انقلاب اسلامي"</f>
        <v>بنيادمسكن انقلاب اسلامي</v>
      </c>
      <c r="AB701" s="1" t="str">
        <f>"96/11/24"</f>
        <v>96/11/24</v>
      </c>
      <c r="AC701" s="1" t="str">
        <f>"استان كرمان"</f>
        <v>استان كرمان</v>
      </c>
      <c r="AD701" s="1" t="str">
        <f>"96/11/25"</f>
        <v>96/11/25</v>
      </c>
      <c r="AE701" s="1" t="str">
        <f>"اختتام"</f>
        <v>اختتام</v>
      </c>
      <c r="AF701" s="1" t="str">
        <f>""</f>
        <v/>
      </c>
      <c r="AG701" s="1" t="str">
        <f>""</f>
        <v/>
      </c>
      <c r="AH701" s="1" t="str">
        <f>""</f>
        <v/>
      </c>
      <c r="AI701" s="1" t="str">
        <f>""</f>
        <v/>
      </c>
      <c r="AJ701" s="1" t="str">
        <f>""</f>
        <v/>
      </c>
      <c r="AK701" s="1" t="str">
        <f>""</f>
        <v/>
      </c>
    </row>
    <row r="702" spans="1:37">
      <c r="A702" s="1">
        <v>100000</v>
      </c>
      <c r="B702" s="1">
        <v>966200429</v>
      </c>
      <c r="C702" s="1" t="str">
        <f>"تخليه - کرمان - رفسنجان-کيلومتر 20جاده رفسنجان-تهران-شرکت تعاوني دهياري ها"</f>
        <v>تخليه - کرمان - رفسنجان-کيلومتر 20جاده رفسنجان-تهران-شرکت تعاوني دهياري ها</v>
      </c>
      <c r="D702" s="1">
        <v>12820</v>
      </c>
      <c r="E702" s="1">
        <v>99360</v>
      </c>
      <c r="F702" s="1">
        <v>96</v>
      </c>
      <c r="G702" s="1">
        <v>640</v>
      </c>
      <c r="H702" s="1" t="str">
        <f>"96/09/18"</f>
        <v>96/09/18</v>
      </c>
      <c r="I702" s="1" t="str">
        <f>"كيلوگرم"</f>
        <v>كيلوگرم</v>
      </c>
      <c r="J702" s="1" t="str">
        <f>"0000000076"</f>
        <v>0000000076</v>
      </c>
      <c r="K702" s="1" t="str">
        <f>"قير 60/70 - فله"</f>
        <v>قير 60/70 - فله</v>
      </c>
      <c r="L702" s="1">
        <v>100</v>
      </c>
      <c r="M702" s="1" t="str">
        <f>"مخازن قير اصفهان"</f>
        <v>مخازن قير اصفهان</v>
      </c>
      <c r="N702" s="1">
        <v>11318</v>
      </c>
      <c r="O702" s="1">
        <v>50037556</v>
      </c>
      <c r="P702" s="1" t="str">
        <f>"  زاويه سازان کوير"</f>
        <v xml:space="preserve">  زاويه سازان کوير</v>
      </c>
      <c r="Q702" s="1">
        <v>62</v>
      </c>
      <c r="R702" s="1" t="str">
        <f>"فروش داخلي - سازمان بنيادمسكن انقلاب اسلامي"</f>
        <v>فروش داخلي - سازمان بنيادمسكن انقلاب اسلامي</v>
      </c>
      <c r="S702" s="1" t="str">
        <f>"قرارداد فروش"</f>
        <v>قرارداد فروش</v>
      </c>
      <c r="T702" s="1" t="str">
        <f>"ندارد"</f>
        <v>ندارد</v>
      </c>
      <c r="U702" s="1" t="str">
        <f>"قانعي محمدرضا(1011ج89)"</f>
        <v>قانعي محمدرضا(1011ج89)</v>
      </c>
      <c r="V702" s="1">
        <v>966200429</v>
      </c>
      <c r="W702" s="1">
        <v>966200429</v>
      </c>
      <c r="X702" s="1" t="str">
        <f>"1396531057"</f>
        <v>1396531057</v>
      </c>
      <c r="Y702" s="1" t="str">
        <f>"96/09/18"</f>
        <v>96/09/18</v>
      </c>
      <c r="Z702" s="1" t="str">
        <f>"40628/د"</f>
        <v>40628/د</v>
      </c>
      <c r="AA702" s="1" t="str">
        <f>"بنيادمسكن انقلاب اسلامي"</f>
        <v>بنيادمسكن انقلاب اسلامي</v>
      </c>
      <c r="AB702" s="1" t="str">
        <f>"96/09/14"</f>
        <v>96/09/14</v>
      </c>
      <c r="AC702" s="1" t="str">
        <f>"استان كرمان"</f>
        <v>استان كرمان</v>
      </c>
      <c r="AD702" s="1" t="str">
        <f>"96/09/18"</f>
        <v>96/09/18</v>
      </c>
      <c r="AE702" s="1" t="str">
        <f>"اختتام"</f>
        <v>اختتام</v>
      </c>
      <c r="AF702" s="1" t="str">
        <f>""</f>
        <v/>
      </c>
      <c r="AG702" s="1" t="str">
        <f>""</f>
        <v/>
      </c>
      <c r="AH702" s="1" t="str">
        <f>""</f>
        <v/>
      </c>
      <c r="AI702" s="1" t="str">
        <f>""</f>
        <v/>
      </c>
      <c r="AJ702" s="1" t="str">
        <f>""</f>
        <v/>
      </c>
      <c r="AK702" s="1" t="str">
        <f>""</f>
        <v/>
      </c>
    </row>
    <row r="703" spans="1:37">
      <c r="A703" s="1">
        <v>120000</v>
      </c>
      <c r="B703" s="1">
        <v>966200755</v>
      </c>
      <c r="C703" s="1" t="str">
        <f>"تخليه - کرمان - رفسنجان-کيلومتر 20جاده رفسنجان-تهران-شرکت تعاوني دهياري ها"</f>
        <v>تخليه - کرمان - رفسنجان-کيلومتر 20جاده رفسنجان-تهران-شرکت تعاوني دهياري ها</v>
      </c>
      <c r="D703" s="1">
        <v>13350</v>
      </c>
      <c r="E703" s="1">
        <v>118220</v>
      </c>
      <c r="F703" s="1">
        <v>96</v>
      </c>
      <c r="G703" s="1">
        <v>1780</v>
      </c>
      <c r="H703" s="1" t="str">
        <f>"96/12/27"</f>
        <v>96/12/27</v>
      </c>
      <c r="I703" s="1" t="str">
        <f>"كيلوگرم"</f>
        <v>كيلوگرم</v>
      </c>
      <c r="J703" s="1" t="str">
        <f>"0000000076"</f>
        <v>0000000076</v>
      </c>
      <c r="K703" s="1" t="str">
        <f>"قير 60/70 - فله"</f>
        <v>قير 60/70 - فله</v>
      </c>
      <c r="L703" s="1">
        <v>100</v>
      </c>
      <c r="M703" s="1" t="str">
        <f>"مخازن قير اصفهان"</f>
        <v>مخازن قير اصفهان</v>
      </c>
      <c r="N703" s="1">
        <v>11318</v>
      </c>
      <c r="O703" s="1">
        <v>50039123</v>
      </c>
      <c r="P703" s="1" t="str">
        <f>"  زاويه سازان کوير"</f>
        <v xml:space="preserve">  زاويه سازان کوير</v>
      </c>
      <c r="Q703" s="1">
        <v>62</v>
      </c>
      <c r="R703" s="1" t="str">
        <f>"فروش داخلي - سازمان بنيادمسكن انقلاب اسلامي"</f>
        <v>فروش داخلي - سازمان بنيادمسكن انقلاب اسلامي</v>
      </c>
      <c r="S703" s="1" t="str">
        <f>"قرارداد فروش"</f>
        <v>قرارداد فروش</v>
      </c>
      <c r="T703" s="1" t="str">
        <f>"ندارد"</f>
        <v>ندارد</v>
      </c>
      <c r="U703" s="1" t="str">
        <f>"تعاوني جم گستر (1001 ج 89)"</f>
        <v>تعاوني جم گستر (1001 ج 89)</v>
      </c>
      <c r="V703" s="1">
        <v>966200755</v>
      </c>
      <c r="W703" s="1">
        <v>966200755</v>
      </c>
      <c r="X703" s="1" t="str">
        <f>"1396555465"</f>
        <v>1396555465</v>
      </c>
      <c r="Y703" s="1" t="str">
        <f>"96/12/27"</f>
        <v>96/12/27</v>
      </c>
      <c r="Z703" s="1" t="str">
        <f>"59989/د"</f>
        <v>59989/د</v>
      </c>
      <c r="AA703" s="1" t="str">
        <f>"بنيادمسكن انقلاب اسلامي"</f>
        <v>بنيادمسكن انقلاب اسلامي</v>
      </c>
      <c r="AB703" s="1" t="str">
        <f>"96/12/26"</f>
        <v>96/12/26</v>
      </c>
      <c r="AC703" s="1" t="str">
        <f>"استان كرمان"</f>
        <v>استان كرمان</v>
      </c>
      <c r="AD703" s="1" t="str">
        <f>"96/12/27"</f>
        <v>96/12/27</v>
      </c>
      <c r="AE703" s="1" t="str">
        <f>"اختتام"</f>
        <v>اختتام</v>
      </c>
      <c r="AF703" s="1" t="str">
        <f>""</f>
        <v/>
      </c>
      <c r="AG703" s="1" t="str">
        <f>""</f>
        <v/>
      </c>
      <c r="AH703" s="1" t="str">
        <f>""</f>
        <v/>
      </c>
      <c r="AI703" s="1" t="str">
        <f>""</f>
        <v/>
      </c>
      <c r="AJ703" s="1" t="str">
        <f>""</f>
        <v/>
      </c>
      <c r="AK703" s="1" t="str">
        <f>""</f>
        <v/>
      </c>
    </row>
    <row r="704" spans="1:37">
      <c r="A704" s="1">
        <v>73000</v>
      </c>
      <c r="B704" s="1">
        <v>966200009</v>
      </c>
      <c r="C704" s="1" t="str">
        <f>"تخليه  كرمانشاه روانسركارخانه آسفالت يداله محمدي"</f>
        <v>تخليه  كرمانشاه روانسركارخانه آسفالت يداله محمدي</v>
      </c>
      <c r="D704" s="1">
        <v>8198</v>
      </c>
      <c r="E704" s="1">
        <v>73000</v>
      </c>
      <c r="F704" s="1">
        <v>96</v>
      </c>
      <c r="G704" s="1">
        <v>0</v>
      </c>
      <c r="H704" s="1" t="str">
        <f>"96/01/21"</f>
        <v>96/01/21</v>
      </c>
      <c r="I704" s="1" t="str">
        <f>"كيلوگرم"</f>
        <v>كيلوگرم</v>
      </c>
      <c r="J704" s="1" t="str">
        <f>"0000000076"</f>
        <v>0000000076</v>
      </c>
      <c r="K704" s="1" t="str">
        <f>"قير 60/70 - فله"</f>
        <v>قير 60/70 - فله</v>
      </c>
      <c r="L704" s="1">
        <v>100</v>
      </c>
      <c r="M704" s="1" t="str">
        <f>"مخازن قير اصفهان"</f>
        <v>مخازن قير اصفهان</v>
      </c>
      <c r="N704" s="1">
        <v>11324</v>
      </c>
      <c r="O704" s="1">
        <v>50034469</v>
      </c>
      <c r="P704" s="1" t="str">
        <f>"  کاشانه سازان امير"</f>
        <v xml:space="preserve">  کاشانه سازان امير</v>
      </c>
      <c r="Q704" s="1">
        <v>62</v>
      </c>
      <c r="R704" s="1" t="str">
        <f>"فروش داخلي - سازمان بنيادمسكن انقلاب اسلامي"</f>
        <v>فروش داخلي - سازمان بنيادمسكن انقلاب اسلامي</v>
      </c>
      <c r="S704" s="1" t="str">
        <f>"قرارداد فروش"</f>
        <v>قرارداد فروش</v>
      </c>
      <c r="T704" s="1" t="str">
        <f>"ندارد"</f>
        <v>ندارد</v>
      </c>
      <c r="U704" s="1" t="str">
        <f>"حاجيلوئي علي اصغر(2842019)"</f>
        <v>حاجيلوئي علي اصغر(2842019)</v>
      </c>
      <c r="V704" s="1">
        <v>966200009</v>
      </c>
      <c r="W704" s="1">
        <v>966200009</v>
      </c>
      <c r="X704" s="1" t="str">
        <f>"1396472723"</f>
        <v>1396472723</v>
      </c>
      <c r="Y704" s="1" t="str">
        <f>"96/01/21"</f>
        <v>96/01/21</v>
      </c>
      <c r="Z704" s="1" t="str">
        <f>"995/د"</f>
        <v>995/د</v>
      </c>
      <c r="AA704" s="1" t="str">
        <f>"بنيادمسكن انقلاب اسلامي"</f>
        <v>بنيادمسكن انقلاب اسلامي</v>
      </c>
      <c r="AB704" s="1" t="str">
        <f>"96/01/19"</f>
        <v>96/01/19</v>
      </c>
      <c r="AC704" s="1" t="str">
        <f>"استان كرمانشاه"</f>
        <v>استان كرمانشاه</v>
      </c>
      <c r="AD704" s="1" t="str">
        <f>"96/01/20"</f>
        <v>96/01/20</v>
      </c>
      <c r="AE704" s="1" t="str">
        <f>"اختتام"</f>
        <v>اختتام</v>
      </c>
      <c r="AF704" s="1" t="str">
        <f>""</f>
        <v/>
      </c>
      <c r="AG704" s="1" t="str">
        <f>""</f>
        <v/>
      </c>
      <c r="AH704" s="1" t="str">
        <f>""</f>
        <v/>
      </c>
      <c r="AI704" s="1" t="str">
        <f>""</f>
        <v/>
      </c>
      <c r="AJ704" s="1" t="str">
        <f>""</f>
        <v/>
      </c>
      <c r="AK704" s="1" t="str">
        <f>""</f>
        <v/>
      </c>
    </row>
    <row r="705" spans="1:37">
      <c r="A705" s="1">
        <v>497000</v>
      </c>
      <c r="B705" s="1">
        <v>966200261</v>
      </c>
      <c r="C705" s="1" t="str">
        <f>"تخليه - سيستان و بلوچستان-هامون-شهرمحمدآباد -کارخانه آسفالت برادران طباطبايي"</f>
        <v>تخليه - سيستان و بلوچستان-هامون-شهرمحمدآباد -کارخانه آسفالت برادران طباطبايي</v>
      </c>
      <c r="D705" s="1">
        <v>9113</v>
      </c>
      <c r="E705" s="1">
        <v>497000</v>
      </c>
      <c r="F705" s="1">
        <v>96</v>
      </c>
      <c r="G705" s="1">
        <v>0</v>
      </c>
      <c r="H705" s="1" t="str">
        <f>"96/07/05"</f>
        <v>96/07/05</v>
      </c>
      <c r="I705" s="1" t="str">
        <f>"كيلوگرم"</f>
        <v>كيلوگرم</v>
      </c>
      <c r="J705" s="1" t="str">
        <f>"0000000076"</f>
        <v>0000000076</v>
      </c>
      <c r="K705" s="1" t="str">
        <f>"قير 60/70 - فله"</f>
        <v>قير 60/70 - فله</v>
      </c>
      <c r="L705" s="1">
        <v>100</v>
      </c>
      <c r="M705" s="1" t="str">
        <f>"مخازن قير اصفهان"</f>
        <v>مخازن قير اصفهان</v>
      </c>
      <c r="N705" s="1">
        <v>11360</v>
      </c>
      <c r="O705" s="1">
        <v>50036298</v>
      </c>
      <c r="P705" s="1" t="str">
        <f>"  پارت سازان هامون"</f>
        <v xml:space="preserve">  پارت سازان هامون</v>
      </c>
      <c r="Q705" s="1">
        <v>62</v>
      </c>
      <c r="R705" s="1" t="str">
        <f>"فروش داخلي - سازمان بنيادمسكن انقلاب اسلامي"</f>
        <v>فروش داخلي - سازمان بنيادمسكن انقلاب اسلامي</v>
      </c>
      <c r="S705" s="1" t="str">
        <f>"قرارداد فروش"</f>
        <v>قرارداد فروش</v>
      </c>
      <c r="T705" s="1" t="str">
        <f>"ندارد"</f>
        <v>ندارد</v>
      </c>
      <c r="U705" s="1" t="str">
        <f>"قانعي محمدرضا(1011ج89)"</f>
        <v>قانعي محمدرضا(1011ج89)</v>
      </c>
      <c r="V705" s="1">
        <v>966200261</v>
      </c>
      <c r="W705" s="1">
        <v>966200261</v>
      </c>
      <c r="X705" s="1" t="str">
        <f>"1396514733"</f>
        <v>1396514733</v>
      </c>
      <c r="Y705" s="1" t="str">
        <f>"96/07/05"</f>
        <v>96/07/05</v>
      </c>
      <c r="Z705" s="1" t="str">
        <f>"29254/د"</f>
        <v>29254/د</v>
      </c>
      <c r="AA705" s="1" t="str">
        <f>"بنيادمسكن انقلاب اسلامي"</f>
        <v>بنيادمسكن انقلاب اسلامي</v>
      </c>
      <c r="AB705" s="1" t="str">
        <f>"96/07/02"</f>
        <v>96/07/02</v>
      </c>
      <c r="AC705" s="1" t="str">
        <f>"استان سيستان بلوچستان"</f>
        <v>استان سيستان بلوچستان</v>
      </c>
      <c r="AD705" s="1" t="str">
        <f>"96/07/04"</f>
        <v>96/07/04</v>
      </c>
      <c r="AE705" s="1" t="str">
        <f>"اختتام"</f>
        <v>اختتام</v>
      </c>
      <c r="AF705" s="1" t="str">
        <f>""</f>
        <v/>
      </c>
      <c r="AG705" s="1" t="str">
        <f>""</f>
        <v/>
      </c>
      <c r="AH705" s="1" t="str">
        <f>""</f>
        <v/>
      </c>
      <c r="AI705" s="1" t="str">
        <f>""</f>
        <v/>
      </c>
      <c r="AJ705" s="1" t="str">
        <f>""</f>
        <v/>
      </c>
      <c r="AK705" s="1" t="str">
        <f>""</f>
        <v/>
      </c>
    </row>
    <row r="706" spans="1:37">
      <c r="A706" s="1">
        <v>116000</v>
      </c>
      <c r="B706" s="1">
        <v>966200547</v>
      </c>
      <c r="C706" s="1" t="str">
        <f>"تخليه - لرستان-خرم آباد -بخش مرکزي-ده  پير رستاي اسکين-کارخانه آسفالت پرتو صنعت نور"</f>
        <v>تخليه - لرستان-خرم آباد -بخش مرکزي-ده  پير رستاي اسکين-کارخانه آسفالت پرتو صنعت نور</v>
      </c>
      <c r="D706" s="1">
        <v>13200</v>
      </c>
      <c r="E706" s="1">
        <v>115260</v>
      </c>
      <c r="F706" s="1">
        <v>96</v>
      </c>
      <c r="G706" s="1">
        <v>740</v>
      </c>
      <c r="H706" s="1" t="str">
        <f>"96/11/04"</f>
        <v>96/11/04</v>
      </c>
      <c r="I706" s="1" t="str">
        <f>"كيلوگرم"</f>
        <v>كيلوگرم</v>
      </c>
      <c r="J706" s="1" t="str">
        <f>"0000000076"</f>
        <v>0000000076</v>
      </c>
      <c r="K706" s="1" t="str">
        <f>"قير 60/70 - فله"</f>
        <v>قير 60/70 - فله</v>
      </c>
      <c r="L706" s="1">
        <v>100</v>
      </c>
      <c r="M706" s="1" t="str">
        <f>"مخازن قير اصفهان"</f>
        <v>مخازن قير اصفهان</v>
      </c>
      <c r="N706" s="1">
        <v>11364</v>
      </c>
      <c r="O706" s="1">
        <v>50038281</v>
      </c>
      <c r="P706" s="1" t="str">
        <f>"  اپال سان صنعت"</f>
        <v xml:space="preserve">  اپال سان صنعت</v>
      </c>
      <c r="Q706" s="1">
        <v>62</v>
      </c>
      <c r="R706" s="1" t="str">
        <f>"فروش داخلي - سازمان بنيادمسكن انقلاب اسلامي"</f>
        <v>فروش داخلي - سازمان بنيادمسكن انقلاب اسلامي</v>
      </c>
      <c r="S706" s="1" t="str">
        <f>"قرارداد فروش"</f>
        <v>قرارداد فروش</v>
      </c>
      <c r="T706" s="1" t="str">
        <f>"ندارد"</f>
        <v>ندارد</v>
      </c>
      <c r="U706" s="1" t="str">
        <f>"ريسماني حسن(1007ج89)"</f>
        <v>ريسماني حسن(1007ج89)</v>
      </c>
      <c r="V706" s="1">
        <v>966200547</v>
      </c>
      <c r="W706" s="1">
        <v>966200547</v>
      </c>
      <c r="X706" s="1" t="str">
        <f>"1396543189"</f>
        <v>1396543189</v>
      </c>
      <c r="Y706" s="1" t="str">
        <f>"96/11/04"</f>
        <v>96/11/04</v>
      </c>
      <c r="Z706" s="1" t="str">
        <f>"49229/د"</f>
        <v>49229/د</v>
      </c>
      <c r="AA706" s="1" t="str">
        <f>"بنيادمسكن انقلاب اسلامي"</f>
        <v>بنيادمسكن انقلاب اسلامي</v>
      </c>
      <c r="AB706" s="1" t="str">
        <f>"96/11/03"</f>
        <v>96/11/03</v>
      </c>
      <c r="AC706" s="1" t="str">
        <f>"لرستان"</f>
        <v>لرستان</v>
      </c>
      <c r="AD706" s="1" t="str">
        <f>"96/11/04"</f>
        <v>96/11/04</v>
      </c>
      <c r="AE706" s="1" t="str">
        <f>"اختتام"</f>
        <v>اختتام</v>
      </c>
      <c r="AF706" s="1" t="str">
        <f>""</f>
        <v/>
      </c>
      <c r="AG706" s="1" t="str">
        <f>""</f>
        <v/>
      </c>
      <c r="AH706" s="1" t="str">
        <f>""</f>
        <v/>
      </c>
      <c r="AI706" s="1" t="str">
        <f>""</f>
        <v/>
      </c>
      <c r="AJ706" s="1" t="str">
        <f>""</f>
        <v/>
      </c>
      <c r="AK706" s="1" t="str">
        <f>""</f>
        <v/>
      </c>
    </row>
    <row r="707" spans="1:37">
      <c r="A707" s="1">
        <v>358000</v>
      </c>
      <c r="B707" s="1">
        <v>966200112</v>
      </c>
      <c r="C707" s="1" t="str">
        <f>"تخليه -گلستان-کمربندي آزادشهر-کيلومتر جاده آق امام-شرکت زرين سنگ اطلس"</f>
        <v>تخليه -گلستان-کمربندي آزادشهر-کيلومتر جاده آق امام-شرکت زرين سنگ اطلس</v>
      </c>
      <c r="D707" s="1">
        <v>9204</v>
      </c>
      <c r="E707" s="1">
        <v>357600</v>
      </c>
      <c r="F707" s="1">
        <v>96</v>
      </c>
      <c r="G707" s="1">
        <v>400</v>
      </c>
      <c r="H707" s="1" t="str">
        <f>"96/03/17"</f>
        <v>96/03/17</v>
      </c>
      <c r="I707" s="1" t="str">
        <f>"كيلوگرم"</f>
        <v>كيلوگرم</v>
      </c>
      <c r="J707" s="1" t="str">
        <f>"0000000076"</f>
        <v>0000000076</v>
      </c>
      <c r="K707" s="1" t="str">
        <f>"قير 60/70 - فله"</f>
        <v>قير 60/70 - فله</v>
      </c>
      <c r="L707" s="1">
        <v>100</v>
      </c>
      <c r="M707" s="1" t="str">
        <f>"مخازن قير اصفهان"</f>
        <v>مخازن قير اصفهان</v>
      </c>
      <c r="N707" s="1">
        <v>11369</v>
      </c>
      <c r="O707" s="1">
        <v>50034972</v>
      </c>
      <c r="P707" s="1" t="str">
        <f>"  زرين سنگ اطلس"</f>
        <v xml:space="preserve">  زرين سنگ اطلس</v>
      </c>
      <c r="Q707" s="1">
        <v>62</v>
      </c>
      <c r="R707" s="1" t="str">
        <f>"فروش داخلي - سازمان بنيادمسكن انقلاب اسلامي"</f>
        <v>فروش داخلي - سازمان بنيادمسكن انقلاب اسلامي</v>
      </c>
      <c r="S707" s="1" t="str">
        <f>"قرارداد فروش"</f>
        <v>قرارداد فروش</v>
      </c>
      <c r="T707" s="1" t="str">
        <f>"ندارد"</f>
        <v>ندارد</v>
      </c>
      <c r="U707" s="1" t="str">
        <f>"شيشه بر كريم(1841016)"</f>
        <v>شيشه بر كريم(1841016)</v>
      </c>
      <c r="V707" s="1">
        <v>966200112</v>
      </c>
      <c r="W707" s="1">
        <v>966200112</v>
      </c>
      <c r="X707" s="1" t="str">
        <f>"1396486333"</f>
        <v>1396486333</v>
      </c>
      <c r="Y707" s="1" t="str">
        <f>"96/03/17"</f>
        <v>96/03/17</v>
      </c>
      <c r="Z707" s="1" t="str">
        <f>"10166/د"</f>
        <v>10166/د</v>
      </c>
      <c r="AA707" s="1" t="str">
        <f>"بنيادمسكن انقلاب اسلامي"</f>
        <v>بنيادمسكن انقلاب اسلامي</v>
      </c>
      <c r="AB707" s="1" t="str">
        <f>"96/03/17"</f>
        <v>96/03/17</v>
      </c>
      <c r="AC707" s="1" t="str">
        <f>"استان گلستان"</f>
        <v>استان گلستان</v>
      </c>
      <c r="AD707" s="1" t="str">
        <f>"96/03/17"</f>
        <v>96/03/17</v>
      </c>
      <c r="AE707" s="1" t="str">
        <f>"اختتام"</f>
        <v>اختتام</v>
      </c>
      <c r="AF707" s="1" t="str">
        <f>""</f>
        <v/>
      </c>
      <c r="AG707" s="1" t="str">
        <f>""</f>
        <v/>
      </c>
      <c r="AH707" s="1" t="str">
        <f>""</f>
        <v/>
      </c>
      <c r="AI707" s="1" t="str">
        <f>""</f>
        <v/>
      </c>
      <c r="AJ707" s="1" t="str">
        <f>""</f>
        <v/>
      </c>
      <c r="AK707" s="1" t="str">
        <f>""</f>
        <v/>
      </c>
    </row>
    <row r="708" spans="1:37">
      <c r="A708" s="1">
        <v>936000</v>
      </c>
      <c r="B708" s="1">
        <v>966200583</v>
      </c>
      <c r="C708" s="1" t="str">
        <f>"تخليه -گلستان-کمربندي آزادشهر-کيلومتر جاده آق امام-شرکت زرين سنگ اطلس"</f>
        <v>تخليه -گلستان-کمربندي آزادشهر-کيلومتر جاده آق امام-شرکت زرين سنگ اطلس</v>
      </c>
      <c r="D708" s="1">
        <v>13200</v>
      </c>
      <c r="E708" s="1">
        <v>935520</v>
      </c>
      <c r="F708" s="1">
        <v>96</v>
      </c>
      <c r="G708" s="1">
        <v>480</v>
      </c>
      <c r="H708" s="1" t="str">
        <f>"96/11/24"</f>
        <v>96/11/24</v>
      </c>
      <c r="I708" s="1" t="str">
        <f>"كيلوگرم"</f>
        <v>كيلوگرم</v>
      </c>
      <c r="J708" s="1" t="str">
        <f>"0000000076"</f>
        <v>0000000076</v>
      </c>
      <c r="K708" s="1" t="str">
        <f>"قير 60/70 - فله"</f>
        <v>قير 60/70 - فله</v>
      </c>
      <c r="L708" s="1">
        <v>100</v>
      </c>
      <c r="M708" s="1" t="str">
        <f>"مخازن قير اصفهان"</f>
        <v>مخازن قير اصفهان</v>
      </c>
      <c r="N708" s="1">
        <v>11369</v>
      </c>
      <c r="O708" s="1">
        <v>50038512</v>
      </c>
      <c r="P708" s="1" t="str">
        <f>"  زرين سنگ اطلس"</f>
        <v xml:space="preserve">  زرين سنگ اطلس</v>
      </c>
      <c r="Q708" s="1">
        <v>62</v>
      </c>
      <c r="R708" s="1" t="str">
        <f>"فروش داخلي - سازمان بنيادمسكن انقلاب اسلامي"</f>
        <v>فروش داخلي - سازمان بنيادمسكن انقلاب اسلامي</v>
      </c>
      <c r="S708" s="1" t="str">
        <f>"قرارداد فروش"</f>
        <v>قرارداد فروش</v>
      </c>
      <c r="T708" s="1" t="str">
        <f>"ندارد"</f>
        <v>ندارد</v>
      </c>
      <c r="U708" s="1" t="str">
        <f>"شيشه بر كريم(1841016)"</f>
        <v>شيشه بر كريم(1841016)</v>
      </c>
      <c r="V708" s="1">
        <v>966200583</v>
      </c>
      <c r="W708" s="1">
        <v>966200583</v>
      </c>
      <c r="X708" s="1" t="str">
        <f>"1396547682"</f>
        <v>1396547682</v>
      </c>
      <c r="Y708" s="1" t="str">
        <f>"96/11/24"</f>
        <v>96/11/24</v>
      </c>
      <c r="Z708" s="1" t="str">
        <f>"52933/د"</f>
        <v>52933/د</v>
      </c>
      <c r="AA708" s="1" t="str">
        <f>"بنيادمسكن انقلاب اسلامي"</f>
        <v>بنيادمسكن انقلاب اسلامي</v>
      </c>
      <c r="AB708" s="1" t="str">
        <f>"96/11/24"</f>
        <v>96/11/24</v>
      </c>
      <c r="AC708" s="1" t="str">
        <f>"استان گلستان"</f>
        <v>استان گلستان</v>
      </c>
      <c r="AD708" s="1" t="str">
        <f>"96/11/24"</f>
        <v>96/11/24</v>
      </c>
      <c r="AE708" s="1" t="str">
        <f>"اختتام"</f>
        <v>اختتام</v>
      </c>
      <c r="AF708" s="1" t="str">
        <f>""</f>
        <v/>
      </c>
      <c r="AG708" s="1" t="str">
        <f>""</f>
        <v/>
      </c>
      <c r="AH708" s="1" t="str">
        <f>""</f>
        <v/>
      </c>
      <c r="AI708" s="1" t="str">
        <f>""</f>
        <v/>
      </c>
      <c r="AJ708" s="1" t="str">
        <f>""</f>
        <v/>
      </c>
      <c r="AK708" s="1" t="str">
        <f>""</f>
        <v/>
      </c>
    </row>
    <row r="709" spans="1:37">
      <c r="A709" s="1">
        <v>97000</v>
      </c>
      <c r="B709" s="1">
        <v>966200264</v>
      </c>
      <c r="C709" s="1" t="str">
        <f>"تخليه-خراسان شمالي-فاروج-کيلومتر 7 محور قوچان-کارخانه آسفالت توس راديه"</f>
        <v>تخليه-خراسان شمالي-فاروج-کيلومتر 7 محور قوچان-کارخانه آسفالت توس راديه</v>
      </c>
      <c r="D709" s="1">
        <v>9113</v>
      </c>
      <c r="E709" s="1">
        <v>96380</v>
      </c>
      <c r="F709" s="1">
        <v>96</v>
      </c>
      <c r="G709" s="1">
        <v>620</v>
      </c>
      <c r="H709" s="1" t="str">
        <f>"96/07/05"</f>
        <v>96/07/05</v>
      </c>
      <c r="I709" s="1" t="str">
        <f>"كيلوگرم"</f>
        <v>كيلوگرم</v>
      </c>
      <c r="J709" s="1" t="str">
        <f>"0000000076"</f>
        <v>0000000076</v>
      </c>
      <c r="K709" s="1" t="str">
        <f>"قير 60/70 - فله"</f>
        <v>قير 60/70 - فله</v>
      </c>
      <c r="L709" s="1">
        <v>100</v>
      </c>
      <c r="M709" s="1" t="str">
        <f>"مخازن قير اصفهان"</f>
        <v>مخازن قير اصفهان</v>
      </c>
      <c r="N709" s="1">
        <v>11376</v>
      </c>
      <c r="O709" s="1">
        <v>50036301</v>
      </c>
      <c r="P709" s="1" t="str">
        <f>"  نوين بنا سازان زيبا نگاره آراد"</f>
        <v xml:space="preserve">  نوين بنا سازان زيبا نگاره آراد</v>
      </c>
      <c r="Q709" s="1">
        <v>62</v>
      </c>
      <c r="R709" s="1" t="str">
        <f>"فروش داخلي - سازمان بنيادمسكن انقلاب اسلامي"</f>
        <v>فروش داخلي - سازمان بنيادمسكن انقلاب اسلامي</v>
      </c>
      <c r="S709" s="1" t="str">
        <f>"قرارداد فروش"</f>
        <v>قرارداد فروش</v>
      </c>
      <c r="T709" s="1" t="str">
        <f>"ندارد"</f>
        <v>ندارد</v>
      </c>
      <c r="U709" s="1" t="str">
        <f>"نظام دوست امين (1911102)"</f>
        <v>نظام دوست امين (1911102)</v>
      </c>
      <c r="V709" s="1">
        <v>966200264</v>
      </c>
      <c r="W709" s="1">
        <v>966200264</v>
      </c>
      <c r="X709" s="1" t="str">
        <f>"1396514733"</f>
        <v>1396514733</v>
      </c>
      <c r="Y709" s="1" t="str">
        <f>"96/07/05"</f>
        <v>96/07/05</v>
      </c>
      <c r="Z709" s="1" t="str">
        <f>"29487/د"</f>
        <v>29487/د</v>
      </c>
      <c r="AA709" s="1" t="str">
        <f>"بنيادمسكن انقلاب اسلامي"</f>
        <v>بنيادمسكن انقلاب اسلامي</v>
      </c>
      <c r="AB709" s="1" t="str">
        <f>"96/07/03"</f>
        <v>96/07/03</v>
      </c>
      <c r="AC709" s="1" t="str">
        <f>"خراسان شمالي"</f>
        <v>خراسان شمالي</v>
      </c>
      <c r="AD709" s="1" t="str">
        <f>"96/07/04"</f>
        <v>96/07/04</v>
      </c>
      <c r="AE709" s="1" t="str">
        <f>"اختتام"</f>
        <v>اختتام</v>
      </c>
      <c r="AF709" s="1" t="str">
        <f>""</f>
        <v/>
      </c>
      <c r="AG709" s="1" t="str">
        <f>""</f>
        <v/>
      </c>
      <c r="AH709" s="1" t="str">
        <f>""</f>
        <v/>
      </c>
      <c r="AI709" s="1" t="str">
        <f>""</f>
        <v/>
      </c>
      <c r="AJ709" s="1" t="str">
        <f>""</f>
        <v/>
      </c>
      <c r="AK709" s="1" t="str">
        <f>""</f>
        <v/>
      </c>
    </row>
    <row r="710" spans="1:37">
      <c r="A710" s="1">
        <v>430000</v>
      </c>
      <c r="B710" s="1">
        <v>966200147</v>
      </c>
      <c r="C710" s="1" t="str">
        <f>"تخليه-کرمان-کيلومتر 30جاده بهرام جرد-کارخانه آسفالت طلايي"</f>
        <v>تخليه-کرمان-کيلومتر 30جاده بهرام جرد-کارخانه آسفالت طلايي</v>
      </c>
      <c r="D710" s="1">
        <v>8704</v>
      </c>
      <c r="E710" s="1">
        <v>428720</v>
      </c>
      <c r="F710" s="1">
        <v>96</v>
      </c>
      <c r="G710" s="1">
        <v>1280</v>
      </c>
      <c r="H710" s="1" t="str">
        <f>"96/04/31"</f>
        <v>96/04/31</v>
      </c>
      <c r="I710" s="1" t="str">
        <f>"كيلوگرم"</f>
        <v>كيلوگرم</v>
      </c>
      <c r="J710" s="1" t="str">
        <f>"0000000076"</f>
        <v>0000000076</v>
      </c>
      <c r="K710" s="1" t="str">
        <f>"قير 60/70 - فله"</f>
        <v>قير 60/70 - فله</v>
      </c>
      <c r="L710" s="1">
        <v>100</v>
      </c>
      <c r="M710" s="1" t="str">
        <f>"مخازن قير اصفهان"</f>
        <v>مخازن قير اصفهان</v>
      </c>
      <c r="N710" s="1">
        <v>11377</v>
      </c>
      <c r="O710" s="1">
        <v>50035292</v>
      </c>
      <c r="P710" s="1" t="str">
        <f>"  آرمان راه کارمانيا"</f>
        <v xml:space="preserve">  آرمان راه کارمانيا</v>
      </c>
      <c r="Q710" s="1">
        <v>62</v>
      </c>
      <c r="R710" s="1" t="str">
        <f>"فروش داخلي - سازمان بنيادمسكن انقلاب اسلامي"</f>
        <v>فروش داخلي - سازمان بنيادمسكن انقلاب اسلامي</v>
      </c>
      <c r="S710" s="1" t="str">
        <f>"قرارداد فروش"</f>
        <v>قرارداد فروش</v>
      </c>
      <c r="T710" s="1" t="str">
        <f>"ندارد"</f>
        <v>ندارد</v>
      </c>
      <c r="U710" s="1" t="str">
        <f>"دهقانيان بيژن (4954038)"</f>
        <v>دهقانيان بيژن (4954038)</v>
      </c>
      <c r="V710" s="1">
        <v>966200147</v>
      </c>
      <c r="W710" s="1">
        <v>966200147</v>
      </c>
      <c r="X710" s="1" t="str">
        <f>"1396498686"</f>
        <v>1396498686</v>
      </c>
      <c r="Y710" s="1" t="str">
        <f>"96/04/31"</f>
        <v>96/04/31</v>
      </c>
      <c r="Z710" s="1" t="str">
        <f>"16910/د"</f>
        <v>16910/د</v>
      </c>
      <c r="AA710" s="1" t="str">
        <f>"بنيادمسكن انقلاب اسلامي"</f>
        <v>بنيادمسكن انقلاب اسلامي</v>
      </c>
      <c r="AB710" s="1" t="str">
        <f>"96/04/26"</f>
        <v>96/04/26</v>
      </c>
      <c r="AC710" s="1" t="str">
        <f>"استان كرمان"</f>
        <v>استان كرمان</v>
      </c>
      <c r="AD710" s="1" t="str">
        <f>"96/04/31"</f>
        <v>96/04/31</v>
      </c>
      <c r="AE710" s="1" t="str">
        <f>"اختتام"</f>
        <v>اختتام</v>
      </c>
      <c r="AF710" s="1" t="str">
        <f>""</f>
        <v/>
      </c>
      <c r="AG710" s="1" t="str">
        <f>""</f>
        <v/>
      </c>
      <c r="AH710" s="1" t="str">
        <f>""</f>
        <v/>
      </c>
      <c r="AI710" s="1" t="str">
        <f>""</f>
        <v/>
      </c>
      <c r="AJ710" s="1" t="str">
        <f>""</f>
        <v/>
      </c>
      <c r="AK710" s="1" t="str">
        <f>""</f>
        <v/>
      </c>
    </row>
    <row r="711" spans="1:37">
      <c r="A711" s="1">
        <v>110976</v>
      </c>
      <c r="B711" s="1">
        <v>962000106</v>
      </c>
      <c r="C711" s="1" t="str">
        <f>"تخليه بوشهرشهرستان جم بعدازپالايشگاه روستاي جمال آبادكارخانه آسفالت خاتم الانبياء"</f>
        <v>تخليه بوشهرشهرستان جم بعدازپالايشگاه روستاي جمال آبادكارخانه آسفالت خاتم الانبياء</v>
      </c>
      <c r="D711" s="1">
        <v>9113</v>
      </c>
      <c r="E711" s="1">
        <v>110976</v>
      </c>
      <c r="F711" s="1">
        <v>96</v>
      </c>
      <c r="G711" s="1">
        <v>0</v>
      </c>
      <c r="H711" s="1" t="str">
        <f>"96/07/03"</f>
        <v>96/07/03</v>
      </c>
      <c r="I711" s="1" t="str">
        <f>"كيلوگرم"</f>
        <v>كيلوگرم</v>
      </c>
      <c r="J711" s="1" t="str">
        <f>"0000000076"</f>
        <v>0000000076</v>
      </c>
      <c r="K711" s="1" t="str">
        <f>"قير 60/70 - فله"</f>
        <v>قير 60/70 - فله</v>
      </c>
      <c r="L711" s="1">
        <v>100</v>
      </c>
      <c r="M711" s="1" t="str">
        <f>"مخازن قير اصفهان"</f>
        <v>مخازن قير اصفهان</v>
      </c>
      <c r="N711" s="1">
        <v>11416</v>
      </c>
      <c r="O711" s="1">
        <v>50036263</v>
      </c>
      <c r="P711" s="1" t="str">
        <f>"  شهرداري سيراف"</f>
        <v xml:space="preserve">  شهرداري سيراف</v>
      </c>
      <c r="Q711" s="1">
        <v>20</v>
      </c>
      <c r="R711" s="1" t="str">
        <f>"فروش داخلي - سازمان شهرداري ها و دهياري هاي كشور"</f>
        <v>فروش داخلي - سازمان شهرداري ها و دهياري هاي كشور</v>
      </c>
      <c r="S711" s="1" t="str">
        <f>"قرارداد فروش"</f>
        <v>قرارداد فروش</v>
      </c>
      <c r="T711" s="1" t="str">
        <f>"ندارد"</f>
        <v>ندارد</v>
      </c>
      <c r="U711" s="1" t="str">
        <f>"تعاوني جم گستر (1001 ج 89)"</f>
        <v>تعاوني جم گستر (1001 ج 89)</v>
      </c>
      <c r="V711" s="1">
        <v>962000106</v>
      </c>
      <c r="W711" s="1">
        <v>962000106</v>
      </c>
      <c r="X711" s="1" t="str">
        <f>"1396514467"</f>
        <v>1396514467</v>
      </c>
      <c r="Y711" s="1" t="str">
        <f>"96/07/03"</f>
        <v>96/07/03</v>
      </c>
      <c r="Z711" s="1" t="str">
        <f>"26875مرحله اول"</f>
        <v>26875مرحله اول</v>
      </c>
      <c r="AA711" s="1" t="str">
        <f>"شهرداريها"</f>
        <v>شهرداريها</v>
      </c>
      <c r="AB711" s="1" t="str">
        <f>"96/06/29"</f>
        <v>96/06/29</v>
      </c>
      <c r="AC711" s="1" t="str">
        <f>"بوشهر"</f>
        <v>بوشهر</v>
      </c>
      <c r="AD711" s="1" t="str">
        <f>"96/07/03"</f>
        <v>96/07/03</v>
      </c>
      <c r="AE711" s="1" t="str">
        <f>"تاييدشده"</f>
        <v>تاييدشده</v>
      </c>
      <c r="AF711" s="1" t="str">
        <f>""</f>
        <v/>
      </c>
      <c r="AG711" s="1" t="str">
        <f>""</f>
        <v/>
      </c>
      <c r="AH711" s="1" t="str">
        <f>""</f>
        <v/>
      </c>
      <c r="AI711" s="1" t="str">
        <f>""</f>
        <v/>
      </c>
      <c r="AJ711" s="1" t="str">
        <f>""</f>
        <v/>
      </c>
      <c r="AK711" s="1" t="str">
        <f>""</f>
        <v/>
      </c>
    </row>
    <row r="712" spans="1:37">
      <c r="A712" s="1">
        <v>117454</v>
      </c>
      <c r="B712" s="1">
        <v>962000112</v>
      </c>
      <c r="C712" s="1" t="str">
        <f>"تخليه بوشهرشهردالكي خيابان معلم شهرداري دالكي"</f>
        <v>تخليه بوشهرشهردالكي خيابان معلم شهرداري دالكي</v>
      </c>
      <c r="D712" s="1">
        <v>9113</v>
      </c>
      <c r="E712" s="1">
        <v>117454</v>
      </c>
      <c r="F712" s="1">
        <v>96</v>
      </c>
      <c r="G712" s="1">
        <v>0</v>
      </c>
      <c r="H712" s="1" t="str">
        <f>"96/07/03"</f>
        <v>96/07/03</v>
      </c>
      <c r="I712" s="1" t="str">
        <f>"كيلوگرم"</f>
        <v>كيلوگرم</v>
      </c>
      <c r="J712" s="1" t="str">
        <f>"0000000076"</f>
        <v>0000000076</v>
      </c>
      <c r="K712" s="1" t="str">
        <f>"قير 60/70 - فله"</f>
        <v>قير 60/70 - فله</v>
      </c>
      <c r="L712" s="1">
        <v>100</v>
      </c>
      <c r="M712" s="1" t="str">
        <f>"مخازن قير اصفهان"</f>
        <v>مخازن قير اصفهان</v>
      </c>
      <c r="N712" s="1">
        <v>11417</v>
      </c>
      <c r="O712" s="1">
        <v>50036276</v>
      </c>
      <c r="P712" s="1" t="str">
        <f>"  شهرداري دالكي"</f>
        <v xml:space="preserve">  شهرداري دالكي</v>
      </c>
      <c r="Q712" s="1">
        <v>20</v>
      </c>
      <c r="R712" s="1" t="str">
        <f>"فروش داخلي - سازمان شهرداري ها و دهياري هاي كشور"</f>
        <v>فروش داخلي - سازمان شهرداري ها و دهياري هاي كشور</v>
      </c>
      <c r="S712" s="1" t="str">
        <f>"قرارداد فروش"</f>
        <v>قرارداد فروش</v>
      </c>
      <c r="T712" s="1" t="str">
        <f>"ندارد"</f>
        <v>ندارد</v>
      </c>
      <c r="U712" s="1" t="str">
        <f>"تعاوني جم گستر (1001 ج 89)"</f>
        <v>تعاوني جم گستر (1001 ج 89)</v>
      </c>
      <c r="V712" s="1">
        <v>962000112</v>
      </c>
      <c r="W712" s="1">
        <v>962000112</v>
      </c>
      <c r="X712" s="1" t="str">
        <f>"1396514467"</f>
        <v>1396514467</v>
      </c>
      <c r="Y712" s="1" t="str">
        <f>"96/07/03"</f>
        <v>96/07/03</v>
      </c>
      <c r="Z712" s="1" t="str">
        <f>"26822مرحله اول"</f>
        <v>26822مرحله اول</v>
      </c>
      <c r="AA712" s="1" t="str">
        <f>"شهرداريها"</f>
        <v>شهرداريها</v>
      </c>
      <c r="AB712" s="1" t="str">
        <f>"96/06/29"</f>
        <v>96/06/29</v>
      </c>
      <c r="AC712" s="1" t="str">
        <f>"بوشهر"</f>
        <v>بوشهر</v>
      </c>
      <c r="AD712" s="1" t="str">
        <f>"96/07/03"</f>
        <v>96/07/03</v>
      </c>
      <c r="AE712" s="1" t="str">
        <f>"تاييدشده"</f>
        <v>تاييدشده</v>
      </c>
      <c r="AF712" s="1" t="str">
        <f>""</f>
        <v/>
      </c>
      <c r="AG712" s="1" t="str">
        <f>""</f>
        <v/>
      </c>
      <c r="AH712" s="1" t="str">
        <f>""</f>
        <v/>
      </c>
      <c r="AI712" s="1" t="str">
        <f>""</f>
        <v/>
      </c>
      <c r="AJ712" s="1" t="str">
        <f>""</f>
        <v/>
      </c>
      <c r="AK712" s="1" t="str">
        <f>""</f>
        <v/>
      </c>
    </row>
    <row r="713" spans="1:37">
      <c r="A713" s="1">
        <v>116751</v>
      </c>
      <c r="B713" s="1">
        <v>962000116</v>
      </c>
      <c r="C713" s="1" t="str">
        <f>"تخليه بوشهرخورموج كارخانه آسفالت دشتي"</f>
        <v>تخليه بوشهرخورموج كارخانه آسفالت دشتي</v>
      </c>
      <c r="D713" s="1">
        <v>9113</v>
      </c>
      <c r="E713" s="1">
        <v>116751</v>
      </c>
      <c r="F713" s="1">
        <v>96</v>
      </c>
      <c r="G713" s="1">
        <v>0</v>
      </c>
      <c r="H713" s="1" t="str">
        <f>"96/07/03"</f>
        <v>96/07/03</v>
      </c>
      <c r="I713" s="1" t="str">
        <f>"كيلوگرم"</f>
        <v>كيلوگرم</v>
      </c>
      <c r="J713" s="1" t="str">
        <f>"0000000076"</f>
        <v>0000000076</v>
      </c>
      <c r="K713" s="1" t="str">
        <f>"قير 60/70 - فله"</f>
        <v>قير 60/70 - فله</v>
      </c>
      <c r="L713" s="1">
        <v>100</v>
      </c>
      <c r="M713" s="1" t="str">
        <f>"مخازن قير اصفهان"</f>
        <v>مخازن قير اصفهان</v>
      </c>
      <c r="N713" s="1">
        <v>11421</v>
      </c>
      <c r="O713" s="1">
        <v>50036283</v>
      </c>
      <c r="P713" s="1" t="str">
        <f>"  شهرداري سعدآباد"</f>
        <v xml:space="preserve">  شهرداري سعدآباد</v>
      </c>
      <c r="Q713" s="1">
        <v>20</v>
      </c>
      <c r="R713" s="1" t="str">
        <f>"فروش داخلي - سازمان شهرداري ها و دهياري هاي كشور"</f>
        <v>فروش داخلي - سازمان شهرداري ها و دهياري هاي كشور</v>
      </c>
      <c r="S713" s="1" t="str">
        <f>"قرارداد فروش"</f>
        <v>قرارداد فروش</v>
      </c>
      <c r="T713" s="1" t="str">
        <f>"ندارد"</f>
        <v>ندارد</v>
      </c>
      <c r="U713" s="1" t="str">
        <f>"تعاوني جم گستر (1001 ج 89)"</f>
        <v>تعاوني جم گستر (1001 ج 89)</v>
      </c>
      <c r="V713" s="1">
        <v>962000116</v>
      </c>
      <c r="W713" s="1">
        <v>962000116</v>
      </c>
      <c r="X713" s="1" t="str">
        <f>"1396514467"</f>
        <v>1396514467</v>
      </c>
      <c r="Y713" s="1" t="str">
        <f>"96/07/03"</f>
        <v>96/07/03</v>
      </c>
      <c r="Z713" s="1" t="str">
        <f>"26772مرحله اول"</f>
        <v>26772مرحله اول</v>
      </c>
      <c r="AA713" s="1" t="str">
        <f>"شهرداريها"</f>
        <v>شهرداريها</v>
      </c>
      <c r="AB713" s="1" t="str">
        <f>"96/06/29"</f>
        <v>96/06/29</v>
      </c>
      <c r="AC713" s="1" t="str">
        <f>"بوشهر"</f>
        <v>بوشهر</v>
      </c>
      <c r="AD713" s="1" t="str">
        <f>"96/07/03"</f>
        <v>96/07/03</v>
      </c>
      <c r="AE713" s="1" t="str">
        <f>"تاييدشده"</f>
        <v>تاييدشده</v>
      </c>
      <c r="AF713" s="1" t="str">
        <f>""</f>
        <v/>
      </c>
      <c r="AG713" s="1" t="str">
        <f>""</f>
        <v/>
      </c>
      <c r="AH713" s="1" t="str">
        <f>""</f>
        <v/>
      </c>
      <c r="AI713" s="1" t="str">
        <f>""</f>
        <v/>
      </c>
      <c r="AJ713" s="1" t="str">
        <f>""</f>
        <v/>
      </c>
      <c r="AK713" s="1" t="str">
        <f>""</f>
        <v/>
      </c>
    </row>
    <row r="714" spans="1:37">
      <c r="A714" s="1">
        <v>129707</v>
      </c>
      <c r="B714" s="1">
        <v>962000126</v>
      </c>
      <c r="C714" s="1" t="str">
        <f>"خراسان جنوبي كيلومتر5جاده فردوس سرايان كارخانه آسفالت توس راديه"</f>
        <v>خراسان جنوبي كيلومتر5جاده فردوس سرايان كارخانه آسفالت توس راديه</v>
      </c>
      <c r="D714" s="1">
        <v>9113</v>
      </c>
      <c r="E714" s="1">
        <v>129707</v>
      </c>
      <c r="F714" s="1">
        <v>96</v>
      </c>
      <c r="G714" s="1">
        <v>0</v>
      </c>
      <c r="H714" s="1" t="str">
        <f>"96/07/03"</f>
        <v>96/07/03</v>
      </c>
      <c r="I714" s="1" t="str">
        <f>"كيلوگرم"</f>
        <v>كيلوگرم</v>
      </c>
      <c r="J714" s="1" t="str">
        <f>"0000000076"</f>
        <v>0000000076</v>
      </c>
      <c r="K714" s="1" t="str">
        <f>"قير 60/70 - فله"</f>
        <v>قير 60/70 - فله</v>
      </c>
      <c r="L714" s="1">
        <v>100</v>
      </c>
      <c r="M714" s="1" t="str">
        <f>"مخازن قير اصفهان"</f>
        <v>مخازن قير اصفهان</v>
      </c>
      <c r="N714" s="1">
        <v>11424</v>
      </c>
      <c r="O714" s="1">
        <v>50036311</v>
      </c>
      <c r="P714" s="1" t="str">
        <f>"  شهرداري ارسك"</f>
        <v xml:space="preserve">  شهرداري ارسك</v>
      </c>
      <c r="Q714" s="1">
        <v>20</v>
      </c>
      <c r="R714" s="1" t="str">
        <f>"فروش داخلي - سازمان شهرداري ها و دهياري هاي كشور"</f>
        <v>فروش داخلي - سازمان شهرداري ها و دهياري هاي كشور</v>
      </c>
      <c r="S714" s="1" t="str">
        <f>"قرارداد فروش"</f>
        <v>قرارداد فروش</v>
      </c>
      <c r="T714" s="1" t="str">
        <f>"ندارد"</f>
        <v>ندارد</v>
      </c>
      <c r="U714" s="1" t="str">
        <f>"تعاوني جم گستر (1001 ج 89)"</f>
        <v>تعاوني جم گستر (1001 ج 89)</v>
      </c>
      <c r="V714" s="1">
        <v>962000126</v>
      </c>
      <c r="W714" s="1">
        <v>962000126</v>
      </c>
      <c r="X714" s="1" t="str">
        <f>"1396514467"</f>
        <v>1396514467</v>
      </c>
      <c r="Y714" s="1" t="str">
        <f>"96/07/03"</f>
        <v>96/07/03</v>
      </c>
      <c r="Z714" s="1" t="str">
        <f>"26739مرحله اول"</f>
        <v>26739مرحله اول</v>
      </c>
      <c r="AA714" s="1" t="str">
        <f>"شهرداريها"</f>
        <v>شهرداريها</v>
      </c>
      <c r="AB714" s="1" t="str">
        <f>"96/06/29"</f>
        <v>96/06/29</v>
      </c>
      <c r="AC714" s="1" t="str">
        <f>"خراسان جنوبي"</f>
        <v>خراسان جنوبي</v>
      </c>
      <c r="AD714" s="1" t="str">
        <f>"96/07/03"</f>
        <v>96/07/03</v>
      </c>
      <c r="AE714" s="1" t="str">
        <f>"اختتام"</f>
        <v>اختتام</v>
      </c>
      <c r="AF714" s="1" t="str">
        <f>""</f>
        <v/>
      </c>
      <c r="AG714" s="1" t="str">
        <f>""</f>
        <v/>
      </c>
      <c r="AH714" s="1" t="str">
        <f>""</f>
        <v/>
      </c>
      <c r="AI714" s="1" t="str">
        <f>""</f>
        <v/>
      </c>
      <c r="AJ714" s="1" t="str">
        <f>""</f>
        <v/>
      </c>
      <c r="AK714" s="1" t="str">
        <f>""</f>
        <v/>
      </c>
    </row>
    <row r="715" spans="1:37">
      <c r="A715" s="1">
        <v>124183</v>
      </c>
      <c r="B715" s="1">
        <v>962000137</v>
      </c>
      <c r="C715" s="1" t="str">
        <f>"تخليه خراسان جنوبي شهرستان قاين شهراسفدن كارخانه آسفالت شركت توس راديه"</f>
        <v>تخليه خراسان جنوبي شهرستان قاين شهراسفدن كارخانه آسفالت شركت توس راديه</v>
      </c>
      <c r="D715" s="1">
        <v>9113</v>
      </c>
      <c r="E715" s="1">
        <v>124183</v>
      </c>
      <c r="F715" s="1">
        <v>96</v>
      </c>
      <c r="G715" s="1">
        <v>0</v>
      </c>
      <c r="H715" s="1" t="str">
        <f>"96/07/03"</f>
        <v>96/07/03</v>
      </c>
      <c r="I715" s="1" t="str">
        <f>"كيلوگرم"</f>
        <v>كيلوگرم</v>
      </c>
      <c r="J715" s="1" t="str">
        <f>"0000000076"</f>
        <v>0000000076</v>
      </c>
      <c r="K715" s="1" t="str">
        <f>"قير 60/70 - فله"</f>
        <v>قير 60/70 - فله</v>
      </c>
      <c r="L715" s="1">
        <v>100</v>
      </c>
      <c r="M715" s="1" t="str">
        <f>"مخازن قير اصفهان"</f>
        <v>مخازن قير اصفهان</v>
      </c>
      <c r="N715" s="1">
        <v>11426</v>
      </c>
      <c r="O715" s="1">
        <v>50036325</v>
      </c>
      <c r="P715" s="1" t="str">
        <f>"  شهرداري زهان"</f>
        <v xml:space="preserve">  شهرداري زهان</v>
      </c>
      <c r="Q715" s="1">
        <v>20</v>
      </c>
      <c r="R715" s="1" t="str">
        <f>"فروش داخلي - سازمان شهرداري ها و دهياري هاي كشور"</f>
        <v>فروش داخلي - سازمان شهرداري ها و دهياري هاي كشور</v>
      </c>
      <c r="S715" s="1" t="str">
        <f>"قرارداد فروش"</f>
        <v>قرارداد فروش</v>
      </c>
      <c r="T715" s="1" t="str">
        <f>"ندارد"</f>
        <v>ندارد</v>
      </c>
      <c r="U715" s="1" t="str">
        <f>"تعاوني جم گستر (1001 ج 89)"</f>
        <v>تعاوني جم گستر (1001 ج 89)</v>
      </c>
      <c r="V715" s="1">
        <v>962000137</v>
      </c>
      <c r="W715" s="1">
        <v>962000137</v>
      </c>
      <c r="X715" s="1" t="str">
        <f>"1396514467"</f>
        <v>1396514467</v>
      </c>
      <c r="Y715" s="1" t="str">
        <f>"96/07/03"</f>
        <v>96/07/03</v>
      </c>
      <c r="Z715" s="1" t="str">
        <f>"26729مرحله اول"</f>
        <v>26729مرحله اول</v>
      </c>
      <c r="AA715" s="1" t="str">
        <f>"شهرداريها"</f>
        <v>شهرداريها</v>
      </c>
      <c r="AB715" s="1" t="str">
        <f>"96/06/29"</f>
        <v>96/06/29</v>
      </c>
      <c r="AC715" s="1" t="str">
        <f>"خراسان جنوبي"</f>
        <v>خراسان جنوبي</v>
      </c>
      <c r="AD715" s="1" t="str">
        <f>"96/07/03"</f>
        <v>96/07/03</v>
      </c>
      <c r="AE715" s="1" t="str">
        <f>"اختتام"</f>
        <v>اختتام</v>
      </c>
      <c r="AF715" s="1" t="str">
        <f>""</f>
        <v/>
      </c>
      <c r="AG715" s="1" t="str">
        <f>""</f>
        <v/>
      </c>
      <c r="AH715" s="1" t="str">
        <f>""</f>
        <v/>
      </c>
      <c r="AI715" s="1" t="str">
        <f>""</f>
        <v/>
      </c>
      <c r="AJ715" s="1" t="str">
        <f>""</f>
        <v/>
      </c>
      <c r="AK715" s="1" t="str">
        <f>""</f>
        <v/>
      </c>
    </row>
    <row r="716" spans="1:37">
      <c r="A716" s="1">
        <v>139248</v>
      </c>
      <c r="B716" s="1">
        <v>962000149</v>
      </c>
      <c r="C716" s="1" t="str">
        <f>"تخليه خراسان جنوبي كيلومتر5محورخوسف كرمان روستاي فدشك كارخانه آسفالت راهدارصنعت"</f>
        <v>تخليه خراسان جنوبي كيلومتر5محورخوسف كرمان روستاي فدشك كارخانه آسفالت راهدارصنعت</v>
      </c>
      <c r="D716" s="1">
        <v>9113</v>
      </c>
      <c r="E716" s="1">
        <v>139248</v>
      </c>
      <c r="F716" s="1">
        <v>96</v>
      </c>
      <c r="G716" s="1">
        <v>0</v>
      </c>
      <c r="H716" s="1" t="str">
        <f>"96/07/03"</f>
        <v>96/07/03</v>
      </c>
      <c r="I716" s="1" t="str">
        <f>"كيلوگرم"</f>
        <v>كيلوگرم</v>
      </c>
      <c r="J716" s="1" t="str">
        <f>"0000000076"</f>
        <v>0000000076</v>
      </c>
      <c r="K716" s="1" t="str">
        <f>"قير 60/70 - فله"</f>
        <v>قير 60/70 - فله</v>
      </c>
      <c r="L716" s="1">
        <v>100</v>
      </c>
      <c r="M716" s="1" t="str">
        <f>"مخازن قير اصفهان"</f>
        <v>مخازن قير اصفهان</v>
      </c>
      <c r="N716" s="1">
        <v>11427</v>
      </c>
      <c r="O716" s="1">
        <v>50036343</v>
      </c>
      <c r="P716" s="1" t="str">
        <f>"  شهرداري محمدشهرخراسان جنوبي"</f>
        <v xml:space="preserve">  شهرداري محمدشهرخراسان جنوبي</v>
      </c>
      <c r="Q716" s="1">
        <v>20</v>
      </c>
      <c r="R716" s="1" t="str">
        <f>"فروش داخلي - سازمان شهرداري ها و دهياري هاي كشور"</f>
        <v>فروش داخلي - سازمان شهرداري ها و دهياري هاي كشور</v>
      </c>
      <c r="S716" s="1" t="str">
        <f>"قرارداد فروش"</f>
        <v>قرارداد فروش</v>
      </c>
      <c r="T716" s="1" t="str">
        <f>"ندارد"</f>
        <v>ندارد</v>
      </c>
      <c r="U716" s="1" t="str">
        <f>"تعاوني جم گستر (1001 ج 89)"</f>
        <v>تعاوني جم گستر (1001 ج 89)</v>
      </c>
      <c r="V716" s="1">
        <v>962000149</v>
      </c>
      <c r="W716" s="1">
        <v>962000149</v>
      </c>
      <c r="X716" s="1" t="str">
        <f>"1396514467"</f>
        <v>1396514467</v>
      </c>
      <c r="Y716" s="1" t="str">
        <f>"96/07/03"</f>
        <v>96/07/03</v>
      </c>
      <c r="Z716" s="1" t="str">
        <f>"26713مرحله اول"</f>
        <v>26713مرحله اول</v>
      </c>
      <c r="AA716" s="1" t="str">
        <f>"شهرداريها"</f>
        <v>شهرداريها</v>
      </c>
      <c r="AB716" s="1" t="str">
        <f>"96/06/29"</f>
        <v>96/06/29</v>
      </c>
      <c r="AC716" s="1" t="str">
        <f>"خراسان جنوبي"</f>
        <v>خراسان جنوبي</v>
      </c>
      <c r="AD716" s="1" t="str">
        <f>"96/07/03"</f>
        <v>96/07/03</v>
      </c>
      <c r="AE716" s="1" t="str">
        <f>"اختتام"</f>
        <v>اختتام</v>
      </c>
      <c r="AF716" s="1" t="str">
        <f>""</f>
        <v/>
      </c>
      <c r="AG716" s="1" t="str">
        <f>""</f>
        <v/>
      </c>
      <c r="AH716" s="1" t="str">
        <f>""</f>
        <v/>
      </c>
      <c r="AI716" s="1" t="str">
        <f>""</f>
        <v/>
      </c>
      <c r="AJ716" s="1" t="str">
        <f>""</f>
        <v/>
      </c>
      <c r="AK716" s="1" t="str">
        <f>""</f>
        <v/>
      </c>
    </row>
    <row r="717" spans="1:37">
      <c r="A717" s="1">
        <v>124836</v>
      </c>
      <c r="B717" s="1">
        <v>962000155</v>
      </c>
      <c r="C717" s="1" t="str">
        <f>"تخليه خراسان رضوي كيلومتر15جاده قوچان فاروج كارخانه آسفالت توس راديه"</f>
        <v>تخليه خراسان رضوي كيلومتر15جاده قوچان فاروج كارخانه آسفالت توس راديه</v>
      </c>
      <c r="D717" s="1">
        <v>9113</v>
      </c>
      <c r="E717" s="1">
        <v>124836</v>
      </c>
      <c r="F717" s="1">
        <v>96</v>
      </c>
      <c r="G717" s="1">
        <v>0</v>
      </c>
      <c r="H717" s="1" t="str">
        <f>"96/07/03"</f>
        <v>96/07/03</v>
      </c>
      <c r="I717" s="1" t="str">
        <f>"كيلوگرم"</f>
        <v>كيلوگرم</v>
      </c>
      <c r="J717" s="1" t="str">
        <f>"0000000076"</f>
        <v>0000000076</v>
      </c>
      <c r="K717" s="1" t="str">
        <f>"قير 60/70 - فله"</f>
        <v>قير 60/70 - فله</v>
      </c>
      <c r="L717" s="1">
        <v>100</v>
      </c>
      <c r="M717" s="1" t="str">
        <f>"مخازن قير اصفهان"</f>
        <v>مخازن قير اصفهان</v>
      </c>
      <c r="N717" s="1">
        <v>11430</v>
      </c>
      <c r="O717" s="1">
        <v>50036359</v>
      </c>
      <c r="P717" s="1" t="str">
        <f>"  شهرداري باجگيران"</f>
        <v xml:space="preserve">  شهرداري باجگيران</v>
      </c>
      <c r="Q717" s="1">
        <v>20</v>
      </c>
      <c r="R717" s="1" t="str">
        <f>"فروش داخلي - سازمان شهرداري ها و دهياري هاي كشور"</f>
        <v>فروش داخلي - سازمان شهرداري ها و دهياري هاي كشور</v>
      </c>
      <c r="S717" s="1" t="str">
        <f>"قرارداد فروش"</f>
        <v>قرارداد فروش</v>
      </c>
      <c r="T717" s="1" t="str">
        <f>"ندارد"</f>
        <v>ندارد</v>
      </c>
      <c r="U717" s="1" t="str">
        <f>"تعاوني جم گستر (1001 ج 89)"</f>
        <v>تعاوني جم گستر (1001 ج 89)</v>
      </c>
      <c r="V717" s="1">
        <v>962000155</v>
      </c>
      <c r="W717" s="1">
        <v>962000155</v>
      </c>
      <c r="X717" s="1" t="str">
        <f>"1396514467"</f>
        <v>1396514467</v>
      </c>
      <c r="Y717" s="1" t="str">
        <f>"96/07/03"</f>
        <v>96/07/03</v>
      </c>
      <c r="Z717" s="1" t="str">
        <f>"26830مرحله اول"</f>
        <v>26830مرحله اول</v>
      </c>
      <c r="AA717" s="1" t="str">
        <f>"شهرداريها"</f>
        <v>شهرداريها</v>
      </c>
      <c r="AB717" s="1" t="str">
        <f>"96/06/29"</f>
        <v>96/06/29</v>
      </c>
      <c r="AC717" s="1" t="str">
        <f>"خراسان رضوي"</f>
        <v>خراسان رضوي</v>
      </c>
      <c r="AD717" s="1" t="str">
        <f>"96/07/03"</f>
        <v>96/07/03</v>
      </c>
      <c r="AE717" s="1" t="str">
        <f>"اختتام"</f>
        <v>اختتام</v>
      </c>
      <c r="AF717" s="1" t="str">
        <f>""</f>
        <v/>
      </c>
      <c r="AG717" s="1" t="str">
        <f>""</f>
        <v/>
      </c>
      <c r="AH717" s="1" t="str">
        <f>""</f>
        <v/>
      </c>
      <c r="AI717" s="1" t="str">
        <f>""</f>
        <v/>
      </c>
      <c r="AJ717" s="1" t="str">
        <f>""</f>
        <v/>
      </c>
      <c r="AK717" s="1" t="str">
        <f>""</f>
        <v/>
      </c>
    </row>
    <row r="718" spans="1:37">
      <c r="A718" s="1">
        <v>57798</v>
      </c>
      <c r="B718" s="1">
        <v>962000289</v>
      </c>
      <c r="C718" s="1" t="str">
        <f>"تخليه خراسان رضوي تربت حيدريه جاده عباس آبادشركت آسفالت قطب"</f>
        <v>تخليه خراسان رضوي تربت حيدريه جاده عباس آبادشركت آسفالت قطب</v>
      </c>
      <c r="D718" s="1">
        <v>9113</v>
      </c>
      <c r="E718" s="1">
        <v>47284</v>
      </c>
      <c r="F718" s="1">
        <v>96</v>
      </c>
      <c r="G718" s="1">
        <v>10514</v>
      </c>
      <c r="H718" s="1" t="str">
        <f>"96/09/13"</f>
        <v>96/09/13</v>
      </c>
      <c r="I718" s="1" t="str">
        <f>"كيلوگرم"</f>
        <v>كيلوگرم</v>
      </c>
      <c r="J718" s="1" t="str">
        <f>"0000000076"</f>
        <v>0000000076</v>
      </c>
      <c r="K718" s="1" t="str">
        <f>"قير 60/70 - فله"</f>
        <v>قير 60/70 - فله</v>
      </c>
      <c r="L718" s="1">
        <v>100</v>
      </c>
      <c r="M718" s="1" t="str">
        <f>"مخازن قير اصفهان"</f>
        <v>مخازن قير اصفهان</v>
      </c>
      <c r="N718" s="1">
        <v>11433</v>
      </c>
      <c r="O718" s="1">
        <v>50037490</v>
      </c>
      <c r="P718" s="1" t="str">
        <f>"  شهرداري بايگ"</f>
        <v xml:space="preserve">  شهرداري بايگ</v>
      </c>
      <c r="Q718" s="1">
        <v>20</v>
      </c>
      <c r="R718" s="1" t="str">
        <f>"فروش داخلي - سازمان شهرداري ها و دهياري هاي كشور"</f>
        <v>فروش داخلي - سازمان شهرداري ها و دهياري هاي كشور</v>
      </c>
      <c r="S718" s="1" t="str">
        <f>"قرارداد فروش"</f>
        <v>قرارداد فروش</v>
      </c>
      <c r="T718" s="1" t="str">
        <f>"ندارد"</f>
        <v>ندارد</v>
      </c>
      <c r="U718" s="1" t="str">
        <f>"تعاوني جم گستر (1001 ج 89)"</f>
        <v>تعاوني جم گستر (1001 ج 89)</v>
      </c>
      <c r="V718" s="1">
        <v>962000289</v>
      </c>
      <c r="W718" s="1">
        <v>962000289</v>
      </c>
      <c r="X718" s="1" t="str">
        <f>"1396514467"</f>
        <v>1396514467</v>
      </c>
      <c r="Y718" s="1" t="str">
        <f>"96/09/12"</f>
        <v>96/09/12</v>
      </c>
      <c r="Z718" s="1" t="str">
        <f>"37013مرحله دوم"</f>
        <v>37013مرحله دوم</v>
      </c>
      <c r="AA718" s="1" t="str">
        <f>"شهرداريها"</f>
        <v>شهرداريها</v>
      </c>
      <c r="AB718" s="1" t="str">
        <f>"96/09/04"</f>
        <v>96/09/04</v>
      </c>
      <c r="AC718" s="1" t="str">
        <f>"خراسان رضوي"</f>
        <v>خراسان رضوي</v>
      </c>
      <c r="AD718" s="1" t="str">
        <f>"96/07/03"</f>
        <v>96/07/03</v>
      </c>
      <c r="AE718" s="1" t="str">
        <f>"اختتام"</f>
        <v>اختتام</v>
      </c>
      <c r="AF718" s="1" t="str">
        <f>""</f>
        <v/>
      </c>
      <c r="AG718" s="1" t="str">
        <f>""</f>
        <v/>
      </c>
      <c r="AH718" s="1" t="str">
        <f>""</f>
        <v/>
      </c>
      <c r="AI718" s="1" t="str">
        <f>""</f>
        <v/>
      </c>
      <c r="AJ718" s="1" t="str">
        <f>""</f>
        <v/>
      </c>
      <c r="AK718" s="1" t="str">
        <f>""</f>
        <v/>
      </c>
    </row>
    <row r="719" spans="1:37">
      <c r="A719" s="1">
        <v>116299</v>
      </c>
      <c r="B719" s="1">
        <v>962000163</v>
      </c>
      <c r="C719" s="1" t="str">
        <f>"تخليه خراسان رضوي كيلومتر15جاده درگزمشهدكارخانه آسفالت شهرداري درگز"</f>
        <v>تخليه خراسان رضوي كيلومتر15جاده درگزمشهدكارخانه آسفالت شهرداري درگز</v>
      </c>
      <c r="D719" s="1">
        <v>9113</v>
      </c>
      <c r="E719" s="1">
        <v>116299</v>
      </c>
      <c r="F719" s="1">
        <v>96</v>
      </c>
      <c r="G719" s="1">
        <v>0</v>
      </c>
      <c r="H719" s="1" t="str">
        <f>"96/07/03"</f>
        <v>96/07/03</v>
      </c>
      <c r="I719" s="1" t="str">
        <f>"كيلوگرم"</f>
        <v>كيلوگرم</v>
      </c>
      <c r="J719" s="1" t="str">
        <f>"0000000076"</f>
        <v>0000000076</v>
      </c>
      <c r="K719" s="1" t="str">
        <f>"قير 60/70 - فله"</f>
        <v>قير 60/70 - فله</v>
      </c>
      <c r="L719" s="1">
        <v>100</v>
      </c>
      <c r="M719" s="1" t="str">
        <f>"مخازن قير اصفهان"</f>
        <v>مخازن قير اصفهان</v>
      </c>
      <c r="N719" s="1">
        <v>11436</v>
      </c>
      <c r="O719" s="1">
        <v>50036368</v>
      </c>
      <c r="P719" s="1" t="str">
        <f>"  شهرداري چاپشلو"</f>
        <v xml:space="preserve">  شهرداري چاپشلو</v>
      </c>
      <c r="Q719" s="1">
        <v>20</v>
      </c>
      <c r="R719" s="1" t="str">
        <f>"فروش داخلي - سازمان شهرداري ها و دهياري هاي كشور"</f>
        <v>فروش داخلي - سازمان شهرداري ها و دهياري هاي كشور</v>
      </c>
      <c r="S719" s="1" t="str">
        <f>"قرارداد فروش"</f>
        <v>قرارداد فروش</v>
      </c>
      <c r="T719" s="1" t="str">
        <f>"ندارد"</f>
        <v>ندارد</v>
      </c>
      <c r="U719" s="1" t="str">
        <f>"تعاوني جم گستر (1001 ج 89)"</f>
        <v>تعاوني جم گستر (1001 ج 89)</v>
      </c>
      <c r="V719" s="1">
        <v>962000163</v>
      </c>
      <c r="W719" s="1">
        <v>962000163</v>
      </c>
      <c r="X719" s="1" t="str">
        <f>"1396514467"</f>
        <v>1396514467</v>
      </c>
      <c r="Y719" s="1" t="str">
        <f>"96/07/03"</f>
        <v>96/07/03</v>
      </c>
      <c r="Z719" s="1" t="str">
        <f>"26858مرحله اول"</f>
        <v>26858مرحله اول</v>
      </c>
      <c r="AA719" s="1" t="str">
        <f>"شهرداريها"</f>
        <v>شهرداريها</v>
      </c>
      <c r="AB719" s="1" t="str">
        <f>"96/06/29"</f>
        <v>96/06/29</v>
      </c>
      <c r="AC719" s="1" t="str">
        <f>"خراسان رضوي"</f>
        <v>خراسان رضوي</v>
      </c>
      <c r="AD719" s="1" t="str">
        <f>"96/07/03"</f>
        <v>96/07/03</v>
      </c>
      <c r="AE719" s="1" t="str">
        <f>"اختتام"</f>
        <v>اختتام</v>
      </c>
      <c r="AF719" s="1" t="str">
        <f>""</f>
        <v/>
      </c>
      <c r="AG719" s="1" t="str">
        <f>""</f>
        <v/>
      </c>
      <c r="AH719" s="1" t="str">
        <f>""</f>
        <v/>
      </c>
      <c r="AI719" s="1" t="str">
        <f>""</f>
        <v/>
      </c>
      <c r="AJ719" s="1" t="str">
        <f>""</f>
        <v/>
      </c>
      <c r="AK719" s="1" t="str">
        <f>""</f>
        <v/>
      </c>
    </row>
    <row r="720" spans="1:37">
      <c r="A720" s="1">
        <v>114290</v>
      </c>
      <c r="B720" s="1">
        <v>962000171</v>
      </c>
      <c r="C720" s="1" t="str">
        <f>"تخليه خراسان رضوي بزرگراه باغچه روبروي بازه حوركارخانه آسفالت آستان قدس"</f>
        <v>تخليه خراسان رضوي بزرگراه باغچه روبروي بازه حوركارخانه آسفالت آستان قدس</v>
      </c>
      <c r="D720" s="1">
        <v>9113</v>
      </c>
      <c r="E720" s="1">
        <v>114290</v>
      </c>
      <c r="F720" s="1">
        <v>96</v>
      </c>
      <c r="G720" s="1">
        <v>0</v>
      </c>
      <c r="H720" s="1" t="str">
        <f>"96/07/03"</f>
        <v>96/07/03</v>
      </c>
      <c r="I720" s="1" t="str">
        <f>"كيلوگرم"</f>
        <v>كيلوگرم</v>
      </c>
      <c r="J720" s="1" t="str">
        <f>"0000000076"</f>
        <v>0000000076</v>
      </c>
      <c r="K720" s="1" t="str">
        <f>"قير 60/70 - فله"</f>
        <v>قير 60/70 - فله</v>
      </c>
      <c r="L720" s="1">
        <v>100</v>
      </c>
      <c r="M720" s="1" t="str">
        <f>"مخازن قير اصفهان"</f>
        <v>مخازن قير اصفهان</v>
      </c>
      <c r="N720" s="1">
        <v>11441</v>
      </c>
      <c r="O720" s="1">
        <v>50036470</v>
      </c>
      <c r="P720" s="1" t="str">
        <f>"  شهرداري رضويه"</f>
        <v xml:space="preserve">  شهرداري رضويه</v>
      </c>
      <c r="Q720" s="1">
        <v>20</v>
      </c>
      <c r="R720" s="1" t="str">
        <f>"فروش داخلي - سازمان شهرداري ها و دهياري هاي كشور"</f>
        <v>فروش داخلي - سازمان شهرداري ها و دهياري هاي كشور</v>
      </c>
      <c r="S720" s="1" t="str">
        <f>"قرارداد فروش"</f>
        <v>قرارداد فروش</v>
      </c>
      <c r="T720" s="1" t="str">
        <f>"ندارد"</f>
        <v>ندارد</v>
      </c>
      <c r="U720" s="1" t="str">
        <f>"تعاوني جم گستر (1001 ج 89)"</f>
        <v>تعاوني جم گستر (1001 ج 89)</v>
      </c>
      <c r="V720" s="1">
        <v>962000171</v>
      </c>
      <c r="W720" s="1">
        <v>962000171</v>
      </c>
      <c r="X720" s="1" t="str">
        <f>"1396514467"</f>
        <v>1396514467</v>
      </c>
      <c r="Y720" s="1" t="str">
        <f>"96/07/03"</f>
        <v>96/07/03</v>
      </c>
      <c r="Z720" s="1" t="str">
        <f>"26792مرحله اول"</f>
        <v>26792مرحله اول</v>
      </c>
      <c r="AA720" s="1" t="str">
        <f>"شهرداريها"</f>
        <v>شهرداريها</v>
      </c>
      <c r="AB720" s="1" t="str">
        <f>"96/06/29"</f>
        <v>96/06/29</v>
      </c>
      <c r="AC720" s="1" t="str">
        <f>"خراسان رضوي"</f>
        <v>خراسان رضوي</v>
      </c>
      <c r="AD720" s="1" t="str">
        <f>"96/07/03"</f>
        <v>96/07/03</v>
      </c>
      <c r="AE720" s="1" t="str">
        <f>"اختتام"</f>
        <v>اختتام</v>
      </c>
      <c r="AF720" s="1" t="str">
        <f>""</f>
        <v/>
      </c>
      <c r="AG720" s="1" t="str">
        <f>""</f>
        <v/>
      </c>
      <c r="AH720" s="1" t="str">
        <f>""</f>
        <v/>
      </c>
      <c r="AI720" s="1" t="str">
        <f>""</f>
        <v/>
      </c>
      <c r="AJ720" s="1" t="str">
        <f>""</f>
        <v/>
      </c>
      <c r="AK720" s="1" t="str">
        <f>""</f>
        <v/>
      </c>
    </row>
    <row r="721" spans="1:37">
      <c r="A721" s="1">
        <v>126643</v>
      </c>
      <c r="B721" s="1">
        <v>962000176</v>
      </c>
      <c r="C721" s="1" t="str">
        <f>"تخليه خراسان رضوي كيلومتر21جاده مشهدكلات جنب جهدبتن كارخانه آسفالت مشكين راه توس"</f>
        <v>تخليه خراسان رضوي كيلومتر21جاده مشهدكلات جنب جهدبتن كارخانه آسفالت مشكين راه توس</v>
      </c>
      <c r="D721" s="1">
        <v>9113</v>
      </c>
      <c r="E721" s="1">
        <v>126643</v>
      </c>
      <c r="F721" s="1">
        <v>96</v>
      </c>
      <c r="G721" s="1">
        <v>0</v>
      </c>
      <c r="H721" s="1" t="str">
        <f>"96/07/03"</f>
        <v>96/07/03</v>
      </c>
      <c r="I721" s="1" t="str">
        <f>"كيلوگرم"</f>
        <v>كيلوگرم</v>
      </c>
      <c r="J721" s="1" t="str">
        <f>"0000000076"</f>
        <v>0000000076</v>
      </c>
      <c r="K721" s="1" t="str">
        <f>"قير 60/70 - فله"</f>
        <v>قير 60/70 - فله</v>
      </c>
      <c r="L721" s="1">
        <v>100</v>
      </c>
      <c r="M721" s="1" t="str">
        <f>"مخازن قير اصفهان"</f>
        <v>مخازن قير اصفهان</v>
      </c>
      <c r="N721" s="1">
        <v>11445</v>
      </c>
      <c r="O721" s="1">
        <v>50036381</v>
      </c>
      <c r="P721" s="1" t="str">
        <f>"  شهرداري شانديز"</f>
        <v xml:space="preserve">  شهرداري شانديز</v>
      </c>
      <c r="Q721" s="1">
        <v>20</v>
      </c>
      <c r="R721" s="1" t="str">
        <f>"فروش داخلي - سازمان شهرداري ها و دهياري هاي كشور"</f>
        <v>فروش داخلي - سازمان شهرداري ها و دهياري هاي كشور</v>
      </c>
      <c r="S721" s="1" t="str">
        <f>"قرارداد فروش"</f>
        <v>قرارداد فروش</v>
      </c>
      <c r="T721" s="1" t="str">
        <f>"ندارد"</f>
        <v>ندارد</v>
      </c>
      <c r="U721" s="1" t="str">
        <f>"تعاوني جم گستر (1001 ج 89)"</f>
        <v>تعاوني جم گستر (1001 ج 89)</v>
      </c>
      <c r="V721" s="1">
        <v>962000176</v>
      </c>
      <c r="W721" s="1">
        <v>962000176</v>
      </c>
      <c r="X721" s="1" t="str">
        <f>"1396514467"</f>
        <v>1396514467</v>
      </c>
      <c r="Y721" s="1" t="str">
        <f>"96/07/03"</f>
        <v>96/07/03</v>
      </c>
      <c r="Z721" s="1" t="str">
        <f>"26764مرحله اول"</f>
        <v>26764مرحله اول</v>
      </c>
      <c r="AA721" s="1" t="str">
        <f>"شهرداريها"</f>
        <v>شهرداريها</v>
      </c>
      <c r="AB721" s="1" t="str">
        <f>"96/06/29"</f>
        <v>96/06/29</v>
      </c>
      <c r="AC721" s="1" t="str">
        <f>"خراسان رضوي"</f>
        <v>خراسان رضوي</v>
      </c>
      <c r="AD721" s="1" t="str">
        <f>"96/07/03"</f>
        <v>96/07/03</v>
      </c>
      <c r="AE721" s="1" t="str">
        <f>"اختتام"</f>
        <v>اختتام</v>
      </c>
      <c r="AF721" s="1" t="str">
        <f>""</f>
        <v/>
      </c>
      <c r="AG721" s="1" t="str">
        <f>""</f>
        <v/>
      </c>
      <c r="AH721" s="1" t="str">
        <f>""</f>
        <v/>
      </c>
      <c r="AI721" s="1" t="str">
        <f>""</f>
        <v/>
      </c>
      <c r="AJ721" s="1" t="str">
        <f>""</f>
        <v/>
      </c>
      <c r="AK721" s="1" t="str">
        <f>""</f>
        <v/>
      </c>
    </row>
    <row r="722" spans="1:37">
      <c r="A722" s="1">
        <v>65657</v>
      </c>
      <c r="B722" s="1">
        <v>962000297</v>
      </c>
      <c r="C722" s="1" t="str">
        <f>"تخليه خراسان رضوي جاده مشهدبه كاشمرشركت پوشش راه كاشمر"</f>
        <v>تخليه خراسان رضوي جاده مشهدبه كاشمرشركت پوشش راه كاشمر</v>
      </c>
      <c r="D722" s="1">
        <v>9113</v>
      </c>
      <c r="E722" s="1">
        <v>64786</v>
      </c>
      <c r="F722" s="1">
        <v>96</v>
      </c>
      <c r="G722" s="1">
        <v>871</v>
      </c>
      <c r="H722" s="1" t="str">
        <f>"96/09/13"</f>
        <v>96/09/13</v>
      </c>
      <c r="I722" s="1" t="str">
        <f>"كيلوگرم"</f>
        <v>كيلوگرم</v>
      </c>
      <c r="J722" s="1" t="str">
        <f>"0000000076"</f>
        <v>0000000076</v>
      </c>
      <c r="K722" s="1" t="str">
        <f>"قير 60/70 - فله"</f>
        <v>قير 60/70 - فله</v>
      </c>
      <c r="L722" s="1">
        <v>100</v>
      </c>
      <c r="M722" s="1" t="str">
        <f>"مخازن قير اصفهان"</f>
        <v>مخازن قير اصفهان</v>
      </c>
      <c r="N722" s="1">
        <v>11451</v>
      </c>
      <c r="O722" s="1">
        <v>50037498</v>
      </c>
      <c r="P722" s="1" t="str">
        <f>"  شهرداري كندر"</f>
        <v xml:space="preserve">  شهرداري كندر</v>
      </c>
      <c r="Q722" s="1">
        <v>20</v>
      </c>
      <c r="R722" s="1" t="str">
        <f>"فروش داخلي - سازمان شهرداري ها و دهياري هاي كشور"</f>
        <v>فروش داخلي - سازمان شهرداري ها و دهياري هاي كشور</v>
      </c>
      <c r="S722" s="1" t="str">
        <f>"قرارداد فروش"</f>
        <v>قرارداد فروش</v>
      </c>
      <c r="T722" s="1" t="str">
        <f>"ندارد"</f>
        <v>ندارد</v>
      </c>
      <c r="U722" s="1" t="str">
        <f>"تعاوني جم گستر (1001 ج 89)"</f>
        <v>تعاوني جم گستر (1001 ج 89)</v>
      </c>
      <c r="V722" s="1">
        <v>962000297</v>
      </c>
      <c r="W722" s="1">
        <v>962000297</v>
      </c>
      <c r="X722" s="1" t="str">
        <f>"1396514467"</f>
        <v>1396514467</v>
      </c>
      <c r="Y722" s="1" t="str">
        <f>"96/09/12"</f>
        <v>96/09/12</v>
      </c>
      <c r="Z722" s="1" t="str">
        <f>"37054مرحله دوم"</f>
        <v>37054مرحله دوم</v>
      </c>
      <c r="AA722" s="1" t="str">
        <f>"شهرداريها"</f>
        <v>شهرداريها</v>
      </c>
      <c r="AB722" s="1" t="str">
        <f>"96/09/04"</f>
        <v>96/09/04</v>
      </c>
      <c r="AC722" s="1" t="str">
        <f>"خراسان رضوي"</f>
        <v>خراسان رضوي</v>
      </c>
      <c r="AD722" s="1" t="str">
        <f>"96/07/03"</f>
        <v>96/07/03</v>
      </c>
      <c r="AE722" s="1" t="str">
        <f>"اختتام"</f>
        <v>اختتام</v>
      </c>
      <c r="AF722" s="1" t="str">
        <f>""</f>
        <v/>
      </c>
      <c r="AG722" s="1" t="str">
        <f>""</f>
        <v/>
      </c>
      <c r="AH722" s="1" t="str">
        <f>""</f>
        <v/>
      </c>
      <c r="AI722" s="1" t="str">
        <f>""</f>
        <v/>
      </c>
      <c r="AJ722" s="1" t="str">
        <f>""</f>
        <v/>
      </c>
      <c r="AK722" s="1" t="str">
        <f>""</f>
        <v/>
      </c>
    </row>
    <row r="723" spans="1:37">
      <c r="A723" s="1">
        <v>67188</v>
      </c>
      <c r="B723" s="1">
        <v>962000284</v>
      </c>
      <c r="C723" s="1" t="str">
        <f>"تخليه خراسان رضوي كيلومتر5جاده تايبادمشهدجاده كمربندي كارخانه آسفالت شهرداري تايباد"</f>
        <v>تخليه خراسان رضوي كيلومتر5جاده تايبادمشهدجاده كمربندي كارخانه آسفالت شهرداري تايباد</v>
      </c>
      <c r="D723" s="1">
        <v>9113</v>
      </c>
      <c r="E723" s="1">
        <v>65823</v>
      </c>
      <c r="F723" s="1">
        <v>96</v>
      </c>
      <c r="G723" s="1">
        <v>1365</v>
      </c>
      <c r="H723" s="1" t="str">
        <f>"96/09/13"</f>
        <v>96/09/13</v>
      </c>
      <c r="I723" s="1" t="str">
        <f>"كيلوگرم"</f>
        <v>كيلوگرم</v>
      </c>
      <c r="J723" s="1" t="str">
        <f>"0000000076"</f>
        <v>0000000076</v>
      </c>
      <c r="K723" s="1" t="str">
        <f>"قير 60/70 - فله"</f>
        <v>قير 60/70 - فله</v>
      </c>
      <c r="L723" s="1">
        <v>100</v>
      </c>
      <c r="M723" s="1" t="str">
        <f>"مخازن قير اصفهان"</f>
        <v>مخازن قير اصفهان</v>
      </c>
      <c r="N723" s="1">
        <v>11453</v>
      </c>
      <c r="O723" s="1">
        <v>50037484</v>
      </c>
      <c r="P723" s="1" t="str">
        <f>"  شهرداري مشهدريزه"</f>
        <v xml:space="preserve">  شهرداري مشهدريزه</v>
      </c>
      <c r="Q723" s="1">
        <v>20</v>
      </c>
      <c r="R723" s="1" t="str">
        <f>"فروش داخلي - سازمان شهرداري ها و دهياري هاي كشور"</f>
        <v>فروش داخلي - سازمان شهرداري ها و دهياري هاي كشور</v>
      </c>
      <c r="S723" s="1" t="str">
        <f>"قرارداد فروش"</f>
        <v>قرارداد فروش</v>
      </c>
      <c r="T723" s="1" t="str">
        <f>"ندارد"</f>
        <v>ندارد</v>
      </c>
      <c r="U723" s="1" t="str">
        <f>"تعاوني جم گستر (1001 ج 89)"</f>
        <v>تعاوني جم گستر (1001 ج 89)</v>
      </c>
      <c r="V723" s="1">
        <v>962000284</v>
      </c>
      <c r="W723" s="1">
        <v>962000284</v>
      </c>
      <c r="X723" s="1" t="str">
        <f>"1396514467"</f>
        <v>1396514467</v>
      </c>
      <c r="Y723" s="1" t="str">
        <f>"96/09/12"</f>
        <v>96/09/12</v>
      </c>
      <c r="Z723" s="1" t="str">
        <f>"37061مرحله دوم"</f>
        <v>37061مرحله دوم</v>
      </c>
      <c r="AA723" s="1" t="str">
        <f>"شهرداريها"</f>
        <v>شهرداريها</v>
      </c>
      <c r="AB723" s="1" t="str">
        <f>"96/09/04"</f>
        <v>96/09/04</v>
      </c>
      <c r="AC723" s="1" t="str">
        <f>"خراسان رضوي"</f>
        <v>خراسان رضوي</v>
      </c>
      <c r="AD723" s="1" t="str">
        <f>"96/07/03"</f>
        <v>96/07/03</v>
      </c>
      <c r="AE723" s="1" t="str">
        <f>"اختتام"</f>
        <v>اختتام</v>
      </c>
      <c r="AF723" s="1" t="str">
        <f>""</f>
        <v/>
      </c>
      <c r="AG723" s="1" t="str">
        <f>""</f>
        <v/>
      </c>
      <c r="AH723" s="1" t="str">
        <f>""</f>
        <v/>
      </c>
      <c r="AI723" s="1" t="str">
        <f>""</f>
        <v/>
      </c>
      <c r="AJ723" s="1" t="str">
        <f>""</f>
        <v/>
      </c>
      <c r="AK723" s="1" t="str">
        <f>""</f>
        <v/>
      </c>
    </row>
    <row r="724" spans="1:37">
      <c r="A724" s="1">
        <v>22000</v>
      </c>
      <c r="B724" s="1">
        <v>966200294</v>
      </c>
      <c r="C724" s="1" t="str">
        <f>"تخليه - خراسان رضوي-نيشابور-کيلومتر 13 جاده فيروزه-قوچان"</f>
        <v>تخليه - خراسان رضوي-نيشابور-کيلومتر 13 جاده فيروزه-قوچان</v>
      </c>
      <c r="D724" s="1">
        <v>9113</v>
      </c>
      <c r="E724" s="1">
        <v>21780</v>
      </c>
      <c r="F724" s="1">
        <v>96</v>
      </c>
      <c r="G724" s="1">
        <v>220</v>
      </c>
      <c r="H724" s="1" t="str">
        <f>"96/07/13"</f>
        <v>96/07/13</v>
      </c>
      <c r="I724" s="1" t="str">
        <f>"كيلوگرم"</f>
        <v>كيلوگرم</v>
      </c>
      <c r="J724" s="1" t="str">
        <f>"0000000076"</f>
        <v>0000000076</v>
      </c>
      <c r="K724" s="1" t="str">
        <f>"قير 60/70 - فله"</f>
        <v>قير 60/70 - فله</v>
      </c>
      <c r="L724" s="1">
        <v>100</v>
      </c>
      <c r="M724" s="1" t="str">
        <f>"مخازن قير اصفهان"</f>
        <v>مخازن قير اصفهان</v>
      </c>
      <c r="N724" s="1">
        <v>11468</v>
      </c>
      <c r="O724" s="1">
        <v>50036550</v>
      </c>
      <c r="P724" s="1" t="str">
        <f>"  سازه بتن رضوان"</f>
        <v xml:space="preserve">  سازه بتن رضوان</v>
      </c>
      <c r="Q724" s="1">
        <v>62</v>
      </c>
      <c r="R724" s="1" t="str">
        <f>"فروش داخلي - سازمان بنيادمسكن انقلاب اسلامي"</f>
        <v>فروش داخلي - سازمان بنيادمسكن انقلاب اسلامي</v>
      </c>
      <c r="S724" s="1" t="str">
        <f>"قرارداد فروش"</f>
        <v>قرارداد فروش</v>
      </c>
      <c r="T724" s="1" t="str">
        <f>"ندارد"</f>
        <v>ندارد</v>
      </c>
      <c r="U724" s="1" t="str">
        <f>"نظام دوست امين (1911102)"</f>
        <v>نظام دوست امين (1911102)</v>
      </c>
      <c r="V724" s="1">
        <v>966200294</v>
      </c>
      <c r="W724" s="1">
        <v>966200294</v>
      </c>
      <c r="X724" s="1" t="str">
        <f>"1396516803"</f>
        <v>1396516803</v>
      </c>
      <c r="Y724" s="1" t="str">
        <f>"96/07/13"</f>
        <v>96/07/13</v>
      </c>
      <c r="Z724" s="1" t="str">
        <f>"30664/د"</f>
        <v>30664/د</v>
      </c>
      <c r="AA724" s="1" t="str">
        <f>"بنيادمسكن انقلاب اسلامي"</f>
        <v>بنيادمسكن انقلاب اسلامي</v>
      </c>
      <c r="AB724" s="1" t="str">
        <f>"96/07/11"</f>
        <v>96/07/11</v>
      </c>
      <c r="AC724" s="1" t="str">
        <f>"خراسان رضوي"</f>
        <v>خراسان رضوي</v>
      </c>
      <c r="AD724" s="1" t="str">
        <f>"96/07/12"</f>
        <v>96/07/12</v>
      </c>
      <c r="AE724" s="1" t="str">
        <f>"اختتام"</f>
        <v>اختتام</v>
      </c>
      <c r="AF724" s="1" t="str">
        <f>""</f>
        <v/>
      </c>
      <c r="AG724" s="1" t="str">
        <f>""</f>
        <v/>
      </c>
      <c r="AH724" s="1" t="str">
        <f>""</f>
        <v/>
      </c>
      <c r="AI724" s="1" t="str">
        <f>""</f>
        <v/>
      </c>
      <c r="AJ724" s="1" t="str">
        <f>""</f>
        <v/>
      </c>
      <c r="AK724" s="1" t="str">
        <f>""</f>
        <v/>
      </c>
    </row>
    <row r="725" spans="1:37">
      <c r="A725" s="1">
        <v>321000</v>
      </c>
      <c r="B725" s="1">
        <v>966200313</v>
      </c>
      <c r="C725" s="1" t="str">
        <f>"تخليه - لرستان-دلفان-جاده 24 کيلومتر-بابا بزرگ پايين تر تنگ پري"</f>
        <v>تخليه - لرستان-دلفان-جاده 24 کيلومتر-بابا بزرگ پايين تر تنگ پري</v>
      </c>
      <c r="D725" s="1">
        <v>9113</v>
      </c>
      <c r="E725" s="1">
        <v>321000</v>
      </c>
      <c r="F725" s="1">
        <v>96</v>
      </c>
      <c r="G725" s="1">
        <v>0</v>
      </c>
      <c r="H725" s="1" t="str">
        <f>"96/07/22"</f>
        <v>96/07/22</v>
      </c>
      <c r="I725" s="1" t="str">
        <f>"كيلوگرم"</f>
        <v>كيلوگرم</v>
      </c>
      <c r="J725" s="1" t="str">
        <f>"0000000076"</f>
        <v>0000000076</v>
      </c>
      <c r="K725" s="1" t="str">
        <f>"قير 60/70 - فله"</f>
        <v>قير 60/70 - فله</v>
      </c>
      <c r="L725" s="1">
        <v>100</v>
      </c>
      <c r="M725" s="1" t="str">
        <f>"مخازن قير اصفهان"</f>
        <v>مخازن قير اصفهان</v>
      </c>
      <c r="N725" s="1">
        <v>11475</v>
      </c>
      <c r="O725" s="1">
        <v>50036704</v>
      </c>
      <c r="P725" s="1" t="str">
        <f>"  خاتم سازه جم"</f>
        <v xml:space="preserve">  خاتم سازه جم</v>
      </c>
      <c r="Q725" s="1">
        <v>62</v>
      </c>
      <c r="R725" s="1" t="str">
        <f>"فروش داخلي - سازمان بنيادمسكن انقلاب اسلامي"</f>
        <v>فروش داخلي - سازمان بنيادمسكن انقلاب اسلامي</v>
      </c>
      <c r="S725" s="1" t="str">
        <f>"قرارداد فروش"</f>
        <v>قرارداد فروش</v>
      </c>
      <c r="T725" s="1" t="str">
        <f>"ندارد"</f>
        <v>ندارد</v>
      </c>
      <c r="U725" s="1" t="str">
        <f>"ريسماني حسن(1007ج89)"</f>
        <v>ريسماني حسن(1007ج89)</v>
      </c>
      <c r="V725" s="1">
        <v>966200313</v>
      </c>
      <c r="W725" s="1">
        <v>966200313</v>
      </c>
      <c r="X725" s="1" t="str">
        <f>"1396518615"</f>
        <v>1396518615</v>
      </c>
      <c r="Y725" s="1" t="str">
        <f>"96/07/22"</f>
        <v>96/07/22</v>
      </c>
      <c r="Z725" s="1" t="str">
        <f>"32273/د"</f>
        <v>32273/د</v>
      </c>
      <c r="AA725" s="1" t="str">
        <f>"بنيادمسكن انقلاب اسلامي"</f>
        <v>بنيادمسكن انقلاب اسلامي</v>
      </c>
      <c r="AB725" s="1" t="str">
        <f>"96/07/19"</f>
        <v>96/07/19</v>
      </c>
      <c r="AC725" s="1" t="str">
        <f>"لرستان"</f>
        <v>لرستان</v>
      </c>
      <c r="AD725" s="1" t="str">
        <f>"96/07/22"</f>
        <v>96/07/22</v>
      </c>
      <c r="AE725" s="1" t="str">
        <f>"اختتام"</f>
        <v>اختتام</v>
      </c>
      <c r="AF725" s="1" t="str">
        <f>""</f>
        <v/>
      </c>
      <c r="AG725" s="1" t="str">
        <f>""</f>
        <v/>
      </c>
      <c r="AH725" s="1" t="str">
        <f>""</f>
        <v/>
      </c>
      <c r="AI725" s="1" t="str">
        <f>""</f>
        <v/>
      </c>
      <c r="AJ725" s="1" t="str">
        <f>""</f>
        <v/>
      </c>
      <c r="AK725" s="1" t="str">
        <f>""</f>
        <v/>
      </c>
    </row>
    <row r="726" spans="1:37">
      <c r="A726" s="1">
        <v>63000</v>
      </c>
      <c r="B726" s="1">
        <v>966200334</v>
      </c>
      <c r="C726" s="1" t="str">
        <f>"تخليه - تهران-پاکدشت-جاده جمال آباد -جاده کانال آب-کارخانه آسفالت کوه گستران پارس"</f>
        <v>تخليه - تهران-پاکدشت-جاده جمال آباد -جاده کانال آب-کارخانه آسفالت کوه گستران پارس</v>
      </c>
      <c r="D726" s="1">
        <v>9113</v>
      </c>
      <c r="E726" s="1">
        <v>61780</v>
      </c>
      <c r="F726" s="1">
        <v>96</v>
      </c>
      <c r="G726" s="1">
        <v>1220</v>
      </c>
      <c r="H726" s="1" t="str">
        <f>"96/07/24"</f>
        <v>96/07/24</v>
      </c>
      <c r="I726" s="1" t="str">
        <f>"كيلوگرم"</f>
        <v>كيلوگرم</v>
      </c>
      <c r="J726" s="1" t="str">
        <f>"0000000076"</f>
        <v>0000000076</v>
      </c>
      <c r="K726" s="1" t="str">
        <f>"قير 60/70 - فله"</f>
        <v>قير 60/70 - فله</v>
      </c>
      <c r="L726" s="1">
        <v>100</v>
      </c>
      <c r="M726" s="1" t="str">
        <f>"مخازن قير اصفهان"</f>
        <v>مخازن قير اصفهان</v>
      </c>
      <c r="N726" s="1">
        <v>11479</v>
      </c>
      <c r="O726" s="1">
        <v>50036764</v>
      </c>
      <c r="P726" s="1" t="str">
        <f>"  نگين راه آراز"</f>
        <v xml:space="preserve">  نگين راه آراز</v>
      </c>
      <c r="Q726" s="1">
        <v>62</v>
      </c>
      <c r="R726" s="1" t="str">
        <f>"فروش داخلي - سازمان بنيادمسكن انقلاب اسلامي"</f>
        <v>فروش داخلي - سازمان بنيادمسكن انقلاب اسلامي</v>
      </c>
      <c r="S726" s="1" t="str">
        <f>"قرارداد فروش"</f>
        <v>قرارداد فروش</v>
      </c>
      <c r="T726" s="1" t="str">
        <f>"ندارد"</f>
        <v>ندارد</v>
      </c>
      <c r="U726" s="1" t="str">
        <f>"فتحي توحيد حسن(1841009)"</f>
        <v>فتحي توحيد حسن(1841009)</v>
      </c>
      <c r="V726" s="1">
        <v>966200334</v>
      </c>
      <c r="W726" s="1">
        <v>966200334</v>
      </c>
      <c r="X726" s="1" t="str">
        <f>"1396518902"</f>
        <v>1396518902</v>
      </c>
      <c r="Y726" s="1" t="str">
        <f>"96/07/24"</f>
        <v>96/07/24</v>
      </c>
      <c r="Z726" s="1" t="str">
        <f>"32897/د"</f>
        <v>32897/د</v>
      </c>
      <c r="AA726" s="1" t="str">
        <f>"بنيادمسكن انقلاب اسلامي"</f>
        <v>بنيادمسكن انقلاب اسلامي</v>
      </c>
      <c r="AB726" s="1" t="str">
        <f>"96/07/24"</f>
        <v>96/07/24</v>
      </c>
      <c r="AC726" s="1" t="str">
        <f>"استان تهران"</f>
        <v>استان تهران</v>
      </c>
      <c r="AD726" s="1" t="str">
        <f>"96/07/24"</f>
        <v>96/07/24</v>
      </c>
      <c r="AE726" s="1" t="str">
        <f>"اختتام"</f>
        <v>اختتام</v>
      </c>
      <c r="AF726" s="1" t="str">
        <f>""</f>
        <v/>
      </c>
      <c r="AG726" s="1" t="str">
        <f>""</f>
        <v/>
      </c>
      <c r="AH726" s="1" t="str">
        <f>""</f>
        <v/>
      </c>
      <c r="AI726" s="1" t="str">
        <f>""</f>
        <v/>
      </c>
      <c r="AJ726" s="1" t="str">
        <f>""</f>
        <v/>
      </c>
      <c r="AK726" s="1" t="str">
        <f>""</f>
        <v/>
      </c>
    </row>
    <row r="727" spans="1:37">
      <c r="A727" s="1">
        <v>80000</v>
      </c>
      <c r="B727" s="1">
        <v>966200335</v>
      </c>
      <c r="C727" s="1" t="str">
        <f>"تخليه - خراسان رضوي-جاده کلات-بعداز شهرک صنعتي-جاده آسانسور سازي پالايش قير زرين"</f>
        <v>تخليه - خراسان رضوي-جاده کلات-بعداز شهرک صنعتي-جاده آسانسور سازي پالايش قير زرين</v>
      </c>
      <c r="D727" s="1">
        <v>9113</v>
      </c>
      <c r="E727" s="1">
        <v>79380</v>
      </c>
      <c r="F727" s="1">
        <v>96</v>
      </c>
      <c r="G727" s="1">
        <v>620</v>
      </c>
      <c r="H727" s="1" t="str">
        <f>"96/07/24"</f>
        <v>96/07/24</v>
      </c>
      <c r="I727" s="1" t="str">
        <f>"كيلوگرم"</f>
        <v>كيلوگرم</v>
      </c>
      <c r="J727" s="1" t="str">
        <f>"0000000076"</f>
        <v>0000000076</v>
      </c>
      <c r="K727" s="1" t="str">
        <f>"قير 60/70 - فله"</f>
        <v>قير 60/70 - فله</v>
      </c>
      <c r="L727" s="1">
        <v>100</v>
      </c>
      <c r="M727" s="1" t="str">
        <f>"مخازن قير اصفهان"</f>
        <v>مخازن قير اصفهان</v>
      </c>
      <c r="N727" s="1">
        <v>11480</v>
      </c>
      <c r="O727" s="1">
        <v>50036765</v>
      </c>
      <c r="P727" s="1" t="str">
        <f>"  بانژ سنگ و خاک"</f>
        <v xml:space="preserve">  بانژ سنگ و خاک</v>
      </c>
      <c r="Q727" s="1">
        <v>62</v>
      </c>
      <c r="R727" s="1" t="str">
        <f>"فروش داخلي - سازمان بنيادمسكن انقلاب اسلامي"</f>
        <v>فروش داخلي - سازمان بنيادمسكن انقلاب اسلامي</v>
      </c>
      <c r="S727" s="1" t="str">
        <f>"قرارداد فروش"</f>
        <v>قرارداد فروش</v>
      </c>
      <c r="T727" s="1" t="str">
        <f>"ندارد"</f>
        <v>ندارد</v>
      </c>
      <c r="U727" s="1" t="str">
        <f>"قره باغي مجيد(1871065)"</f>
        <v>قره باغي مجيد(1871065)</v>
      </c>
      <c r="V727" s="1">
        <v>966200335</v>
      </c>
      <c r="W727" s="1">
        <v>966200335</v>
      </c>
      <c r="X727" s="1" t="str">
        <f>"1396518902"</f>
        <v>1396518902</v>
      </c>
      <c r="Y727" s="1" t="str">
        <f>"96/07/24"</f>
        <v>96/07/24</v>
      </c>
      <c r="Z727" s="1" t="str">
        <f>"32901/د"</f>
        <v>32901/د</v>
      </c>
      <c r="AA727" s="1" t="str">
        <f>"بنيادمسكن انقلاب اسلامي"</f>
        <v>بنيادمسكن انقلاب اسلامي</v>
      </c>
      <c r="AB727" s="1" t="str">
        <f>"96/07/24"</f>
        <v>96/07/24</v>
      </c>
      <c r="AC727" s="1" t="str">
        <f>"خراسان رضوي"</f>
        <v>خراسان رضوي</v>
      </c>
      <c r="AD727" s="1" t="str">
        <f>"96/07/24"</f>
        <v>96/07/24</v>
      </c>
      <c r="AE727" s="1" t="str">
        <f>"اختتام"</f>
        <v>اختتام</v>
      </c>
      <c r="AF727" s="1" t="str">
        <f>""</f>
        <v/>
      </c>
      <c r="AG727" s="1" t="str">
        <f>""</f>
        <v/>
      </c>
      <c r="AH727" s="1" t="str">
        <f>""</f>
        <v/>
      </c>
      <c r="AI727" s="1" t="str">
        <f>""</f>
        <v/>
      </c>
      <c r="AJ727" s="1" t="str">
        <f>""</f>
        <v/>
      </c>
      <c r="AK727" s="1" t="str">
        <f>""</f>
        <v/>
      </c>
    </row>
    <row r="728" spans="1:37">
      <c r="A728" s="1">
        <v>64000</v>
      </c>
      <c r="B728" s="1">
        <v>966200421</v>
      </c>
      <c r="C728" s="1" t="str">
        <f>"تخليه- قزوين- تاکستان-کيلومتر 15 جاده همدان-نرسيده به روستاي سيف آباد"</f>
        <v>تخليه- قزوين- تاکستان-کيلومتر 15 جاده همدان-نرسيده به روستاي سيف آباد</v>
      </c>
      <c r="D728" s="1">
        <v>12820</v>
      </c>
      <c r="E728" s="1">
        <v>63700</v>
      </c>
      <c r="F728" s="1">
        <v>96</v>
      </c>
      <c r="G728" s="1">
        <v>300</v>
      </c>
      <c r="H728" s="1" t="str">
        <f>"96/09/13"</f>
        <v>96/09/13</v>
      </c>
      <c r="I728" s="1" t="str">
        <f>"كيلوگرم"</f>
        <v>كيلوگرم</v>
      </c>
      <c r="J728" s="1" t="str">
        <f>"0000000076"</f>
        <v>0000000076</v>
      </c>
      <c r="K728" s="1" t="str">
        <f>"قير 60/70 - فله"</f>
        <v>قير 60/70 - فله</v>
      </c>
      <c r="L728" s="1">
        <v>100</v>
      </c>
      <c r="M728" s="1" t="str">
        <f>"مخازن قير اصفهان"</f>
        <v>مخازن قير اصفهان</v>
      </c>
      <c r="N728" s="1">
        <v>11500</v>
      </c>
      <c r="O728" s="1">
        <v>50037446</v>
      </c>
      <c r="P728" s="1" t="str">
        <f>"  ميلاد راه سبز دشت"</f>
        <v xml:space="preserve">  ميلاد راه سبز دشت</v>
      </c>
      <c r="Q728" s="1">
        <v>62</v>
      </c>
      <c r="R728" s="1" t="str">
        <f>"فروش داخلي - سازمان بنيادمسكن انقلاب اسلامي"</f>
        <v>فروش داخلي - سازمان بنيادمسكن انقلاب اسلامي</v>
      </c>
      <c r="S728" s="1" t="str">
        <f>"قرارداد فروش"</f>
        <v>قرارداد فروش</v>
      </c>
      <c r="T728" s="1" t="str">
        <f>"ندارد"</f>
        <v>ندارد</v>
      </c>
      <c r="U728" s="1" t="str">
        <f>"آقا علي منوچهر(1016ج89)"</f>
        <v>آقا علي منوچهر(1016ج89)</v>
      </c>
      <c r="V728" s="1">
        <v>966200421</v>
      </c>
      <c r="W728" s="1">
        <v>966200421</v>
      </c>
      <c r="X728" s="1" t="str">
        <f>"1396529573"</f>
        <v>1396529573</v>
      </c>
      <c r="Y728" s="1" t="str">
        <f>"96/09/13"</f>
        <v>96/09/13</v>
      </c>
      <c r="Z728" s="1" t="str">
        <f>"40079/د"</f>
        <v>40079/د</v>
      </c>
      <c r="AA728" s="1" t="str">
        <f>"بنيادمسكن انقلاب اسلامي"</f>
        <v>بنيادمسكن انقلاب اسلامي</v>
      </c>
      <c r="AB728" s="1" t="str">
        <f>"96/09/11"</f>
        <v>96/09/11</v>
      </c>
      <c r="AC728" s="1" t="str">
        <f>"قزوين"</f>
        <v>قزوين</v>
      </c>
      <c r="AD728" s="1" t="str">
        <f>"96/09/12"</f>
        <v>96/09/12</v>
      </c>
      <c r="AE728" s="1" t="str">
        <f>"اختتام"</f>
        <v>اختتام</v>
      </c>
      <c r="AF728" s="1" t="str">
        <f>""</f>
        <v/>
      </c>
      <c r="AG728" s="1" t="str">
        <f>""</f>
        <v/>
      </c>
      <c r="AH728" s="1" t="str">
        <f>""</f>
        <v/>
      </c>
      <c r="AI728" s="1" t="str">
        <f>""</f>
        <v/>
      </c>
      <c r="AJ728" s="1" t="str">
        <f>""</f>
        <v/>
      </c>
      <c r="AK728" s="1" t="str">
        <f>""</f>
        <v/>
      </c>
    </row>
    <row r="729" spans="1:37">
      <c r="A729" s="1">
        <v>64602</v>
      </c>
      <c r="B729" s="1">
        <v>962000300</v>
      </c>
      <c r="C729" s="1" t="str">
        <f>"تخليه خراسان رضوي شهرستان خواف روستاي بياس آبادكارخانه آسفالت ياشار"</f>
        <v>تخليه خراسان رضوي شهرستان خواف روستاي بياس آبادكارخانه آسفالت ياشار</v>
      </c>
      <c r="D729" s="1">
        <v>9113</v>
      </c>
      <c r="E729" s="1">
        <v>63820</v>
      </c>
      <c r="F729" s="1">
        <v>96</v>
      </c>
      <c r="G729" s="1">
        <v>782</v>
      </c>
      <c r="H729" s="1" t="str">
        <f>"96/09/13"</f>
        <v>96/09/13</v>
      </c>
      <c r="I729" s="1" t="str">
        <f>"كيلوگرم"</f>
        <v>كيلوگرم</v>
      </c>
      <c r="J729" s="1" t="str">
        <f>"0000000076"</f>
        <v>0000000076</v>
      </c>
      <c r="K729" s="1" t="str">
        <f>"قير 60/70 - فله"</f>
        <v>قير 60/70 - فله</v>
      </c>
      <c r="L729" s="1">
        <v>100</v>
      </c>
      <c r="M729" s="1" t="str">
        <f>"مخازن قير اصفهان"</f>
        <v>مخازن قير اصفهان</v>
      </c>
      <c r="N729" s="1">
        <v>11504</v>
      </c>
      <c r="O729" s="1">
        <v>50037501</v>
      </c>
      <c r="P729" s="1" t="str">
        <f>"  شهرداري سنگان"</f>
        <v xml:space="preserve">  شهرداري سنگان</v>
      </c>
      <c r="Q729" s="1">
        <v>20</v>
      </c>
      <c r="R729" s="1" t="str">
        <f>"فروش داخلي - سازمان شهرداري ها و دهياري هاي كشور"</f>
        <v>فروش داخلي - سازمان شهرداري ها و دهياري هاي كشور</v>
      </c>
      <c r="S729" s="1" t="str">
        <f>"قرارداد فروش"</f>
        <v>قرارداد فروش</v>
      </c>
      <c r="T729" s="1" t="str">
        <f>"ندارد"</f>
        <v>ندارد</v>
      </c>
      <c r="U729" s="1" t="str">
        <f>"تعاوني جم گستر (1001 ج 89)"</f>
        <v>تعاوني جم گستر (1001 ج 89)</v>
      </c>
      <c r="V729" s="1">
        <v>962000300</v>
      </c>
      <c r="W729" s="1">
        <v>962000300</v>
      </c>
      <c r="X729" s="1" t="str">
        <f>"1396514467"</f>
        <v>1396514467</v>
      </c>
      <c r="Y729" s="1" t="str">
        <f>"96/09/12"</f>
        <v>96/09/12</v>
      </c>
      <c r="Z729" s="1" t="str">
        <f>"37033مرحله دوم"</f>
        <v>37033مرحله دوم</v>
      </c>
      <c r="AA729" s="1" t="str">
        <f>"شهرداريها"</f>
        <v>شهرداريها</v>
      </c>
      <c r="AB729" s="1" t="str">
        <f>"96/09/04"</f>
        <v>96/09/04</v>
      </c>
      <c r="AC729" s="1" t="str">
        <f>"خراسان رضوي"</f>
        <v>خراسان رضوي</v>
      </c>
      <c r="AD729" s="1" t="str">
        <f>"96/07/03"</f>
        <v>96/07/03</v>
      </c>
      <c r="AE729" s="1" t="str">
        <f>"اختتام"</f>
        <v>اختتام</v>
      </c>
      <c r="AF729" s="1" t="str">
        <f>""</f>
        <v/>
      </c>
      <c r="AG729" s="1" t="str">
        <f>""</f>
        <v/>
      </c>
      <c r="AH729" s="1" t="str">
        <f>""</f>
        <v/>
      </c>
      <c r="AI729" s="1" t="str">
        <f>""</f>
        <v/>
      </c>
      <c r="AJ729" s="1" t="str">
        <f>""</f>
        <v/>
      </c>
      <c r="AK729" s="1" t="str">
        <f>""</f>
        <v/>
      </c>
    </row>
    <row r="730" spans="1:37">
      <c r="A730" s="1">
        <v>58174</v>
      </c>
      <c r="B730" s="1">
        <v>962000301</v>
      </c>
      <c r="C730" s="1" t="str">
        <f>"تخليه خراسان رضوي شهرستان تربت حيدريه شركت ساليان ساخت"</f>
        <v>تخليه خراسان رضوي شهرستان تربت حيدريه شركت ساليان ساخت</v>
      </c>
      <c r="D730" s="1">
        <v>9113</v>
      </c>
      <c r="E730" s="1">
        <v>56680</v>
      </c>
      <c r="F730" s="1">
        <v>96</v>
      </c>
      <c r="G730" s="1">
        <v>1494</v>
      </c>
      <c r="H730" s="1" t="str">
        <f>"96/09/13"</f>
        <v>96/09/13</v>
      </c>
      <c r="I730" s="1" t="str">
        <f>"كيلوگرم"</f>
        <v>كيلوگرم</v>
      </c>
      <c r="J730" s="1" t="str">
        <f>"0000000076"</f>
        <v>0000000076</v>
      </c>
      <c r="K730" s="1" t="str">
        <f>"قير 60/70 - فله"</f>
        <v>قير 60/70 - فله</v>
      </c>
      <c r="L730" s="1">
        <v>100</v>
      </c>
      <c r="M730" s="1" t="str">
        <f>"مخازن قير اصفهان"</f>
        <v>مخازن قير اصفهان</v>
      </c>
      <c r="N730" s="1">
        <v>11505</v>
      </c>
      <c r="O730" s="1">
        <v>50037502</v>
      </c>
      <c r="P730" s="1" t="str">
        <f>"  شهرداري قاسم آباد"</f>
        <v xml:space="preserve">  شهرداري قاسم آباد</v>
      </c>
      <c r="Q730" s="1">
        <v>20</v>
      </c>
      <c r="R730" s="1" t="str">
        <f>"فروش داخلي - سازمان شهرداري ها و دهياري هاي كشور"</f>
        <v>فروش داخلي - سازمان شهرداري ها و دهياري هاي كشور</v>
      </c>
      <c r="S730" s="1" t="str">
        <f>"قرارداد فروش"</f>
        <v>قرارداد فروش</v>
      </c>
      <c r="T730" s="1" t="str">
        <f>"ندارد"</f>
        <v>ندارد</v>
      </c>
      <c r="U730" s="1" t="str">
        <f>"تعاوني جم گستر (1001 ج 89)"</f>
        <v>تعاوني جم گستر (1001 ج 89)</v>
      </c>
      <c r="V730" s="1">
        <v>962000301</v>
      </c>
      <c r="W730" s="1">
        <v>962000301</v>
      </c>
      <c r="X730" s="1" t="str">
        <f>"1396514467"</f>
        <v>1396514467</v>
      </c>
      <c r="Y730" s="1" t="str">
        <f>"96/09/12"</f>
        <v>96/09/12</v>
      </c>
      <c r="Z730" s="1" t="str">
        <f>"37047مرحله دوم"</f>
        <v>37047مرحله دوم</v>
      </c>
      <c r="AA730" s="1" t="str">
        <f>"شهرداريها"</f>
        <v>شهرداريها</v>
      </c>
      <c r="AB730" s="1" t="str">
        <f>"96/09/04"</f>
        <v>96/09/04</v>
      </c>
      <c r="AC730" s="1" t="str">
        <f>"خراسان رضوي"</f>
        <v>خراسان رضوي</v>
      </c>
      <c r="AD730" s="1" t="str">
        <f>"96/07/03"</f>
        <v>96/07/03</v>
      </c>
      <c r="AE730" s="1" t="str">
        <f>"اختتام"</f>
        <v>اختتام</v>
      </c>
      <c r="AF730" s="1" t="str">
        <f>""</f>
        <v/>
      </c>
      <c r="AG730" s="1" t="str">
        <f>""</f>
        <v/>
      </c>
      <c r="AH730" s="1" t="str">
        <f>""</f>
        <v/>
      </c>
      <c r="AI730" s="1" t="str">
        <f>""</f>
        <v/>
      </c>
      <c r="AJ730" s="1" t="str">
        <f>""</f>
        <v/>
      </c>
      <c r="AK730" s="1" t="str">
        <f>""</f>
        <v/>
      </c>
    </row>
    <row r="731" spans="1:37">
      <c r="A731" s="1">
        <v>15000</v>
      </c>
      <c r="B731" s="1">
        <v>966200619</v>
      </c>
      <c r="C731" s="1" t="str">
        <f>"تخليه - کهگيلويه-دهدشت-کيلومتر 14جاده اصفهان-کارخانه آسفالت آقاي موسوي"</f>
        <v>تخليه - کهگيلويه-دهدشت-کيلومتر 14جاده اصفهان-کارخانه آسفالت آقاي موسوي</v>
      </c>
      <c r="D731" s="1">
        <v>13350</v>
      </c>
      <c r="E731" s="1">
        <v>14540</v>
      </c>
      <c r="F731" s="1">
        <v>96</v>
      </c>
      <c r="G731" s="1">
        <v>460</v>
      </c>
      <c r="H731" s="1" t="str">
        <f>"96/12/09"</f>
        <v>96/12/09</v>
      </c>
      <c r="I731" s="1" t="str">
        <f>"كيلوگرم"</f>
        <v>كيلوگرم</v>
      </c>
      <c r="J731" s="1" t="str">
        <f>"0000000076"</f>
        <v>0000000076</v>
      </c>
      <c r="K731" s="1" t="str">
        <f>"قير 60/70 - فله"</f>
        <v>قير 60/70 - فله</v>
      </c>
      <c r="L731" s="1">
        <v>100</v>
      </c>
      <c r="M731" s="1" t="str">
        <f>"مخازن قير اصفهان"</f>
        <v>مخازن قير اصفهان</v>
      </c>
      <c r="N731" s="1">
        <v>11540</v>
      </c>
      <c r="O731" s="1">
        <v>50038679</v>
      </c>
      <c r="P731" s="1" t="str">
        <f>"  برازش بناي کهگيلويه"</f>
        <v xml:space="preserve">  برازش بناي کهگيلويه</v>
      </c>
      <c r="Q731" s="1">
        <v>62</v>
      </c>
      <c r="R731" s="1" t="str">
        <f>"فروش داخلي - سازمان بنيادمسكن انقلاب اسلامي"</f>
        <v>فروش داخلي - سازمان بنيادمسكن انقلاب اسلامي</v>
      </c>
      <c r="S731" s="1" t="str">
        <f>"قرارداد فروش"</f>
        <v>قرارداد فروش</v>
      </c>
      <c r="T731" s="1" t="str">
        <f>"ندارد"</f>
        <v>ندارد</v>
      </c>
      <c r="U731" s="1" t="str">
        <f>"غلام نجفي سيامك‌‌‌‌‌‌(1881082)"</f>
        <v>غلام نجفي سيامك‌‌‌‌‌‌(1881082)</v>
      </c>
      <c r="V731" s="1">
        <v>966200619</v>
      </c>
      <c r="W731" s="1">
        <v>966200619</v>
      </c>
      <c r="X731" s="1" t="str">
        <f>"1396551611"</f>
        <v>1396551611</v>
      </c>
      <c r="Y731" s="1" t="str">
        <f>"96/12/09"</f>
        <v>96/12/09</v>
      </c>
      <c r="Z731" s="1" t="str">
        <f>"55759/د"</f>
        <v>55759/د</v>
      </c>
      <c r="AA731" s="1" t="str">
        <f>"بنيادمسكن انقلاب اسلامي"</f>
        <v>بنيادمسكن انقلاب اسلامي</v>
      </c>
      <c r="AB731" s="1" t="str">
        <f>"96/12/08"</f>
        <v>96/12/08</v>
      </c>
      <c r="AC731" s="1" t="str">
        <f>"كهكيلويه و بوير احمد"</f>
        <v>كهكيلويه و بوير احمد</v>
      </c>
      <c r="AD731" s="1" t="str">
        <f>"96/12/09"</f>
        <v>96/12/09</v>
      </c>
      <c r="AE731" s="1" t="str">
        <f>"اختتام"</f>
        <v>اختتام</v>
      </c>
      <c r="AF731" s="1" t="str">
        <f>""</f>
        <v/>
      </c>
      <c r="AG731" s="1" t="str">
        <f>""</f>
        <v/>
      </c>
      <c r="AH731" s="1" t="str">
        <f>""</f>
        <v/>
      </c>
      <c r="AI731" s="1" t="str">
        <f>""</f>
        <v/>
      </c>
      <c r="AJ731" s="1" t="str">
        <f>""</f>
        <v/>
      </c>
      <c r="AK731" s="1" t="str">
        <f>""</f>
        <v/>
      </c>
    </row>
    <row r="732" spans="1:37">
      <c r="A732" s="1">
        <v>120000</v>
      </c>
      <c r="B732" s="1">
        <v>966200754</v>
      </c>
      <c r="C732" s="1" t="str">
        <f>"تخليه-کهگيلويه-ياسوج-پليس راه اصفهان-ياسوج-کارخانه آسفالت داريوش جوکار"</f>
        <v>تخليه-کهگيلويه-ياسوج-پليس راه اصفهان-ياسوج-کارخانه آسفالت داريوش جوکار</v>
      </c>
      <c r="D732" s="1">
        <v>13350</v>
      </c>
      <c r="E732" s="1">
        <v>119220</v>
      </c>
      <c r="F732" s="1">
        <v>96</v>
      </c>
      <c r="G732" s="1">
        <v>780</v>
      </c>
      <c r="H732" s="1" t="str">
        <f>"96/12/27"</f>
        <v>96/12/27</v>
      </c>
      <c r="I732" s="1" t="str">
        <f>"كيلوگرم"</f>
        <v>كيلوگرم</v>
      </c>
      <c r="J732" s="1" t="str">
        <f>"0000000076"</f>
        <v>0000000076</v>
      </c>
      <c r="K732" s="1" t="str">
        <f>"قير 60/70 - فله"</f>
        <v>قير 60/70 - فله</v>
      </c>
      <c r="L732" s="1">
        <v>100</v>
      </c>
      <c r="M732" s="1" t="str">
        <f>"مخازن قير اصفهان"</f>
        <v>مخازن قير اصفهان</v>
      </c>
      <c r="N732" s="1">
        <v>11556</v>
      </c>
      <c r="O732" s="1">
        <v>50039119</v>
      </c>
      <c r="P732" s="1" t="str">
        <f>"  آبادگر خادم ياسوج"</f>
        <v xml:space="preserve">  آبادگر خادم ياسوج</v>
      </c>
      <c r="Q732" s="1">
        <v>62</v>
      </c>
      <c r="R732" s="1" t="str">
        <f>"فروش داخلي - سازمان بنيادمسكن انقلاب اسلامي"</f>
        <v>فروش داخلي - سازمان بنيادمسكن انقلاب اسلامي</v>
      </c>
      <c r="S732" s="1" t="str">
        <f>"قرارداد فروش"</f>
        <v>قرارداد فروش</v>
      </c>
      <c r="T732" s="1" t="str">
        <f>"ندارد"</f>
        <v>ندارد</v>
      </c>
      <c r="U732" s="1" t="str">
        <f>"غلام نجفي سيامك‌‌‌‌‌‌(1881082)"</f>
        <v>غلام نجفي سيامك‌‌‌‌‌‌(1881082)</v>
      </c>
      <c r="V732" s="1">
        <v>966200754</v>
      </c>
      <c r="W732" s="1">
        <v>966200754</v>
      </c>
      <c r="X732" s="1" t="str">
        <f>"1396555422"</f>
        <v>1396555422</v>
      </c>
      <c r="Y732" s="1" t="str">
        <f>"96/12/27"</f>
        <v>96/12/27</v>
      </c>
      <c r="Z732" s="1" t="str">
        <f>"59412/د"</f>
        <v>59412/د</v>
      </c>
      <c r="AA732" s="1" t="str">
        <f>"بنيادمسكن انقلاب اسلامي"</f>
        <v>بنيادمسكن انقلاب اسلامي</v>
      </c>
      <c r="AB732" s="1" t="str">
        <f>"96/12/23"</f>
        <v>96/12/23</v>
      </c>
      <c r="AC732" s="1" t="str">
        <f>"كهكيلويه و بوير احمد"</f>
        <v>كهكيلويه و بوير احمد</v>
      </c>
      <c r="AD732" s="1" t="str">
        <f>"96/12/26"</f>
        <v>96/12/26</v>
      </c>
      <c r="AE732" s="1" t="str">
        <f>"اختتام"</f>
        <v>اختتام</v>
      </c>
      <c r="AF732" s="1" t="str">
        <f>""</f>
        <v/>
      </c>
      <c r="AG732" s="1" t="str">
        <f>""</f>
        <v/>
      </c>
      <c r="AH732" s="1" t="str">
        <f>""</f>
        <v/>
      </c>
      <c r="AI732" s="1" t="str">
        <f>""</f>
        <v/>
      </c>
      <c r="AJ732" s="1" t="str">
        <f>""</f>
        <v/>
      </c>
      <c r="AK732" s="1" t="str">
        <f>""</f>
        <v/>
      </c>
    </row>
    <row r="733" spans="1:37">
      <c r="A733" s="1">
        <v>112000</v>
      </c>
      <c r="B733" s="1">
        <v>966200657</v>
      </c>
      <c r="C733" s="1" t="str">
        <f>"تخليه-يزد-جاده کنارگذر-کيلومتر7 جاده کمربندي يزد به تفت جنب شن و ماسه و کارخانه آسفالت سازمان همياري شهرداريهاي يزد"</f>
        <v>تخليه-يزد-جاده کنارگذر-کيلومتر7 جاده کمربندي يزد به تفت جنب شن و ماسه و کارخانه آسفالت سازمان همياري شهرداريهاي يزد</v>
      </c>
      <c r="D733" s="1">
        <v>13350</v>
      </c>
      <c r="E733" s="1">
        <v>112000</v>
      </c>
      <c r="F733" s="1">
        <v>96</v>
      </c>
      <c r="G733" s="1">
        <v>0</v>
      </c>
      <c r="H733" s="1" t="str">
        <f>"96/12/15"</f>
        <v>96/12/15</v>
      </c>
      <c r="I733" s="1" t="str">
        <f>"كيلوگرم"</f>
        <v>كيلوگرم</v>
      </c>
      <c r="J733" s="1" t="str">
        <f>"0000000076"</f>
        <v>0000000076</v>
      </c>
      <c r="K733" s="1" t="str">
        <f>"قير 60/70 - فله"</f>
        <v>قير 60/70 - فله</v>
      </c>
      <c r="L733" s="1">
        <v>100</v>
      </c>
      <c r="M733" s="1" t="str">
        <f>"مخازن قير اصفهان"</f>
        <v>مخازن قير اصفهان</v>
      </c>
      <c r="N733" s="1">
        <v>9416</v>
      </c>
      <c r="O733" s="1">
        <v>50038785</v>
      </c>
      <c r="P733" s="1" t="str">
        <f>"  راهسازي پوشش راه وحيد"</f>
        <v xml:space="preserve">  راهسازي پوشش راه وحيد</v>
      </c>
      <c r="Q733" s="1">
        <v>62</v>
      </c>
      <c r="R733" s="1" t="str">
        <f>"فروش داخلي - سازمان بنيادمسكن انقلاب اسلامي"</f>
        <v>فروش داخلي - سازمان بنيادمسكن انقلاب اسلامي</v>
      </c>
      <c r="S733" s="1" t="str">
        <f>"قرارداد فروش"</f>
        <v>قرارداد فروش</v>
      </c>
      <c r="T733" s="1" t="str">
        <f>"ندارد"</f>
        <v>ندارد</v>
      </c>
      <c r="U733" s="1" t="str">
        <f>"اسماعيلي پور امين (1013ج89)"</f>
        <v>اسماعيلي پور امين (1013ج89)</v>
      </c>
      <c r="V733" s="1">
        <v>966200657</v>
      </c>
      <c r="W733" s="1">
        <v>966200657</v>
      </c>
      <c r="X733" s="1" t="str">
        <f>"1396552658"</f>
        <v>1396552658</v>
      </c>
      <c r="Y733" s="1" t="str">
        <f>"96/12/15"</f>
        <v>96/12/15</v>
      </c>
      <c r="Z733" s="1" t="str">
        <f>"57175/د"</f>
        <v>57175/د</v>
      </c>
      <c r="AA733" s="1" t="str">
        <f>"بنيادمسكن انقلاب اسلامي"</f>
        <v>بنيادمسكن انقلاب اسلامي</v>
      </c>
      <c r="AB733" s="1" t="str">
        <f>"96/12/15"</f>
        <v>96/12/15</v>
      </c>
      <c r="AC733" s="1" t="str">
        <f>"استان يزد"</f>
        <v>استان يزد</v>
      </c>
      <c r="AD733" s="1" t="str">
        <f>"96/12/15"</f>
        <v>96/12/15</v>
      </c>
      <c r="AE733" s="1" t="str">
        <f>"اختتام"</f>
        <v>اختتام</v>
      </c>
      <c r="AF733" s="1" t="str">
        <f>""</f>
        <v/>
      </c>
      <c r="AG733" s="1" t="str">
        <f>""</f>
        <v/>
      </c>
      <c r="AH733" s="1" t="str">
        <f>""</f>
        <v/>
      </c>
      <c r="AI733" s="1" t="str">
        <f>""</f>
        <v/>
      </c>
      <c r="AJ733" s="1" t="str">
        <f>""</f>
        <v/>
      </c>
      <c r="AK733" s="1" t="str">
        <f>""</f>
        <v/>
      </c>
    </row>
    <row r="734" spans="1:37">
      <c r="A734" s="1">
        <v>100732</v>
      </c>
      <c r="B734" s="1">
        <v>962000005</v>
      </c>
      <c r="C734" s="1" t="str">
        <f>"تخليه - اصفهان - کاشان - کيلومتر 18 جاده قمصر -شرکت بتن آسفالت مهر"</f>
        <v>تخليه - اصفهان - کاشان - کيلومتر 18 جاده قمصر -شرکت بتن آسفالت مهر</v>
      </c>
      <c r="D734" s="1">
        <v>9113</v>
      </c>
      <c r="E734" s="1">
        <v>100732</v>
      </c>
      <c r="F734" s="1">
        <v>96</v>
      </c>
      <c r="G734" s="1">
        <v>0</v>
      </c>
      <c r="H734" s="1" t="str">
        <f>"96/07/03"</f>
        <v>96/07/03</v>
      </c>
      <c r="I734" s="1" t="str">
        <f>"كيلوگرم"</f>
        <v>كيلوگرم</v>
      </c>
      <c r="J734" s="1" t="str">
        <f>"0000000076"</f>
        <v>0000000076</v>
      </c>
      <c r="K734" s="1" t="str">
        <f>"قير 60/70 - فله"</f>
        <v>قير 60/70 - فله</v>
      </c>
      <c r="L734" s="1">
        <v>100</v>
      </c>
      <c r="M734" s="1" t="str">
        <f>"مخازن قير اصفهان"</f>
        <v>مخازن قير اصفهان</v>
      </c>
      <c r="N734" s="1">
        <v>9417</v>
      </c>
      <c r="O734" s="1">
        <v>50036144</v>
      </c>
      <c r="P734" s="1" t="str">
        <f>"  شهرداري ابوزيدآباد"</f>
        <v xml:space="preserve">  شهرداري ابوزيدآباد</v>
      </c>
      <c r="Q734" s="1">
        <v>20</v>
      </c>
      <c r="R734" s="1" t="str">
        <f>"فروش داخلي - سازمان شهرداري ها و دهياري هاي كشور"</f>
        <v>فروش داخلي - سازمان شهرداري ها و دهياري هاي كشور</v>
      </c>
      <c r="S734" s="1" t="str">
        <f>"قرارداد فروش"</f>
        <v>قرارداد فروش</v>
      </c>
      <c r="T734" s="1" t="str">
        <f>"ندارد"</f>
        <v>ندارد</v>
      </c>
      <c r="U734" s="1" t="str">
        <f>"تعاوني جم گستر (1001 ج 89)"</f>
        <v>تعاوني جم گستر (1001 ج 89)</v>
      </c>
      <c r="V734" s="1">
        <v>962000005</v>
      </c>
      <c r="W734" s="1">
        <v>962000005</v>
      </c>
      <c r="X734" s="1" t="str">
        <f>"1396514467"</f>
        <v>1396514467</v>
      </c>
      <c r="Y734" s="1" t="str">
        <f>"96/07/03"</f>
        <v>96/07/03</v>
      </c>
      <c r="Z734" s="1" t="str">
        <f>"26862مرحله اول"</f>
        <v>26862مرحله اول</v>
      </c>
      <c r="AA734" s="1" t="str">
        <f>"شهرداريها"</f>
        <v>شهرداريها</v>
      </c>
      <c r="AB734" s="1" t="str">
        <f>"96/06/29"</f>
        <v>96/06/29</v>
      </c>
      <c r="AC734" s="1" t="str">
        <f>"استان اصفهان"</f>
        <v>استان اصفهان</v>
      </c>
      <c r="AD734" s="1" t="str">
        <f>"96/07/03"</f>
        <v>96/07/03</v>
      </c>
      <c r="AE734" s="1" t="str">
        <f>"اختتام"</f>
        <v>اختتام</v>
      </c>
      <c r="AF734" s="1" t="str">
        <f>""</f>
        <v/>
      </c>
      <c r="AG734" s="1" t="str">
        <f>""</f>
        <v/>
      </c>
      <c r="AH734" s="1" t="str">
        <f>""</f>
        <v/>
      </c>
      <c r="AI734" s="1" t="str">
        <f>""</f>
        <v/>
      </c>
      <c r="AJ734" s="1" t="str">
        <f>""</f>
        <v/>
      </c>
      <c r="AK734" s="1" t="str">
        <f>""</f>
        <v/>
      </c>
    </row>
    <row r="735" spans="1:37">
      <c r="A735" s="1">
        <v>70000</v>
      </c>
      <c r="B735" s="1">
        <v>961100022</v>
      </c>
      <c r="C735" s="1" t="str">
        <f>"تخليه -خراسان شمالي -بجنورد-فرودگاه -مسکن وعمران قدس رضوي"</f>
        <v>تخليه -خراسان شمالي -بجنورد-فرودگاه -مسکن وعمران قدس رضوي</v>
      </c>
      <c r="D735" s="1">
        <v>9354</v>
      </c>
      <c r="E735" s="1">
        <v>70000</v>
      </c>
      <c r="F735" s="1">
        <v>96</v>
      </c>
      <c r="G735" s="1">
        <v>0</v>
      </c>
      <c r="H735" s="1" t="str">
        <f>"96/03/10"</f>
        <v>96/03/10</v>
      </c>
      <c r="I735" s="1" t="str">
        <f>"كيلوگرم"</f>
        <v>كيلوگرم</v>
      </c>
      <c r="J735" s="1" t="str">
        <f>"0000000088"</f>
        <v>0000000088</v>
      </c>
      <c r="K735" s="1" t="str">
        <f>"قير  PG58-22"</f>
        <v>قير  PG58-22</v>
      </c>
      <c r="L735" s="1">
        <v>100</v>
      </c>
      <c r="M735" s="1" t="str">
        <f>"مخازن قير اصفهان"</f>
        <v>مخازن قير اصفهان</v>
      </c>
      <c r="N735" s="1">
        <v>7091</v>
      </c>
      <c r="O735" s="1">
        <v>50034932</v>
      </c>
      <c r="P735" s="1" t="str">
        <f>"  مسكن وعمران قدس رضوي"</f>
        <v xml:space="preserve">  مسكن وعمران قدس رضوي</v>
      </c>
      <c r="Q735" s="1">
        <v>11</v>
      </c>
      <c r="R735" s="1" t="str">
        <f>"فروش داخلي تهران - بورس"</f>
        <v>فروش داخلي تهران - بورس</v>
      </c>
      <c r="S735" s="1" t="str">
        <f>"قرارداد فروش"</f>
        <v>قرارداد فروش</v>
      </c>
      <c r="T735" s="1" t="str">
        <f>"ندارد"</f>
        <v>ندارد</v>
      </c>
      <c r="U735" s="1" t="str">
        <f>"عابدي محمود(1018ج89)"</f>
        <v>عابدي محمود(1018ج89)</v>
      </c>
      <c r="V735" s="1">
        <v>961100022</v>
      </c>
      <c r="W735" s="1">
        <v>961100022</v>
      </c>
      <c r="X735" s="1" t="str">
        <f>"1396485066"</f>
        <v>1396485066</v>
      </c>
      <c r="Y735" s="1" t="str">
        <f>"96/03/10"</f>
        <v>96/03/10</v>
      </c>
      <c r="Z735" s="1" t="str">
        <f>"720/2466"</f>
        <v>720/2466</v>
      </c>
      <c r="AA735" s="1" t="str">
        <f>"راه سازي"</f>
        <v>راه سازي</v>
      </c>
      <c r="AB735" s="1" t="str">
        <f>"96/03/06"</f>
        <v>96/03/06</v>
      </c>
      <c r="AC735" s="1" t="str">
        <f>"خراسان شمالي"</f>
        <v>خراسان شمالي</v>
      </c>
      <c r="AD735" s="1" t="str">
        <f>"96/03/10"</f>
        <v>96/03/10</v>
      </c>
      <c r="AE735" s="1" t="str">
        <f>"اختتام"</f>
        <v>اختتام</v>
      </c>
      <c r="AF735" s="1" t="str">
        <f>""</f>
        <v/>
      </c>
      <c r="AG735" s="1" t="str">
        <f>""</f>
        <v/>
      </c>
      <c r="AH735" s="1" t="str">
        <f>""</f>
        <v/>
      </c>
      <c r="AI735" s="1" t="str">
        <f>""</f>
        <v/>
      </c>
      <c r="AJ735" s="1" t="str">
        <f>""</f>
        <v/>
      </c>
      <c r="AK735" s="1" t="str">
        <f>""</f>
        <v/>
      </c>
    </row>
    <row r="736" spans="1:37">
      <c r="A736" s="1">
        <v>100000</v>
      </c>
      <c r="B736" s="1">
        <v>961700064</v>
      </c>
      <c r="C736" s="1" t="str">
        <f>"تخليه -چهارمحال بختياري -فلاردكارخانه آسفالت ياسين گنج فلارد"</f>
        <v>تخليه -چهارمحال بختياري -فلاردكارخانه آسفالت ياسين گنج فلارد</v>
      </c>
      <c r="D736" s="1">
        <v>9204</v>
      </c>
      <c r="E736" s="1">
        <v>99660</v>
      </c>
      <c r="F736" s="1">
        <v>96</v>
      </c>
      <c r="G736" s="1">
        <v>340</v>
      </c>
      <c r="H736" s="1" t="str">
        <f>"96/05/28"</f>
        <v>96/05/28</v>
      </c>
      <c r="I736" s="1" t="str">
        <f>"كيلوگرم"</f>
        <v>كيلوگرم</v>
      </c>
      <c r="J736" s="1" t="str">
        <f>"0000000088"</f>
        <v>0000000088</v>
      </c>
      <c r="K736" s="1" t="str">
        <f>"قير  PG58-22"</f>
        <v>قير  PG58-22</v>
      </c>
      <c r="L736" s="1">
        <v>100</v>
      </c>
      <c r="M736" s="1" t="str">
        <f>"مخازن قير اصفهان"</f>
        <v>مخازن قير اصفهان</v>
      </c>
      <c r="N736" s="1">
        <v>7190</v>
      </c>
      <c r="O736" s="1">
        <v>50035717</v>
      </c>
      <c r="P736" s="1" t="str">
        <f>"  اداره كل راه و شهرسازي چهارمحال وبختياري"</f>
        <v xml:space="preserve">  اداره كل راه و شهرسازي چهارمحال وبختياري</v>
      </c>
      <c r="Q736" s="1">
        <v>17</v>
      </c>
      <c r="R736" s="1" t="str">
        <f>"فروش داخلي تهران - وزارت راه - راه روستايي - روکش"</f>
        <v>فروش داخلي تهران - وزارت راه - راه روستايي - روکش</v>
      </c>
      <c r="S736" s="1" t="str">
        <f>"قرارداد فروش"</f>
        <v>قرارداد فروش</v>
      </c>
      <c r="T736" s="1" t="str">
        <f>"ندارد"</f>
        <v>ندارد</v>
      </c>
      <c r="U736" s="1" t="str">
        <f>"قره باغي مجيد(1871065)"</f>
        <v>قره باغي مجيد(1871065)</v>
      </c>
      <c r="V736" s="1">
        <v>961700064</v>
      </c>
      <c r="W736" s="1">
        <v>961700064</v>
      </c>
      <c r="X736" s="1" t="str">
        <f>"1396506334"</f>
        <v>1396506334</v>
      </c>
      <c r="Y736" s="1" t="str">
        <f>"96/05/28"</f>
        <v>96/05/28</v>
      </c>
      <c r="Z736" s="1" t="str">
        <f>"25329/710"</f>
        <v>25329/710</v>
      </c>
      <c r="AA736" s="1" t="str">
        <f>"راه روستائي -روكش"</f>
        <v>راه روستائي -روكش</v>
      </c>
      <c r="AB736" s="1" t="str">
        <f>"96/05/25"</f>
        <v>96/05/25</v>
      </c>
      <c r="AC736" s="1" t="str">
        <f>"استان چهارمحال بختياري"</f>
        <v>استان چهارمحال بختياري</v>
      </c>
      <c r="AD736" s="1" t="str">
        <f>"96/05/28"</f>
        <v>96/05/28</v>
      </c>
      <c r="AE736" s="1" t="str">
        <f>"اختتام"</f>
        <v>اختتام</v>
      </c>
      <c r="AF736" s="1" t="str">
        <f>""</f>
        <v/>
      </c>
      <c r="AG736" s="1" t="str">
        <f>""</f>
        <v/>
      </c>
      <c r="AH736" s="1" t="str">
        <f>""</f>
        <v/>
      </c>
      <c r="AI736" s="1" t="str">
        <f>""</f>
        <v/>
      </c>
      <c r="AJ736" s="1" t="str">
        <f>""</f>
        <v/>
      </c>
      <c r="AK736" s="1" t="str">
        <f>""</f>
        <v/>
      </c>
    </row>
    <row r="737" spans="1:37">
      <c r="A737" s="1">
        <v>85000</v>
      </c>
      <c r="B737" s="1">
        <v>961700223</v>
      </c>
      <c r="C737" s="1" t="str">
        <f>"تخليه -چهارمحال وبختياري سفيددشت زرين شهر-تنگ بيدكان شركت زرين استحكام"</f>
        <v>تخليه -چهارمحال وبختياري سفيددشت زرين شهر-تنگ بيدكان شركت زرين استحكام</v>
      </c>
      <c r="D737" s="1">
        <v>16350</v>
      </c>
      <c r="E737" s="1">
        <v>84740</v>
      </c>
      <c r="F737" s="1">
        <v>96</v>
      </c>
      <c r="G737" s="1">
        <v>260</v>
      </c>
      <c r="H737" s="1" t="str">
        <f>"96/12/24"</f>
        <v>96/12/24</v>
      </c>
      <c r="I737" s="1" t="str">
        <f>"كيلوگرم"</f>
        <v>كيلوگرم</v>
      </c>
      <c r="J737" s="1" t="str">
        <f>"0000000088"</f>
        <v>0000000088</v>
      </c>
      <c r="K737" s="1" t="str">
        <f>"قير  PG58-22"</f>
        <v>قير  PG58-22</v>
      </c>
      <c r="L737" s="1">
        <v>100</v>
      </c>
      <c r="M737" s="1" t="str">
        <f>"مخازن قير اصفهان"</f>
        <v>مخازن قير اصفهان</v>
      </c>
      <c r="N737" s="1">
        <v>7190</v>
      </c>
      <c r="O737" s="1">
        <v>50039004</v>
      </c>
      <c r="P737" s="1" t="str">
        <f>"  اداره كل راه و شهرسازي چهارمحال وبختياري"</f>
        <v xml:space="preserve">  اداره كل راه و شهرسازي چهارمحال وبختياري</v>
      </c>
      <c r="Q737" s="1">
        <v>17</v>
      </c>
      <c r="R737" s="1" t="str">
        <f>"فروش داخلي تهران - وزارت راه - راه روستايي - روکش"</f>
        <v>فروش داخلي تهران - وزارت راه - راه روستايي - روکش</v>
      </c>
      <c r="S737" s="1" t="str">
        <f>"قرارداد فروش"</f>
        <v>قرارداد فروش</v>
      </c>
      <c r="T737" s="1" t="str">
        <f>"ندارد"</f>
        <v>ندارد</v>
      </c>
      <c r="U737" s="1" t="str">
        <f>"قره باغي مجيد(1871065)"</f>
        <v>قره باغي مجيد(1871065)</v>
      </c>
      <c r="V737" s="1">
        <v>961700223</v>
      </c>
      <c r="W737" s="1">
        <v>961700223</v>
      </c>
      <c r="X737" s="1" t="str">
        <f>"1396553920"</f>
        <v>1396553920</v>
      </c>
      <c r="Y737" s="1" t="str">
        <f>"96/12/24"</f>
        <v>96/12/24</v>
      </c>
      <c r="Z737" s="1" t="str">
        <f>"47994/710"</f>
        <v>47994/710</v>
      </c>
      <c r="AA737" s="1" t="str">
        <f>"راه روستائي -روكش"</f>
        <v>راه روستائي -روكش</v>
      </c>
      <c r="AB737" s="1" t="str">
        <f>"96/09/19"</f>
        <v>96/09/19</v>
      </c>
      <c r="AC737" s="1" t="str">
        <f>"استان چهارمحال بختياري"</f>
        <v>استان چهارمحال بختياري</v>
      </c>
      <c r="AD737" s="1" t="str">
        <f>"96/12/20"</f>
        <v>96/12/20</v>
      </c>
      <c r="AE737" s="1" t="str">
        <f>"اختتام"</f>
        <v>اختتام</v>
      </c>
      <c r="AF737" s="1" t="str">
        <f>""</f>
        <v/>
      </c>
      <c r="AG737" s="1" t="str">
        <f>""</f>
        <v/>
      </c>
      <c r="AH737" s="1" t="str">
        <f>""</f>
        <v/>
      </c>
      <c r="AI737" s="1" t="str">
        <f>""</f>
        <v/>
      </c>
      <c r="AJ737" s="1" t="str">
        <f>""</f>
        <v/>
      </c>
      <c r="AK737" s="1" t="str">
        <f>""</f>
        <v/>
      </c>
    </row>
    <row r="738" spans="1:37">
      <c r="A738" s="1">
        <v>80000</v>
      </c>
      <c r="B738" s="1">
        <v>961700225</v>
      </c>
      <c r="C738" s="1" t="str">
        <f>"تخليه چهارمحال وبختياري پروژه دورك قنبري كارخانه آسفالت ميانكوه"</f>
        <v>تخليه چهارمحال وبختياري پروژه دورك قنبري كارخانه آسفالت ميانكوه</v>
      </c>
      <c r="D738" s="1">
        <v>16350</v>
      </c>
      <c r="E738" s="1">
        <v>80000</v>
      </c>
      <c r="F738" s="1">
        <v>96</v>
      </c>
      <c r="G738" s="1">
        <v>0</v>
      </c>
      <c r="H738" s="1" t="str">
        <f>"96/12/24"</f>
        <v>96/12/24</v>
      </c>
      <c r="I738" s="1" t="str">
        <f>"كيلوگرم"</f>
        <v>كيلوگرم</v>
      </c>
      <c r="J738" s="1" t="str">
        <f>"0000000088"</f>
        <v>0000000088</v>
      </c>
      <c r="K738" s="1" t="str">
        <f>"قير  PG58-22"</f>
        <v>قير  PG58-22</v>
      </c>
      <c r="L738" s="1">
        <v>100</v>
      </c>
      <c r="M738" s="1" t="str">
        <f>"مخازن قير اصفهان"</f>
        <v>مخازن قير اصفهان</v>
      </c>
      <c r="N738" s="1">
        <v>7190</v>
      </c>
      <c r="O738" s="1">
        <v>50039006</v>
      </c>
      <c r="P738" s="1" t="str">
        <f>"  اداره كل راه و شهرسازي چهارمحال وبختياري"</f>
        <v xml:space="preserve">  اداره كل راه و شهرسازي چهارمحال وبختياري</v>
      </c>
      <c r="Q738" s="1">
        <v>17</v>
      </c>
      <c r="R738" s="1" t="str">
        <f>"فروش داخلي تهران - وزارت راه - راه روستايي - روکش"</f>
        <v>فروش داخلي تهران - وزارت راه - راه روستايي - روکش</v>
      </c>
      <c r="S738" s="1" t="str">
        <f>"قرارداد فروش"</f>
        <v>قرارداد فروش</v>
      </c>
      <c r="T738" s="1" t="str">
        <f>"ندارد"</f>
        <v>ندارد</v>
      </c>
      <c r="U738" s="1" t="str">
        <f>"قره باغي مجيد(1871065)"</f>
        <v>قره باغي مجيد(1871065)</v>
      </c>
      <c r="V738" s="1">
        <v>961700225</v>
      </c>
      <c r="W738" s="1">
        <v>961700225</v>
      </c>
      <c r="X738" s="1" t="str">
        <f>"1396553920"</f>
        <v>1396553920</v>
      </c>
      <c r="Y738" s="1" t="str">
        <f>"96/12/24"</f>
        <v>96/12/24</v>
      </c>
      <c r="Z738" s="1" t="str">
        <f>"47996/710"</f>
        <v>47996/710</v>
      </c>
      <c r="AA738" s="1" t="str">
        <f>"راه روستائي -روكش"</f>
        <v>راه روستائي -روكش</v>
      </c>
      <c r="AB738" s="1" t="str">
        <f>"96/09/19"</f>
        <v>96/09/19</v>
      </c>
      <c r="AC738" s="1" t="str">
        <f>"استان چهارمحال بختياري"</f>
        <v>استان چهارمحال بختياري</v>
      </c>
      <c r="AD738" s="1" t="str">
        <f>"96/12/20"</f>
        <v>96/12/20</v>
      </c>
      <c r="AE738" s="1" t="str">
        <f>"اختتام"</f>
        <v>اختتام</v>
      </c>
      <c r="AF738" s="1" t="str">
        <f>""</f>
        <v/>
      </c>
      <c r="AG738" s="1" t="str">
        <f>""</f>
        <v/>
      </c>
      <c r="AH738" s="1" t="str">
        <f>""</f>
        <v/>
      </c>
      <c r="AI738" s="1" t="str">
        <f>""</f>
        <v/>
      </c>
      <c r="AJ738" s="1" t="str">
        <f>""</f>
        <v/>
      </c>
      <c r="AK738" s="1" t="str">
        <f>""</f>
        <v/>
      </c>
    </row>
    <row r="739" spans="1:37">
      <c r="A739" s="1">
        <v>100000</v>
      </c>
      <c r="B739" s="1">
        <v>961700226</v>
      </c>
      <c r="C739" s="1" t="str">
        <f>"تخليه -چهارمحال بختياري -شهرستان فارسان كارخانه آسفالت شركت احمديه چليچه"</f>
        <v>تخليه -چهارمحال بختياري -شهرستان فارسان كارخانه آسفالت شركت احمديه چليچه</v>
      </c>
      <c r="D739" s="1">
        <v>14000</v>
      </c>
      <c r="E739" s="1">
        <v>99900</v>
      </c>
      <c r="F739" s="1">
        <v>96</v>
      </c>
      <c r="G739" s="1">
        <v>100</v>
      </c>
      <c r="H739" s="1" t="str">
        <f>"96/12/24"</f>
        <v>96/12/24</v>
      </c>
      <c r="I739" s="1" t="str">
        <f>"كيلوگرم"</f>
        <v>كيلوگرم</v>
      </c>
      <c r="J739" s="1" t="str">
        <f>"0000000088"</f>
        <v>0000000088</v>
      </c>
      <c r="K739" s="1" t="str">
        <f>"قير  PG58-22"</f>
        <v>قير  PG58-22</v>
      </c>
      <c r="L739" s="1">
        <v>100</v>
      </c>
      <c r="M739" s="1" t="str">
        <f>"مخازن قير اصفهان"</f>
        <v>مخازن قير اصفهان</v>
      </c>
      <c r="N739" s="1">
        <v>7190</v>
      </c>
      <c r="O739" s="1">
        <v>50039007</v>
      </c>
      <c r="P739" s="1" t="str">
        <f>"  اداره كل راه و شهرسازي چهارمحال وبختياري"</f>
        <v xml:space="preserve">  اداره كل راه و شهرسازي چهارمحال وبختياري</v>
      </c>
      <c r="Q739" s="1">
        <v>17</v>
      </c>
      <c r="R739" s="1" t="str">
        <f>"فروش داخلي تهران - وزارت راه - راه روستايي - روکش"</f>
        <v>فروش داخلي تهران - وزارت راه - راه روستايي - روکش</v>
      </c>
      <c r="S739" s="1" t="str">
        <f>"قرارداد فروش"</f>
        <v>قرارداد فروش</v>
      </c>
      <c r="T739" s="1" t="str">
        <f>"ندارد"</f>
        <v>ندارد</v>
      </c>
      <c r="U739" s="1" t="str">
        <f>"قره باغي مجيد(1871065)"</f>
        <v>قره باغي مجيد(1871065)</v>
      </c>
      <c r="V739" s="1">
        <v>961700226</v>
      </c>
      <c r="W739" s="1">
        <v>961700226</v>
      </c>
      <c r="X739" s="1" t="str">
        <f>"1396553920"</f>
        <v>1396553920</v>
      </c>
      <c r="Y739" s="1" t="str">
        <f>"96/12/24"</f>
        <v>96/12/24</v>
      </c>
      <c r="Z739" s="1" t="str">
        <f>"48004/710"</f>
        <v>48004/710</v>
      </c>
      <c r="AA739" s="1" t="str">
        <f>"راه روستائي -روكش"</f>
        <v>راه روستائي -روكش</v>
      </c>
      <c r="AB739" s="1" t="str">
        <f>"96/09/19"</f>
        <v>96/09/19</v>
      </c>
      <c r="AC739" s="1" t="str">
        <f>"استان چهارمحال بختياري"</f>
        <v>استان چهارمحال بختياري</v>
      </c>
      <c r="AD739" s="1" t="str">
        <f>"96/12/20"</f>
        <v>96/12/20</v>
      </c>
      <c r="AE739" s="1" t="str">
        <f>"اختتام"</f>
        <v>اختتام</v>
      </c>
      <c r="AF739" s="1" t="str">
        <f>""</f>
        <v/>
      </c>
      <c r="AG739" s="1" t="str">
        <f>""</f>
        <v/>
      </c>
      <c r="AH739" s="1" t="str">
        <f>""</f>
        <v/>
      </c>
      <c r="AI739" s="1" t="str">
        <f>""</f>
        <v/>
      </c>
      <c r="AJ739" s="1" t="str">
        <f>""</f>
        <v/>
      </c>
      <c r="AK739" s="1" t="str">
        <f>""</f>
        <v/>
      </c>
    </row>
    <row r="740" spans="1:37">
      <c r="A740" s="1">
        <v>115094</v>
      </c>
      <c r="B740" s="1">
        <v>962000011</v>
      </c>
      <c r="C740" s="1" t="str">
        <f>"تخليه اصفهان كيلومتر7جاده فولادشهر-نجف آبادتنگه جوزدان روبروي مسكن مهرفولادشهرشركت آبادگران جنوب"</f>
        <v>تخليه اصفهان كيلومتر7جاده فولادشهر-نجف آبادتنگه جوزدان روبروي مسكن مهرفولادشهرشركت آبادگران جنوب</v>
      </c>
      <c r="D740" s="1">
        <v>9113</v>
      </c>
      <c r="E740" s="1">
        <v>115094</v>
      </c>
      <c r="F740" s="1">
        <v>96</v>
      </c>
      <c r="G740" s="1">
        <v>0</v>
      </c>
      <c r="H740" s="1" t="str">
        <f>"96/07/03"</f>
        <v>96/07/03</v>
      </c>
      <c r="I740" s="1" t="str">
        <f>"كيلوگرم"</f>
        <v>كيلوگرم</v>
      </c>
      <c r="J740" s="1" t="str">
        <f>"0000000076"</f>
        <v>0000000076</v>
      </c>
      <c r="K740" s="1" t="str">
        <f>"قير 60/70 - فله"</f>
        <v>قير 60/70 - فله</v>
      </c>
      <c r="L740" s="1">
        <v>100</v>
      </c>
      <c r="M740" s="1" t="str">
        <f>"مخازن قير اصفهان"</f>
        <v>مخازن قير اصفهان</v>
      </c>
      <c r="N740" s="1">
        <v>9456</v>
      </c>
      <c r="O740" s="1">
        <v>50036150</v>
      </c>
      <c r="P740" s="1" t="str">
        <f>"  شهرداري ايمانشهر"</f>
        <v xml:space="preserve">  شهرداري ايمانشهر</v>
      </c>
      <c r="Q740" s="1">
        <v>20</v>
      </c>
      <c r="R740" s="1" t="str">
        <f>"فروش داخلي - سازمان شهرداري ها و دهياري هاي كشور"</f>
        <v>فروش داخلي - سازمان شهرداري ها و دهياري هاي كشور</v>
      </c>
      <c r="S740" s="1" t="str">
        <f>"قرارداد فروش"</f>
        <v>قرارداد فروش</v>
      </c>
      <c r="T740" s="1" t="str">
        <f>"ندارد"</f>
        <v>ندارد</v>
      </c>
      <c r="U740" s="1" t="str">
        <f>"تعاوني جم گستر (1001 ج 89)"</f>
        <v>تعاوني جم گستر (1001 ج 89)</v>
      </c>
      <c r="V740" s="1">
        <v>962000011</v>
      </c>
      <c r="W740" s="1">
        <v>962000011</v>
      </c>
      <c r="X740" s="1" t="str">
        <f>"1396514467"</f>
        <v>1396514467</v>
      </c>
      <c r="Y740" s="1" t="str">
        <f>"96/07/03"</f>
        <v>96/07/03</v>
      </c>
      <c r="Z740" s="1" t="str">
        <f>"26831مرحله اول"</f>
        <v>26831مرحله اول</v>
      </c>
      <c r="AA740" s="1" t="str">
        <f>"شهرداريها"</f>
        <v>شهرداريها</v>
      </c>
      <c r="AB740" s="1" t="str">
        <f>"96/06/29"</f>
        <v>96/06/29</v>
      </c>
      <c r="AC740" s="1" t="str">
        <f>"استان اصفهان"</f>
        <v>استان اصفهان</v>
      </c>
      <c r="AD740" s="1" t="str">
        <f>"96/07/03"</f>
        <v>96/07/03</v>
      </c>
      <c r="AE740" s="1" t="str">
        <f>"اختتام"</f>
        <v>اختتام</v>
      </c>
      <c r="AF740" s="1" t="str">
        <f>""</f>
        <v/>
      </c>
      <c r="AG740" s="1" t="str">
        <f>""</f>
        <v/>
      </c>
      <c r="AH740" s="1" t="str">
        <f>""</f>
        <v/>
      </c>
      <c r="AI740" s="1" t="str">
        <f>""</f>
        <v/>
      </c>
      <c r="AJ740" s="1" t="str">
        <f>""</f>
        <v/>
      </c>
      <c r="AK740" s="1" t="str">
        <f>""</f>
        <v/>
      </c>
    </row>
    <row r="741" spans="1:37">
      <c r="A741" s="1">
        <v>300000</v>
      </c>
      <c r="B741" s="1">
        <v>961900088</v>
      </c>
      <c r="C741" s="1" t="str">
        <f>"تخليه -چهارمحال وبختياري بخش مالخليفه جنب لوله گازسراسري كارخانه آسفالت ياسين گنج فلارد"</f>
        <v>تخليه -چهارمحال وبختياري بخش مالخليفه جنب لوله گازسراسري كارخانه آسفالت ياسين گنج فلارد</v>
      </c>
      <c r="D741" s="1">
        <v>8904</v>
      </c>
      <c r="E741" s="1">
        <v>299740</v>
      </c>
      <c r="F741" s="1">
        <v>96</v>
      </c>
      <c r="G741" s="1">
        <v>260</v>
      </c>
      <c r="H741" s="1" t="str">
        <f>"96/05/03"</f>
        <v>96/05/03</v>
      </c>
      <c r="I741" s="1" t="str">
        <f>"كيلوگرم"</f>
        <v>كيلوگرم</v>
      </c>
      <c r="J741" s="1" t="str">
        <f>"0000000088"</f>
        <v>0000000088</v>
      </c>
      <c r="K741" s="1" t="str">
        <f>"قير  PG58-22"</f>
        <v>قير  PG58-22</v>
      </c>
      <c r="L741" s="1">
        <v>100</v>
      </c>
      <c r="M741" s="1" t="str">
        <f>"مخازن قير اصفهان"</f>
        <v>مخازن قير اصفهان</v>
      </c>
      <c r="N741" s="1">
        <v>11140</v>
      </c>
      <c r="O741" s="1">
        <v>50035335</v>
      </c>
      <c r="P741" s="1" t="str">
        <f>"  ياسين گنج چهارمحال"</f>
        <v xml:space="preserve">  ياسين گنج چهارمحال</v>
      </c>
      <c r="Q741" s="1">
        <v>19</v>
      </c>
      <c r="R74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741" s="1" t="str">
        <f>"قرارداد فروش"</f>
        <v>قرارداد فروش</v>
      </c>
      <c r="T741" s="1" t="str">
        <f>"ندارد"</f>
        <v>ندارد</v>
      </c>
      <c r="U741" s="1" t="str">
        <f>"قره باغي مجيد(1871065)"</f>
        <v>قره باغي مجيد(1871065)</v>
      </c>
      <c r="V741" s="1">
        <v>961900088</v>
      </c>
      <c r="W741" s="1">
        <v>961900088</v>
      </c>
      <c r="X741" s="1" t="str">
        <f>"1396499658"</f>
        <v>1396499658</v>
      </c>
      <c r="Y741" s="1" t="str">
        <f>"96/05/03"</f>
        <v>96/05/03</v>
      </c>
      <c r="Z741" s="1" t="str">
        <f>"18227/710"</f>
        <v>18227/710</v>
      </c>
      <c r="AA741" s="1" t="str">
        <f>"سازمان راهداري وحمل نقل جاده اي"</f>
        <v>سازمان راهداري وحمل نقل جاده اي</v>
      </c>
      <c r="AB741" s="1" t="str">
        <f>"96/04/21"</f>
        <v>96/04/21</v>
      </c>
      <c r="AC741" s="1" t="str">
        <f>"استان چهارمحال بختياري"</f>
        <v>استان چهارمحال بختياري</v>
      </c>
      <c r="AD741" s="1" t="str">
        <f>"96/05/03"</f>
        <v>96/05/03</v>
      </c>
      <c r="AE741" s="1" t="str">
        <f>"اختتام"</f>
        <v>اختتام</v>
      </c>
      <c r="AF741" s="1" t="str">
        <f>""</f>
        <v/>
      </c>
      <c r="AG741" s="1" t="str">
        <f>""</f>
        <v/>
      </c>
      <c r="AH741" s="1" t="str">
        <f>""</f>
        <v/>
      </c>
      <c r="AI741" s="1" t="str">
        <f>""</f>
        <v/>
      </c>
      <c r="AJ741" s="1" t="str">
        <f>""</f>
        <v/>
      </c>
      <c r="AK741" s="1" t="str">
        <f>""</f>
        <v/>
      </c>
    </row>
    <row r="742" spans="1:37">
      <c r="A742" s="1">
        <v>177000</v>
      </c>
      <c r="B742" s="1">
        <v>966200029</v>
      </c>
      <c r="C742" s="1" t="str">
        <f>"تخليه - آذربايجان غربي - اشنويه-کيلومتر 4 جاده پيرانشهر-کيلومتر 1/5 جاده شيخان-کارخانه آسفالت پوشش راه"</f>
        <v>تخليه - آذربايجان غربي - اشنويه-کيلومتر 4 جاده پيرانشهر-کيلومتر 1/5 جاده شيخان-کارخانه آسفالت پوشش راه</v>
      </c>
      <c r="D742" s="1">
        <v>8348</v>
      </c>
      <c r="E742" s="1">
        <v>176260</v>
      </c>
      <c r="F742" s="1">
        <v>96</v>
      </c>
      <c r="G742" s="1">
        <v>740</v>
      </c>
      <c r="H742" s="1" t="str">
        <f>"96/01/23"</f>
        <v>96/01/23</v>
      </c>
      <c r="I742" s="1" t="str">
        <f>"كيلوگرم"</f>
        <v>كيلوگرم</v>
      </c>
      <c r="J742" s="1" t="str">
        <f>"0000000088"</f>
        <v>0000000088</v>
      </c>
      <c r="K742" s="1" t="str">
        <f>"قير  PG58-22"</f>
        <v>قير  PG58-22</v>
      </c>
      <c r="L742" s="1">
        <v>100</v>
      </c>
      <c r="M742" s="1" t="str">
        <f>"مخازن قير اصفهان"</f>
        <v>مخازن قير اصفهان</v>
      </c>
      <c r="N742" s="1">
        <v>11334</v>
      </c>
      <c r="O742" s="1">
        <v>50034555</v>
      </c>
      <c r="P742" s="1" t="str">
        <f>"  پوشش راه اشنويه"</f>
        <v xml:space="preserve">  پوشش راه اشنويه</v>
      </c>
      <c r="Q742" s="1">
        <v>62</v>
      </c>
      <c r="R742" s="1" t="str">
        <f>"فروش داخلي - سازمان بنيادمسكن انقلاب اسلامي"</f>
        <v>فروش داخلي - سازمان بنيادمسكن انقلاب اسلامي</v>
      </c>
      <c r="S742" s="1" t="str">
        <f>"قرارداد فروش"</f>
        <v>قرارداد فروش</v>
      </c>
      <c r="T742" s="1" t="str">
        <f>"ندارد"</f>
        <v>ندارد</v>
      </c>
      <c r="U742" s="1" t="str">
        <f>"رضوي علي(3843010)"</f>
        <v>رضوي علي(3843010)</v>
      </c>
      <c r="V742" s="1">
        <v>966200029</v>
      </c>
      <c r="W742" s="1">
        <v>966200029</v>
      </c>
      <c r="X742" s="1" t="str">
        <f>"1396474038"</f>
        <v>1396474038</v>
      </c>
      <c r="Y742" s="1" t="str">
        <f>"96/01/23"</f>
        <v>96/01/23</v>
      </c>
      <c r="Z742" s="1" t="str">
        <f>"1448/د"</f>
        <v>1448/د</v>
      </c>
      <c r="AA742" s="1" t="str">
        <f>"بنيادمسكن انقلاب اسلامي"</f>
        <v>بنيادمسكن انقلاب اسلامي</v>
      </c>
      <c r="AB742" s="1" t="str">
        <f>"96/01/21"</f>
        <v>96/01/21</v>
      </c>
      <c r="AC742" s="1" t="str">
        <f>"استان آذربايجان غربي"</f>
        <v>استان آذربايجان غربي</v>
      </c>
      <c r="AD742" s="1" t="str">
        <f>"96/01/23"</f>
        <v>96/01/23</v>
      </c>
      <c r="AE742" s="1" t="str">
        <f>"اختتام"</f>
        <v>اختتام</v>
      </c>
      <c r="AF742" s="1" t="str">
        <f>""</f>
        <v/>
      </c>
      <c r="AG742" s="1" t="str">
        <f>""</f>
        <v/>
      </c>
      <c r="AH742" s="1" t="str">
        <f>""</f>
        <v/>
      </c>
      <c r="AI742" s="1" t="str">
        <f>""</f>
        <v/>
      </c>
      <c r="AJ742" s="1" t="str">
        <f>""</f>
        <v/>
      </c>
      <c r="AK742" s="1" t="str">
        <f>""</f>
        <v/>
      </c>
    </row>
    <row r="743" spans="1:37">
      <c r="A743" s="1">
        <v>350000</v>
      </c>
      <c r="B743" s="1">
        <v>961700143</v>
      </c>
      <c r="C743" s="1" t="str">
        <f>"تخليه - لرستان - اليگودرز - شهرک صنعتي سنگ -استحكام بتن خرمي"</f>
        <v>تخليه - لرستان - اليگودرز - شهرک صنعتي سنگ -استحكام بتن خرمي</v>
      </c>
      <c r="D743" s="1">
        <v>9716</v>
      </c>
      <c r="E743" s="1">
        <v>336200</v>
      </c>
      <c r="F743" s="1">
        <v>96</v>
      </c>
      <c r="G743" s="1">
        <v>13800</v>
      </c>
      <c r="H743" s="1" t="str">
        <f>"96/08/06"</f>
        <v>96/08/06</v>
      </c>
      <c r="I743" s="1" t="str">
        <f>"كيلوگرم"</f>
        <v>كيلوگرم</v>
      </c>
      <c r="J743" s="1" t="str">
        <f>"0000000089"</f>
        <v>0000000089</v>
      </c>
      <c r="K743" s="1" t="str">
        <f>"قير  PG58-16"</f>
        <v>قير  PG58-16</v>
      </c>
      <c r="L743" s="1">
        <v>100</v>
      </c>
      <c r="M743" s="1" t="str">
        <f>"مخازن قير اصفهان"</f>
        <v>مخازن قير اصفهان</v>
      </c>
      <c r="N743" s="1">
        <v>11081</v>
      </c>
      <c r="O743" s="1">
        <v>50036908</v>
      </c>
      <c r="P743" s="1" t="str">
        <f>"  استحكام بتون خرمي"</f>
        <v xml:space="preserve">  استحكام بتون خرمي</v>
      </c>
      <c r="Q743" s="1">
        <v>17</v>
      </c>
      <c r="R743" s="1" t="str">
        <f>"فروش داخلي تهران - وزارت راه - راه روستايي - روکش"</f>
        <v>فروش داخلي تهران - وزارت راه - راه روستايي - روکش</v>
      </c>
      <c r="S743" s="1" t="str">
        <f>"قرارداد فروش"</f>
        <v>قرارداد فروش</v>
      </c>
      <c r="T743" s="1" t="str">
        <f>"ندارد"</f>
        <v>ندارد</v>
      </c>
      <c r="U743" s="1" t="str">
        <f>"عظيمي محمد(2842015)"</f>
        <v>عظيمي محمد(2842015)</v>
      </c>
      <c r="V743" s="1">
        <v>961700143</v>
      </c>
      <c r="W743" s="1">
        <v>961700143</v>
      </c>
      <c r="X743" s="1" t="str">
        <f>"1396521788"</f>
        <v>1396521788</v>
      </c>
      <c r="Y743" s="1" t="str">
        <f>"96/08/06"</f>
        <v>96/08/06</v>
      </c>
      <c r="Z743" s="1" t="str">
        <f>"37376/710"</f>
        <v>37376/710</v>
      </c>
      <c r="AA743" s="1" t="str">
        <f>"راه روستائي -روكش"</f>
        <v>راه روستائي -روكش</v>
      </c>
      <c r="AB743" s="1" t="str">
        <f>"96/07/26"</f>
        <v>96/07/26</v>
      </c>
      <c r="AC743" s="1" t="str">
        <f>"لرستان"</f>
        <v>لرستان</v>
      </c>
      <c r="AD743" s="1" t="str">
        <f>"96/08/06"</f>
        <v>96/08/06</v>
      </c>
      <c r="AE743" s="1" t="str">
        <f>"اختتام"</f>
        <v>اختتام</v>
      </c>
      <c r="AF743" s="1" t="str">
        <f>""</f>
        <v/>
      </c>
      <c r="AG743" s="1" t="str">
        <f>""</f>
        <v/>
      </c>
      <c r="AH743" s="1" t="str">
        <f>""</f>
        <v/>
      </c>
      <c r="AI743" s="1" t="str">
        <f>""</f>
        <v/>
      </c>
      <c r="AJ743" s="1" t="str">
        <f>""</f>
        <v/>
      </c>
      <c r="AK743" s="1" t="str">
        <f>""</f>
        <v/>
      </c>
    </row>
    <row r="744" spans="1:37">
      <c r="A744" s="1">
        <v>300000</v>
      </c>
      <c r="B744" s="1">
        <v>961700052</v>
      </c>
      <c r="C744" s="1" t="str">
        <f>"تخليه يزدكارخانه آسفالت شركت زاويه سازيزد"</f>
        <v>تخليه يزدكارخانه آسفالت شركت زاويه سازيزد</v>
      </c>
      <c r="D744" s="1">
        <v>12970</v>
      </c>
      <c r="E744" s="1">
        <v>299460</v>
      </c>
      <c r="F744" s="1">
        <v>96</v>
      </c>
      <c r="G744" s="1">
        <v>540</v>
      </c>
      <c r="H744" s="1" t="str">
        <f>"96/05/21"</f>
        <v>96/05/21</v>
      </c>
      <c r="I744" s="1" t="str">
        <f>"كيلوگرم"</f>
        <v>كيلوگرم</v>
      </c>
      <c r="J744" s="1" t="str">
        <f>"0000000091"</f>
        <v>0000000091</v>
      </c>
      <c r="K744" s="1" t="str">
        <f>"قير  PG64-22"</f>
        <v>قير  PG64-22</v>
      </c>
      <c r="L744" s="1">
        <v>100</v>
      </c>
      <c r="M744" s="1" t="str">
        <f>"مخازن قير اصفهان"</f>
        <v>مخازن قير اصفهان</v>
      </c>
      <c r="N744" s="1">
        <v>1602</v>
      </c>
      <c r="O744" s="1">
        <v>50035612</v>
      </c>
      <c r="P744" s="1" t="str">
        <f>"  اداره كل راه و شهرسازي يزد"</f>
        <v xml:space="preserve">  اداره كل راه و شهرسازي يزد</v>
      </c>
      <c r="Q744" s="1">
        <v>17</v>
      </c>
      <c r="R744" s="1" t="str">
        <f>"فروش داخلي تهران - وزارت راه - راه روستايي - روکش"</f>
        <v>فروش داخلي تهران - وزارت راه - راه روستايي - روکش</v>
      </c>
      <c r="S744" s="1" t="str">
        <f>"قرارداد فروش"</f>
        <v>قرارداد فروش</v>
      </c>
      <c r="T744" s="1" t="str">
        <f>"ندارد"</f>
        <v>ندارد</v>
      </c>
      <c r="U744" s="1" t="str">
        <f>"قانعي محمدرضا(1011ج89)"</f>
        <v>قانعي محمدرضا(1011ج89)</v>
      </c>
      <c r="V744" s="1">
        <v>961700052</v>
      </c>
      <c r="W744" s="1">
        <v>961700052</v>
      </c>
      <c r="X744" s="1" t="str">
        <f>"1396504610"</f>
        <v>1396504610</v>
      </c>
      <c r="Y744" s="1" t="str">
        <f>"96/05/21"</f>
        <v>96/05/21</v>
      </c>
      <c r="Z744" s="1" t="str">
        <f>"23709/710"</f>
        <v>23709/710</v>
      </c>
      <c r="AA744" s="1" t="str">
        <f>"راه روستائي -روكش"</f>
        <v>راه روستائي -روكش</v>
      </c>
      <c r="AB744" s="1" t="str">
        <f>"96/05/18"</f>
        <v>96/05/18</v>
      </c>
      <c r="AC744" s="1" t="str">
        <f>"استان يزد"</f>
        <v>استان يزد</v>
      </c>
      <c r="AD744" s="1" t="str">
        <f>"96/05/21"</f>
        <v>96/05/21</v>
      </c>
      <c r="AE744" s="1" t="str">
        <f>"اختتام"</f>
        <v>اختتام</v>
      </c>
      <c r="AF744" s="1" t="str">
        <f>""</f>
        <v/>
      </c>
      <c r="AG744" s="1" t="str">
        <f>""</f>
        <v/>
      </c>
      <c r="AH744" s="1" t="str">
        <f>""</f>
        <v/>
      </c>
      <c r="AI744" s="1" t="str">
        <f>""</f>
        <v/>
      </c>
      <c r="AJ744" s="1" t="str">
        <f>""</f>
        <v/>
      </c>
      <c r="AK744" s="1" t="str">
        <f>""</f>
        <v/>
      </c>
    </row>
    <row r="745" spans="1:37">
      <c r="A745" s="1">
        <v>171000</v>
      </c>
      <c r="B745" s="1">
        <v>966100018</v>
      </c>
      <c r="C745" s="1" t="str">
        <f>"تخليه - يزد-کارخانه آسفالت شهرداري يزد"</f>
        <v>تخليه - يزد-کارخانه آسفالت شهرداري يزد</v>
      </c>
      <c r="D745" s="1">
        <v>13100</v>
      </c>
      <c r="E745" s="1">
        <v>170660</v>
      </c>
      <c r="F745" s="1">
        <v>96</v>
      </c>
      <c r="G745" s="1">
        <v>340</v>
      </c>
      <c r="H745" s="1" t="str">
        <f>"96/06/19"</f>
        <v>96/06/19</v>
      </c>
      <c r="I745" s="1" t="str">
        <f>"كيلوگرم"</f>
        <v>كيلوگرم</v>
      </c>
      <c r="J745" s="1" t="str">
        <f>"0000000091"</f>
        <v>0000000091</v>
      </c>
      <c r="K745" s="1" t="str">
        <f>"قير  PG64-22"</f>
        <v>قير  PG64-22</v>
      </c>
      <c r="L745" s="1">
        <v>100</v>
      </c>
      <c r="M745" s="1" t="str">
        <f>"مخازن قير اصفهان"</f>
        <v>مخازن قير اصفهان</v>
      </c>
      <c r="N745" s="1">
        <v>1602</v>
      </c>
      <c r="O745" s="1">
        <v>50035932</v>
      </c>
      <c r="P745" s="1" t="str">
        <f>"  اداره كل راه و شهرسازي يزد"</f>
        <v xml:space="preserve">  اداره كل راه و شهرسازي يزد</v>
      </c>
      <c r="Q745" s="1">
        <v>61</v>
      </c>
      <c r="R745" s="1" t="str">
        <f>"فروش داخلي - وزارت راه - مسكن مهر"</f>
        <v>فروش داخلي - وزارت راه - مسكن مهر</v>
      </c>
      <c r="S745" s="1" t="str">
        <f>"قرارداد فروش"</f>
        <v>قرارداد فروش</v>
      </c>
      <c r="T745" s="1" t="str">
        <f>"ندارد"</f>
        <v>ندارد</v>
      </c>
      <c r="U745" s="1" t="str">
        <f>"قانعي محمدرضا(1011ج89)"</f>
        <v>قانعي محمدرضا(1011ج89)</v>
      </c>
      <c r="V745" s="1">
        <v>966100018</v>
      </c>
      <c r="W745" s="1">
        <v>966100018</v>
      </c>
      <c r="X745" s="1" t="str">
        <f>"1396511133"</f>
        <v>1396511133</v>
      </c>
      <c r="Y745" s="1" t="str">
        <f>"96/06/19"</f>
        <v>96/06/19</v>
      </c>
      <c r="Z745" s="1" t="str">
        <f>"29318/710"</f>
        <v>29318/710</v>
      </c>
      <c r="AA745" s="1" t="str">
        <f>"مسكن مهر-وزارت راه"</f>
        <v>مسكن مهر-وزارت راه</v>
      </c>
      <c r="AB745" s="1" t="str">
        <f>"96/06/14"</f>
        <v>96/06/14</v>
      </c>
      <c r="AC745" s="1" t="str">
        <f>"استان يزد"</f>
        <v>استان يزد</v>
      </c>
      <c r="AD745" s="1" t="str">
        <f>"96/06/19"</f>
        <v>96/06/19</v>
      </c>
      <c r="AE745" s="1" t="str">
        <f>"اختتام"</f>
        <v>اختتام</v>
      </c>
      <c r="AF745" s="1" t="str">
        <f>""</f>
        <v/>
      </c>
      <c r="AG745" s="1" t="str">
        <f>""</f>
        <v/>
      </c>
      <c r="AH745" s="1" t="str">
        <f>""</f>
        <v/>
      </c>
      <c r="AI745" s="1" t="str">
        <f>""</f>
        <v/>
      </c>
      <c r="AJ745" s="1" t="str">
        <f>""</f>
        <v/>
      </c>
      <c r="AK745" s="1" t="str">
        <f>""</f>
        <v/>
      </c>
    </row>
    <row r="746" spans="1:37">
      <c r="A746" s="1">
        <v>350000</v>
      </c>
      <c r="B746" s="1">
        <v>966100019</v>
      </c>
      <c r="C746" s="1" t="str">
        <f>"تخليه - يزد-کارخانه آسفالت هما گستر اردکان"</f>
        <v>تخليه - يزد-کارخانه آسفالت هما گستر اردکان</v>
      </c>
      <c r="D746" s="1">
        <v>13600</v>
      </c>
      <c r="E746" s="1">
        <v>349980</v>
      </c>
      <c r="F746" s="1">
        <v>96</v>
      </c>
      <c r="G746" s="1">
        <v>20</v>
      </c>
      <c r="H746" s="1" t="str">
        <f>"96/06/19"</f>
        <v>96/06/19</v>
      </c>
      <c r="I746" s="1" t="str">
        <f>"كيلوگرم"</f>
        <v>كيلوگرم</v>
      </c>
      <c r="J746" s="1" t="str">
        <f>"0000000091"</f>
        <v>0000000091</v>
      </c>
      <c r="K746" s="1" t="str">
        <f>"قير  PG64-22"</f>
        <v>قير  PG64-22</v>
      </c>
      <c r="L746" s="1">
        <v>100</v>
      </c>
      <c r="M746" s="1" t="str">
        <f>"مخازن قير اصفهان"</f>
        <v>مخازن قير اصفهان</v>
      </c>
      <c r="N746" s="1">
        <v>1602</v>
      </c>
      <c r="O746" s="1">
        <v>50035933</v>
      </c>
      <c r="P746" s="1" t="str">
        <f>"  اداره كل راه و شهرسازي يزد"</f>
        <v xml:space="preserve">  اداره كل راه و شهرسازي يزد</v>
      </c>
      <c r="Q746" s="1">
        <v>61</v>
      </c>
      <c r="R746" s="1" t="str">
        <f>"فروش داخلي - وزارت راه - مسكن مهر"</f>
        <v>فروش داخلي - وزارت راه - مسكن مهر</v>
      </c>
      <c r="S746" s="1" t="str">
        <f>"قرارداد فروش"</f>
        <v>قرارداد فروش</v>
      </c>
      <c r="T746" s="1" t="str">
        <f>"ندارد"</f>
        <v>ندارد</v>
      </c>
      <c r="U746" s="1" t="str">
        <f>"قانعي محمدرضا(1011ج89)"</f>
        <v>قانعي محمدرضا(1011ج89)</v>
      </c>
      <c r="V746" s="1">
        <v>966100019</v>
      </c>
      <c r="W746" s="1">
        <v>966100019</v>
      </c>
      <c r="X746" s="1" t="str">
        <f>"1396511133"</f>
        <v>1396511133</v>
      </c>
      <c r="Y746" s="1" t="str">
        <f>"96/06/19"</f>
        <v>96/06/19</v>
      </c>
      <c r="Z746" s="1" t="str">
        <f>"29324/710"</f>
        <v>29324/710</v>
      </c>
      <c r="AA746" s="1" t="str">
        <f>"مسكن مهر-وزارت راه"</f>
        <v>مسكن مهر-وزارت راه</v>
      </c>
      <c r="AB746" s="1" t="str">
        <f>"96/06/14"</f>
        <v>96/06/14</v>
      </c>
      <c r="AC746" s="1" t="str">
        <f>"استان يزد"</f>
        <v>استان يزد</v>
      </c>
      <c r="AD746" s="1" t="str">
        <f>"96/06/19"</f>
        <v>96/06/19</v>
      </c>
      <c r="AE746" s="1" t="str">
        <f>"اختتام"</f>
        <v>اختتام</v>
      </c>
      <c r="AF746" s="1" t="str">
        <f>""</f>
        <v/>
      </c>
      <c r="AG746" s="1" t="str">
        <f>""</f>
        <v/>
      </c>
      <c r="AH746" s="1" t="str">
        <f>""</f>
        <v/>
      </c>
      <c r="AI746" s="1" t="str">
        <f>""</f>
        <v/>
      </c>
      <c r="AJ746" s="1" t="str">
        <f>""</f>
        <v/>
      </c>
      <c r="AK746" s="1" t="str">
        <f>""</f>
        <v/>
      </c>
    </row>
    <row r="747" spans="1:37">
      <c r="A747" s="1">
        <v>800000</v>
      </c>
      <c r="B747" s="1">
        <v>961700220</v>
      </c>
      <c r="C747" s="1" t="str">
        <f>"تخليه يزدكارخانه آسفالت شركت زاويه سازيزد"</f>
        <v>تخليه يزدكارخانه آسفالت شركت زاويه سازيزد</v>
      </c>
      <c r="D747" s="1">
        <v>13100</v>
      </c>
      <c r="E747" s="1">
        <v>794580</v>
      </c>
      <c r="F747" s="1">
        <v>96</v>
      </c>
      <c r="G747" s="1">
        <v>5420</v>
      </c>
      <c r="H747" s="1" t="str">
        <f>"96/12/24"</f>
        <v>96/12/24</v>
      </c>
      <c r="I747" s="1" t="str">
        <f>"كيلوگرم"</f>
        <v>كيلوگرم</v>
      </c>
      <c r="J747" s="1" t="str">
        <f>"0000000091"</f>
        <v>0000000091</v>
      </c>
      <c r="K747" s="1" t="str">
        <f>"قير  PG64-22"</f>
        <v>قير  PG64-22</v>
      </c>
      <c r="L747" s="1">
        <v>100</v>
      </c>
      <c r="M747" s="1" t="str">
        <f>"مخازن قير اصفهان"</f>
        <v>مخازن قير اصفهان</v>
      </c>
      <c r="N747" s="1">
        <v>1602</v>
      </c>
      <c r="O747" s="1">
        <v>50039001</v>
      </c>
      <c r="P747" s="1" t="str">
        <f>"  اداره كل راه و شهرسازي يزد"</f>
        <v xml:space="preserve">  اداره كل راه و شهرسازي يزد</v>
      </c>
      <c r="Q747" s="1">
        <v>17</v>
      </c>
      <c r="R747" s="1" t="str">
        <f>"فروش داخلي تهران - وزارت راه - راه روستايي - روکش"</f>
        <v>فروش داخلي تهران - وزارت راه - راه روستايي - روکش</v>
      </c>
      <c r="S747" s="1" t="str">
        <f>"قرارداد فروش"</f>
        <v>قرارداد فروش</v>
      </c>
      <c r="T747" s="1" t="str">
        <f>"ندارد"</f>
        <v>ندارد</v>
      </c>
      <c r="U747" s="1" t="str">
        <f>"شيخي خيراله (1841012)"</f>
        <v>شيخي خيراله (1841012)</v>
      </c>
      <c r="V747" s="1">
        <v>961700220</v>
      </c>
      <c r="W747" s="1">
        <v>961700220</v>
      </c>
      <c r="X747" s="1" t="str">
        <f>"1396553917"</f>
        <v>1396553917</v>
      </c>
      <c r="Y747" s="1" t="str">
        <f>"96/12/24"</f>
        <v>96/12/24</v>
      </c>
      <c r="Z747" s="1" t="str">
        <f>"53202/710"</f>
        <v>53202/710</v>
      </c>
      <c r="AA747" s="1" t="str">
        <f>"راه روستائي -روكش"</f>
        <v>راه روستائي -روكش</v>
      </c>
      <c r="AB747" s="1" t="str">
        <f>"96/10/13"</f>
        <v>96/10/13</v>
      </c>
      <c r="AC747" s="1" t="str">
        <f>"استان يزد"</f>
        <v>استان يزد</v>
      </c>
      <c r="AD747" s="1" t="str">
        <f>"96/12/20"</f>
        <v>96/12/20</v>
      </c>
      <c r="AE747" s="1" t="str">
        <f>"اختتام"</f>
        <v>اختتام</v>
      </c>
      <c r="AF747" s="1" t="str">
        <f>""</f>
        <v/>
      </c>
      <c r="AG747" s="1" t="str">
        <f>""</f>
        <v/>
      </c>
      <c r="AH747" s="1" t="str">
        <f>""</f>
        <v/>
      </c>
      <c r="AI747" s="1" t="str">
        <f>""</f>
        <v/>
      </c>
      <c r="AJ747" s="1" t="str">
        <f>""</f>
        <v/>
      </c>
      <c r="AK747" s="1" t="str">
        <f>""</f>
        <v/>
      </c>
    </row>
    <row r="748" spans="1:37">
      <c r="A748" s="1">
        <v>1500000</v>
      </c>
      <c r="B748" s="1">
        <v>961800032</v>
      </c>
      <c r="C748" s="1" t="str">
        <f>"تخليه-خراسان جنوبي-آرين شهر 3کيلومتر بعداز آرين شهر به سمت بيرجند کارخانه آسفالت شرکت آب شن-راه توس"</f>
        <v>تخليه-خراسان جنوبي-آرين شهر 3کيلومتر بعداز آرين شهر به سمت بيرجند کارخانه آسفالت شرکت آب شن-راه توس</v>
      </c>
      <c r="D748" s="1">
        <v>16350</v>
      </c>
      <c r="E748" s="1">
        <v>1498120</v>
      </c>
      <c r="F748" s="1">
        <v>96</v>
      </c>
      <c r="G748" s="1">
        <v>1880</v>
      </c>
      <c r="H748" s="1" t="str">
        <f>"96/06/05"</f>
        <v>96/06/05</v>
      </c>
      <c r="I748" s="1" t="str">
        <f>"كيلوگرم"</f>
        <v>كيلوگرم</v>
      </c>
      <c r="J748" s="1" t="str">
        <f>"0000000091"</f>
        <v>0000000091</v>
      </c>
      <c r="K748" s="1" t="str">
        <f>"قير  PG64-22"</f>
        <v>قير  PG64-22</v>
      </c>
      <c r="L748" s="1">
        <v>100</v>
      </c>
      <c r="M748" s="1" t="str">
        <f>"مخازن قير اصفهان"</f>
        <v>مخازن قير اصفهان</v>
      </c>
      <c r="N748" s="1">
        <v>1661</v>
      </c>
      <c r="O748" s="1">
        <v>50035811</v>
      </c>
      <c r="P748" s="1" t="str">
        <f>"  ساختماني او-يول"</f>
        <v xml:space="preserve">  ساختماني او-يول</v>
      </c>
      <c r="Q748" s="1">
        <v>18</v>
      </c>
      <c r="R748" s="1" t="str">
        <f>"فروش داخلي تهران - وزارت راه - شرکت ساخت و توسعه راهها"</f>
        <v>فروش داخلي تهران - وزارت راه - شرکت ساخت و توسعه راهها</v>
      </c>
      <c r="S748" s="1" t="str">
        <f>"قرارداد فروش"</f>
        <v>قرارداد فروش</v>
      </c>
      <c r="T748" s="1" t="str">
        <f>"ندارد"</f>
        <v>ندارد</v>
      </c>
      <c r="U748" s="1" t="str">
        <f>"درودي رضا(1841030)"</f>
        <v>درودي رضا(1841030)</v>
      </c>
      <c r="V748" s="1">
        <v>961800032</v>
      </c>
      <c r="W748" s="1">
        <v>961800032</v>
      </c>
      <c r="X748" s="1" t="str">
        <f>"1396508162"</f>
        <v>1396508162</v>
      </c>
      <c r="Y748" s="1" t="str">
        <f>"96/06/05"</f>
        <v>96/06/05</v>
      </c>
      <c r="Z748" s="1" t="str">
        <f>"25782/710"</f>
        <v>25782/710</v>
      </c>
      <c r="AA748" s="1" t="str">
        <f>"شركت  ساخت وتوسعه راهها"</f>
        <v>شركت  ساخت وتوسعه راهها</v>
      </c>
      <c r="AB748" s="1" t="str">
        <f>"96/05/28"</f>
        <v>96/05/28</v>
      </c>
      <c r="AC748" s="1" t="str">
        <f>"خراسان جنوبي"</f>
        <v>خراسان جنوبي</v>
      </c>
      <c r="AD748" s="1" t="str">
        <f>"96/06/05"</f>
        <v>96/06/05</v>
      </c>
      <c r="AE748" s="1" t="str">
        <f>"اختتام"</f>
        <v>اختتام</v>
      </c>
      <c r="AF748" s="1" t="str">
        <f>""</f>
        <v/>
      </c>
      <c r="AG748" s="1" t="str">
        <f>""</f>
        <v/>
      </c>
      <c r="AH748" s="1" t="str">
        <f>""</f>
        <v/>
      </c>
      <c r="AI748" s="1" t="str">
        <f>""</f>
        <v/>
      </c>
      <c r="AJ748" s="1" t="str">
        <f>""</f>
        <v/>
      </c>
      <c r="AK748" s="1" t="str">
        <f>""</f>
        <v/>
      </c>
    </row>
    <row r="749" spans="1:37">
      <c r="A749" s="1">
        <v>56000</v>
      </c>
      <c r="B749" s="1">
        <v>966200151</v>
      </c>
      <c r="C749" s="1" t="str">
        <f>"تخليه - کرمان-کيلومتر 27 جاده سيرجان بندرعباس-کارخانه آسفالت شرکت سيرجان بتن راه"</f>
        <v>تخليه - کرمان-کيلومتر 27 جاده سيرجان بندرعباس-کارخانه آسفالت شرکت سيرجان بتن راه</v>
      </c>
      <c r="D749" s="1">
        <v>8704</v>
      </c>
      <c r="E749" s="1">
        <v>45360</v>
      </c>
      <c r="F749" s="1">
        <v>96</v>
      </c>
      <c r="G749" s="1">
        <v>10640</v>
      </c>
      <c r="H749" s="1" t="str">
        <f>"96/05/04"</f>
        <v>96/05/04</v>
      </c>
      <c r="I749" s="1" t="str">
        <f>"كيلوگرم"</f>
        <v>كيلوگرم</v>
      </c>
      <c r="J749" s="1" t="str">
        <f>"0000000076"</f>
        <v>0000000076</v>
      </c>
      <c r="K749" s="1" t="str">
        <f>"قير 60/70 - فله"</f>
        <v>قير 60/70 - فله</v>
      </c>
      <c r="L749" s="1">
        <v>100</v>
      </c>
      <c r="M749" s="1" t="str">
        <f>"مخازن قير اصفهان"</f>
        <v>مخازن قير اصفهان</v>
      </c>
      <c r="N749" s="1">
        <v>9528</v>
      </c>
      <c r="O749" s="1">
        <v>50035352</v>
      </c>
      <c r="P749" s="1" t="str">
        <f>"  سيرجان بتن راه"</f>
        <v xml:space="preserve">  سيرجان بتن راه</v>
      </c>
      <c r="Q749" s="1">
        <v>62</v>
      </c>
      <c r="R749" s="1" t="str">
        <f>"فروش داخلي - سازمان بنيادمسكن انقلاب اسلامي"</f>
        <v>فروش داخلي - سازمان بنيادمسكن انقلاب اسلامي</v>
      </c>
      <c r="S749" s="1" t="str">
        <f>"قرارداد فروش"</f>
        <v>قرارداد فروش</v>
      </c>
      <c r="T749" s="1" t="str">
        <f>"ندارد"</f>
        <v>ندارد</v>
      </c>
      <c r="U749" s="1" t="str">
        <f>"پورباقري ترابر (4914036)"</f>
        <v>پورباقري ترابر (4914036)</v>
      </c>
      <c r="V749" s="1">
        <v>966200151</v>
      </c>
      <c r="W749" s="1">
        <v>966200151</v>
      </c>
      <c r="X749" s="1" t="str">
        <f>"1396500366"</f>
        <v>1396500366</v>
      </c>
      <c r="Y749" s="1" t="str">
        <f>"96/05/04"</f>
        <v>96/05/04</v>
      </c>
      <c r="Z749" s="1" t="str">
        <f>"18162/د"</f>
        <v>18162/د</v>
      </c>
      <c r="AA749" s="1" t="str">
        <f>"بنيادمسكن انقلاب اسلامي"</f>
        <v>بنيادمسكن انقلاب اسلامي</v>
      </c>
      <c r="AB749" s="1" t="str">
        <f>"96/05/02"</f>
        <v>96/05/02</v>
      </c>
      <c r="AC749" s="1" t="str">
        <f>"استان كرمان"</f>
        <v>استان كرمان</v>
      </c>
      <c r="AD749" s="1" t="str">
        <f>"96/05/04"</f>
        <v>96/05/04</v>
      </c>
      <c r="AE749" s="1" t="str">
        <f>"اختتام"</f>
        <v>اختتام</v>
      </c>
      <c r="AF749" s="1" t="str">
        <f>""</f>
        <v/>
      </c>
      <c r="AG749" s="1" t="str">
        <f>""</f>
        <v/>
      </c>
      <c r="AH749" s="1" t="str">
        <f>""</f>
        <v/>
      </c>
      <c r="AI749" s="1" t="str">
        <f>""</f>
        <v/>
      </c>
      <c r="AJ749" s="1" t="str">
        <f>""</f>
        <v/>
      </c>
      <c r="AK749" s="1" t="str">
        <f>""</f>
        <v/>
      </c>
    </row>
    <row r="750" spans="1:37">
      <c r="A750" s="1">
        <v>400000</v>
      </c>
      <c r="B750" s="1">
        <v>961600013</v>
      </c>
      <c r="C750" s="1" t="str">
        <f>"تخليه -يزدجاده فهرج -كارخانه آسفالت گسترنصريزد"</f>
        <v>تخليه -يزدجاده فهرج -كارخانه آسفالت گسترنصريزد</v>
      </c>
      <c r="D750" s="1">
        <v>12970</v>
      </c>
      <c r="E750" s="1">
        <v>398000</v>
      </c>
      <c r="F750" s="1">
        <v>96</v>
      </c>
      <c r="G750" s="1">
        <v>2000</v>
      </c>
      <c r="H750" s="1" t="str">
        <f>"96/06/22"</f>
        <v>96/06/22</v>
      </c>
      <c r="I750" s="1" t="str">
        <f>"كيلوگرم"</f>
        <v>كيلوگرم</v>
      </c>
      <c r="J750" s="1" t="str">
        <f>"0000000091"</f>
        <v>0000000091</v>
      </c>
      <c r="K750" s="1" t="str">
        <f>"قير  PG64-22"</f>
        <v>قير  PG64-22</v>
      </c>
      <c r="L750" s="1">
        <v>100</v>
      </c>
      <c r="M750" s="1" t="str">
        <f>"مخازن قير اصفهان"</f>
        <v>مخازن قير اصفهان</v>
      </c>
      <c r="N750" s="1">
        <v>1665</v>
      </c>
      <c r="O750" s="1">
        <v>50036023</v>
      </c>
      <c r="P750" s="1" t="str">
        <f>"  جهاد نصر يزد"</f>
        <v xml:space="preserve">  جهاد نصر يزد</v>
      </c>
      <c r="Q750" s="1">
        <v>16</v>
      </c>
      <c r="R750" s="1" t="str">
        <f>"فروش داخلي تهران - وزارت راه - معاونت اقتصاد"</f>
        <v>فروش داخلي تهران - وزارت راه - معاونت اقتصاد</v>
      </c>
      <c r="S750" s="1" t="str">
        <f>"قرارداد فروش"</f>
        <v>قرارداد فروش</v>
      </c>
      <c r="T750" s="1" t="str">
        <f>"ندارد"</f>
        <v>ندارد</v>
      </c>
      <c r="U750" s="1" t="str">
        <f>"افناني اسفندآبادي سعيد(4844002)"</f>
        <v>افناني اسفندآبادي سعيد(4844002)</v>
      </c>
      <c r="V750" s="1">
        <v>961600013</v>
      </c>
      <c r="W750" s="1">
        <v>961600013</v>
      </c>
      <c r="X750" s="1" t="str">
        <f>"1396512366"</f>
        <v>1396512366</v>
      </c>
      <c r="Y750" s="1" t="str">
        <f>"96/06/22"</f>
        <v>96/06/22</v>
      </c>
      <c r="Z750" s="1" t="str">
        <f>"29806/710"</f>
        <v>29806/710</v>
      </c>
      <c r="AA750" s="1" t="str">
        <f>"معاونت اقتصادوزارت راه وشهرسازي"</f>
        <v>معاونت اقتصادوزارت راه وشهرسازي</v>
      </c>
      <c r="AB750" s="1" t="str">
        <f>"96/06/15"</f>
        <v>96/06/15</v>
      </c>
      <c r="AC750" s="1" t="str">
        <f>"استان يزد"</f>
        <v>استان يزد</v>
      </c>
      <c r="AD750" s="1" t="str">
        <f>"96/06/22"</f>
        <v>96/06/22</v>
      </c>
      <c r="AE750" s="1" t="str">
        <f>"اختتام"</f>
        <v>اختتام</v>
      </c>
      <c r="AF750" s="1" t="str">
        <f>""</f>
        <v/>
      </c>
      <c r="AG750" s="1" t="str">
        <f>""</f>
        <v/>
      </c>
      <c r="AH750" s="1" t="str">
        <f>""</f>
        <v/>
      </c>
      <c r="AI750" s="1" t="str">
        <f>""</f>
        <v/>
      </c>
      <c r="AJ750" s="1" t="str">
        <f>""</f>
        <v/>
      </c>
      <c r="AK750" s="1" t="str">
        <f>""</f>
        <v/>
      </c>
    </row>
    <row r="751" spans="1:37">
      <c r="A751" s="1">
        <v>5000000</v>
      </c>
      <c r="B751" s="1">
        <v>961800001</v>
      </c>
      <c r="C751" s="1" t="str">
        <f>"تخليه اصفهان قطعه 3آزادراه اصفهان شيرازآباده 5كيلومتربعدازسده كارگاه شركت راهسازي وعمران ايران"</f>
        <v>تخليه اصفهان قطعه 3آزادراه اصفهان شيرازآباده 5كيلومتربعدازسده كارگاه شركت راهسازي وعمران ايران</v>
      </c>
      <c r="D751" s="1">
        <v>8854</v>
      </c>
      <c r="E751" s="1">
        <v>1440720</v>
      </c>
      <c r="F751" s="1">
        <v>96</v>
      </c>
      <c r="G751" s="1">
        <v>3559280</v>
      </c>
      <c r="H751" s="1" t="str">
        <f>"96/01/16"</f>
        <v>96/01/16</v>
      </c>
      <c r="I751" s="1" t="str">
        <f>"كيلوگرم"</f>
        <v>كيلوگرم</v>
      </c>
      <c r="J751" s="1" t="str">
        <f>"0000000091"</f>
        <v>0000000091</v>
      </c>
      <c r="K751" s="1" t="str">
        <f>"قير  PG64-22"</f>
        <v>قير  PG64-22</v>
      </c>
      <c r="L751" s="1">
        <v>100</v>
      </c>
      <c r="M751" s="1" t="str">
        <f>"مخازن قير اصفهان"</f>
        <v>مخازن قير اصفهان</v>
      </c>
      <c r="N751" s="1">
        <v>1726</v>
      </c>
      <c r="O751" s="1">
        <v>50034394</v>
      </c>
      <c r="P751" s="1" t="str">
        <f>"  راهسازي و عمران ايران"</f>
        <v xml:space="preserve">  راهسازي و عمران ايران</v>
      </c>
      <c r="Q751" s="1">
        <v>18</v>
      </c>
      <c r="R751" s="1" t="str">
        <f>"فروش داخلي تهران - وزارت راه - شرکت ساخت و توسعه راهها"</f>
        <v>فروش داخلي تهران - وزارت راه - شرکت ساخت و توسعه راهها</v>
      </c>
      <c r="S751" s="1" t="str">
        <f>"قرارداد فروش"</f>
        <v>قرارداد فروش</v>
      </c>
      <c r="T751" s="1" t="str">
        <f>"ندارد"</f>
        <v>ندارد</v>
      </c>
      <c r="U751" s="1" t="str">
        <f>"عظيمي محمد(2842015)"</f>
        <v>عظيمي محمد(2842015)</v>
      </c>
      <c r="V751" s="1">
        <v>961800001</v>
      </c>
      <c r="W751" s="1">
        <v>961800001</v>
      </c>
      <c r="X751" s="1" t="str">
        <f>"1395470875"</f>
        <v>1395470875</v>
      </c>
      <c r="Y751" s="1" t="str">
        <f>"96/01/16"</f>
        <v>96/01/16</v>
      </c>
      <c r="Z751" s="1" t="str">
        <f>"57870/710"</f>
        <v>57870/710</v>
      </c>
      <c r="AA751" s="1" t="str">
        <f>"شركت  ساخت وتوسعه راهها"</f>
        <v>شركت  ساخت وتوسعه راهها</v>
      </c>
      <c r="AB751" s="1" t="str">
        <f>"95/11/19"</f>
        <v>95/11/19</v>
      </c>
      <c r="AC751" s="1" t="str">
        <f>"استان اصفهان"</f>
        <v>استان اصفهان</v>
      </c>
      <c r="AD751" s="1" t="str">
        <f>"95/12/23"</f>
        <v>95/12/23</v>
      </c>
      <c r="AE751" s="1" t="str">
        <f>"اختتام"</f>
        <v>اختتام</v>
      </c>
      <c r="AF751" s="1" t="str">
        <f>""</f>
        <v/>
      </c>
      <c r="AG751" s="1" t="str">
        <f>""</f>
        <v/>
      </c>
      <c r="AH751" s="1" t="str">
        <f>""</f>
        <v/>
      </c>
      <c r="AI751" s="1" t="str">
        <f>""</f>
        <v/>
      </c>
      <c r="AJ751" s="1" t="str">
        <f>""</f>
        <v/>
      </c>
      <c r="AK751" s="1" t="str">
        <f>""</f>
        <v/>
      </c>
    </row>
    <row r="752" spans="1:37">
      <c r="A752" s="1">
        <v>1000000</v>
      </c>
      <c r="B752" s="1">
        <v>961800060</v>
      </c>
      <c r="C752" s="1" t="str">
        <f>"تخليه اصفهان قطعه 3آزادراه اصفهان شيرازآباده 5كيلومتربعدازسده كارگاه شركت راهسازي وعمران ايران"</f>
        <v>تخليه اصفهان قطعه 3آزادراه اصفهان شيرازآباده 5كيلومتربعدازسده كارگاه شركت راهسازي وعمران ايران</v>
      </c>
      <c r="D752" s="1">
        <v>15810</v>
      </c>
      <c r="E752" s="1">
        <v>23700</v>
      </c>
      <c r="F752" s="1">
        <v>96</v>
      </c>
      <c r="G752" s="1">
        <v>976300</v>
      </c>
      <c r="H752" s="1" t="str">
        <f>"96/07/11"</f>
        <v>96/07/11</v>
      </c>
      <c r="I752" s="1" t="str">
        <f>"كيلوگرم"</f>
        <v>كيلوگرم</v>
      </c>
      <c r="J752" s="1" t="str">
        <f>"0000000091"</f>
        <v>0000000091</v>
      </c>
      <c r="K752" s="1" t="str">
        <f>"قير  PG64-22"</f>
        <v>قير  PG64-22</v>
      </c>
      <c r="L752" s="1">
        <v>100</v>
      </c>
      <c r="M752" s="1" t="str">
        <f>"مخازن قير اصفهان"</f>
        <v>مخازن قير اصفهان</v>
      </c>
      <c r="N752" s="1">
        <v>1726</v>
      </c>
      <c r="O752" s="1">
        <v>50036520</v>
      </c>
      <c r="P752" s="1" t="str">
        <f>"  راهسازي و عمران ايران"</f>
        <v xml:space="preserve">  راهسازي و عمران ايران</v>
      </c>
      <c r="Q752" s="1">
        <v>18</v>
      </c>
      <c r="R752" s="1" t="str">
        <f>"فروش داخلي تهران - وزارت راه - شرکت ساخت و توسعه راهها"</f>
        <v>فروش داخلي تهران - وزارت راه - شرکت ساخت و توسعه راهها</v>
      </c>
      <c r="S752" s="1" t="str">
        <f>"قرارداد فروش"</f>
        <v>قرارداد فروش</v>
      </c>
      <c r="T752" s="1" t="str">
        <f>"ندارد"</f>
        <v>ندارد</v>
      </c>
      <c r="U752" s="1" t="str">
        <f>"عظيمي محمد(2842015)"</f>
        <v>عظيمي محمد(2842015)</v>
      </c>
      <c r="V752" s="1">
        <v>961800060</v>
      </c>
      <c r="W752" s="1">
        <v>961800060</v>
      </c>
      <c r="X752" s="1" t="str">
        <f>"1396515919"</f>
        <v>1396515919</v>
      </c>
      <c r="Y752" s="1" t="str">
        <f>"96/07/11"</f>
        <v>96/07/11</v>
      </c>
      <c r="Z752" s="1" t="str">
        <f>"31952/710"</f>
        <v>31952/710</v>
      </c>
      <c r="AA752" s="1" t="str">
        <f>"شركت  ساخت وتوسعه راهها"</f>
        <v>شركت  ساخت وتوسعه راهها</v>
      </c>
      <c r="AB752" s="1" t="str">
        <f>"96/06/28"</f>
        <v>96/06/28</v>
      </c>
      <c r="AC752" s="1" t="str">
        <f>"استان اصفهان"</f>
        <v>استان اصفهان</v>
      </c>
      <c r="AD752" s="1" t="str">
        <f>"96/07/11"</f>
        <v>96/07/11</v>
      </c>
      <c r="AE752" s="1" t="str">
        <f>"اختتام"</f>
        <v>اختتام</v>
      </c>
      <c r="AF752" s="1" t="str">
        <f>""</f>
        <v/>
      </c>
      <c r="AG752" s="1" t="str">
        <f>""</f>
        <v/>
      </c>
      <c r="AH752" s="1" t="str">
        <f>""</f>
        <v/>
      </c>
      <c r="AI752" s="1" t="str">
        <f>""</f>
        <v/>
      </c>
      <c r="AJ752" s="1" t="str">
        <f>""</f>
        <v/>
      </c>
      <c r="AK752" s="1" t="str">
        <f>""</f>
        <v/>
      </c>
    </row>
    <row r="753" spans="1:37">
      <c r="A753" s="1">
        <v>1000000</v>
      </c>
      <c r="B753" s="1">
        <v>961800020</v>
      </c>
      <c r="C753" s="1" t="str">
        <f>"تخليه همدان -جاده سنندج -نرسيده به روستاي داشبلاغ"</f>
        <v>تخليه همدان -جاده سنندج -نرسيده به روستاي داشبلاغ</v>
      </c>
      <c r="D753" s="1">
        <v>9204</v>
      </c>
      <c r="E753" s="1">
        <v>995240</v>
      </c>
      <c r="F753" s="1">
        <v>96</v>
      </c>
      <c r="G753" s="1">
        <v>4760</v>
      </c>
      <c r="H753" s="1" t="str">
        <f>"96/05/04"</f>
        <v>96/05/04</v>
      </c>
      <c r="I753" s="1" t="str">
        <f>"كيلوگرم"</f>
        <v>كيلوگرم</v>
      </c>
      <c r="J753" s="1" t="str">
        <f>"0000000088"</f>
        <v>0000000088</v>
      </c>
      <c r="K753" s="1" t="str">
        <f>"قير  PG58-22"</f>
        <v>قير  PG58-22</v>
      </c>
      <c r="L753" s="1">
        <v>100</v>
      </c>
      <c r="M753" s="1" t="str">
        <f>"مخازن قير اصفهان"</f>
        <v>مخازن قير اصفهان</v>
      </c>
      <c r="N753" s="1">
        <v>4080</v>
      </c>
      <c r="O753" s="1">
        <v>50035353</v>
      </c>
      <c r="P753" s="1" t="str">
        <f>"  چاوش  راه بنا"</f>
        <v xml:space="preserve">  چاوش  راه بنا</v>
      </c>
      <c r="Q753" s="1">
        <v>18</v>
      </c>
      <c r="R753" s="1" t="str">
        <f>"فروش داخلي تهران - وزارت راه - شرکت ساخت و توسعه راهها"</f>
        <v>فروش داخلي تهران - وزارت راه - شرکت ساخت و توسعه راهها</v>
      </c>
      <c r="S753" s="1" t="str">
        <f>"قرارداد فروش"</f>
        <v>قرارداد فروش</v>
      </c>
      <c r="T753" s="1" t="str">
        <f>"ندارد"</f>
        <v>ندارد</v>
      </c>
      <c r="U753" s="1" t="str">
        <f>"حاجيلوئي علي اصغر(2842019)"</f>
        <v>حاجيلوئي علي اصغر(2842019)</v>
      </c>
      <c r="V753" s="1">
        <v>961800020</v>
      </c>
      <c r="W753" s="1">
        <v>961800020</v>
      </c>
      <c r="X753" s="1" t="str">
        <f>"1396500368"</f>
        <v>1396500368</v>
      </c>
      <c r="Y753" s="1" t="str">
        <f>"96/05/04"</f>
        <v>96/05/04</v>
      </c>
      <c r="Z753" s="1" t="str">
        <f>"16346/710"</f>
        <v>16346/710</v>
      </c>
      <c r="AA753" s="1" t="str">
        <f>"شركت  ساخت وتوسعه راهها"</f>
        <v>شركت  ساخت وتوسعه راهها</v>
      </c>
      <c r="AB753" s="1" t="str">
        <f>"96/04/12"</f>
        <v>96/04/12</v>
      </c>
      <c r="AC753" s="1" t="str">
        <f>"استان همدان"</f>
        <v>استان همدان</v>
      </c>
      <c r="AD753" s="1" t="str">
        <f>"96/05/04"</f>
        <v>96/05/04</v>
      </c>
      <c r="AE753" s="1" t="str">
        <f>"اختتام"</f>
        <v>اختتام</v>
      </c>
      <c r="AF753" s="1" t="str">
        <f>""</f>
        <v/>
      </c>
      <c r="AG753" s="1" t="str">
        <f>""</f>
        <v/>
      </c>
      <c r="AH753" s="1" t="str">
        <f>""</f>
        <v/>
      </c>
      <c r="AI753" s="1" t="str">
        <f>""</f>
        <v/>
      </c>
      <c r="AJ753" s="1" t="str">
        <f>""</f>
        <v/>
      </c>
      <c r="AK753" s="1" t="str">
        <f>""</f>
        <v/>
      </c>
    </row>
    <row r="754" spans="1:37">
      <c r="A754" s="1">
        <v>600000</v>
      </c>
      <c r="B754" s="1">
        <v>961900083</v>
      </c>
      <c r="C754" s="1" t="str">
        <f>"تخليه -چهارمحال وبختياري -جاده مباركه -بروجن بعدازشهرمجلسي -معدن قميشلو-شركت تك شن"</f>
        <v>تخليه -چهارمحال وبختياري -جاده مباركه -بروجن بعدازشهرمجلسي -معدن قميشلو-شركت تك شن</v>
      </c>
      <c r="D754" s="1">
        <v>8904</v>
      </c>
      <c r="E754" s="1">
        <v>599720</v>
      </c>
      <c r="F754" s="1">
        <v>96</v>
      </c>
      <c r="G754" s="1">
        <v>280</v>
      </c>
      <c r="H754" s="1" t="str">
        <f>"96/04/25"</f>
        <v>96/04/25</v>
      </c>
      <c r="I754" s="1" t="str">
        <f>"كيلوگرم"</f>
        <v>كيلوگرم</v>
      </c>
      <c r="J754" s="1" t="str">
        <f>"0000000088"</f>
        <v>0000000088</v>
      </c>
      <c r="K754" s="1" t="str">
        <f>"قير  PG58-22"</f>
        <v>قير  PG58-22</v>
      </c>
      <c r="L754" s="1">
        <v>100</v>
      </c>
      <c r="M754" s="1" t="str">
        <f>"مخازن قير اصفهان"</f>
        <v>مخازن قير اصفهان</v>
      </c>
      <c r="N754" s="1">
        <v>7072</v>
      </c>
      <c r="O754" s="1">
        <v>50035225</v>
      </c>
      <c r="P754" s="1" t="str">
        <f>"  آسفالت تك شن"</f>
        <v xml:space="preserve">  آسفالت تك شن</v>
      </c>
      <c r="Q754" s="1">
        <v>19</v>
      </c>
      <c r="R75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754" s="1" t="str">
        <f>"قرارداد فروش"</f>
        <v>قرارداد فروش</v>
      </c>
      <c r="T754" s="1" t="str">
        <f>"ندارد"</f>
        <v>ندارد</v>
      </c>
      <c r="U754" s="1" t="str">
        <f>"قره باغي مجيد(1871065)"</f>
        <v>قره باغي مجيد(1871065)</v>
      </c>
      <c r="V754" s="1">
        <v>961900083</v>
      </c>
      <c r="W754" s="1">
        <v>961900083</v>
      </c>
      <c r="X754" s="1" t="str">
        <f>"1396496979"</f>
        <v>1396496979</v>
      </c>
      <c r="Y754" s="1" t="str">
        <f>"96/04/25"</f>
        <v>96/04/25</v>
      </c>
      <c r="Z754" s="1" t="str">
        <f>"18235/710"</f>
        <v>18235/710</v>
      </c>
      <c r="AA754" s="1" t="str">
        <f>"سازمان راهداري وحمل نقل جاده اي"</f>
        <v>سازمان راهداري وحمل نقل جاده اي</v>
      </c>
      <c r="AB754" s="1" t="str">
        <f>"96/04/21"</f>
        <v>96/04/21</v>
      </c>
      <c r="AC754" s="1" t="str">
        <f>"استان چهارمحال بختياري"</f>
        <v>استان چهارمحال بختياري</v>
      </c>
      <c r="AD754" s="1" t="str">
        <f>"96/04/25"</f>
        <v>96/04/25</v>
      </c>
      <c r="AE754" s="1" t="str">
        <f>"اختتام"</f>
        <v>اختتام</v>
      </c>
      <c r="AF754" s="1" t="str">
        <f>""</f>
        <v/>
      </c>
      <c r="AG754" s="1" t="str">
        <f>""</f>
        <v/>
      </c>
      <c r="AH754" s="1" t="str">
        <f>""</f>
        <v/>
      </c>
      <c r="AI754" s="1" t="str">
        <f>""</f>
        <v/>
      </c>
      <c r="AJ754" s="1" t="str">
        <f>""</f>
        <v/>
      </c>
      <c r="AK754" s="1" t="str">
        <f>""</f>
        <v/>
      </c>
    </row>
    <row r="755" spans="1:37">
      <c r="A755" s="1">
        <v>25000</v>
      </c>
      <c r="B755" s="1">
        <v>961400004</v>
      </c>
      <c r="C755" s="1" t="str">
        <f>"تخليه خراسان جنوبي شهرستان فردوس كارخانه پتروفردس"</f>
        <v>تخليه خراسان جنوبي شهرستان فردوس كارخانه پتروفردس</v>
      </c>
      <c r="D755" s="1">
        <v>9068</v>
      </c>
      <c r="E755" s="1">
        <v>25000</v>
      </c>
      <c r="F755" s="1">
        <v>96</v>
      </c>
      <c r="G755" s="1">
        <v>0</v>
      </c>
      <c r="H755" s="1" t="str">
        <f>"96/01/27"</f>
        <v>96/01/27</v>
      </c>
      <c r="I755" s="1" t="str">
        <f>"كيلوگرم"</f>
        <v>كيلوگرم</v>
      </c>
      <c r="J755" s="1" t="str">
        <f>"0000000091"</f>
        <v>0000000091</v>
      </c>
      <c r="K755" s="1" t="str">
        <f>"قير  PG64-22"</f>
        <v>قير  PG64-22</v>
      </c>
      <c r="L755" s="1">
        <v>100</v>
      </c>
      <c r="M755" s="1" t="str">
        <f>"مخازن قير اصفهان"</f>
        <v>مخازن قير اصفهان</v>
      </c>
      <c r="N755" s="1">
        <v>4012</v>
      </c>
      <c r="O755" s="1">
        <v>50034613</v>
      </c>
      <c r="P755" s="1" t="str">
        <f>"  اداره كل راه و شهرسازي خراسان جنوبي"</f>
        <v xml:space="preserve">  اداره كل راه و شهرسازي خراسان جنوبي</v>
      </c>
      <c r="Q755" s="1">
        <v>14</v>
      </c>
      <c r="R755" s="1" t="str">
        <f>"فروش داخلي - وزارت راه - حوزه راه روستايي ساخت"</f>
        <v>فروش داخلي - وزارت راه - حوزه راه روستايي ساخت</v>
      </c>
      <c r="S755" s="1" t="str">
        <f>"قرارداد فروش"</f>
        <v>قرارداد فروش</v>
      </c>
      <c r="T755" s="1" t="str">
        <f>"ندارد"</f>
        <v>ندارد</v>
      </c>
      <c r="U755" s="1" t="str">
        <f>"قانعي محمدرضا(1011ج89)"</f>
        <v>قانعي محمدرضا(1011ج89)</v>
      </c>
      <c r="V755" s="1">
        <v>961400004</v>
      </c>
      <c r="W755" s="1">
        <v>961400004</v>
      </c>
      <c r="X755" s="1" t="str">
        <f>"1396474654"</f>
        <v>1396474654</v>
      </c>
      <c r="Y755" s="1" t="str">
        <f>"96/01/27"</f>
        <v>96/01/27</v>
      </c>
      <c r="Z755" s="1" t="str">
        <f>"1784/710"</f>
        <v>1784/710</v>
      </c>
      <c r="AA755" s="1" t="str">
        <f>"راه وروستايي -ساخت"</f>
        <v>راه وروستايي -ساخت</v>
      </c>
      <c r="AB755" s="1" t="str">
        <f>"95/12/28"</f>
        <v>95/12/28</v>
      </c>
      <c r="AC755" s="1" t="str">
        <f>"خراسان جنوبي"</f>
        <v>خراسان جنوبي</v>
      </c>
      <c r="AD755" s="1" t="str">
        <f>"96/01/27"</f>
        <v>96/01/27</v>
      </c>
      <c r="AE755" s="1" t="str">
        <f>"اختتام"</f>
        <v>اختتام</v>
      </c>
      <c r="AF755" s="1" t="str">
        <f>""</f>
        <v/>
      </c>
      <c r="AG755" s="1" t="str">
        <f>""</f>
        <v/>
      </c>
      <c r="AH755" s="1" t="str">
        <f>""</f>
        <v/>
      </c>
      <c r="AI755" s="1" t="str">
        <f>""</f>
        <v/>
      </c>
      <c r="AJ755" s="1" t="str">
        <f>""</f>
        <v/>
      </c>
      <c r="AK755" s="1" t="str">
        <f>""</f>
        <v/>
      </c>
    </row>
    <row r="756" spans="1:37">
      <c r="A756" s="1">
        <v>111000</v>
      </c>
      <c r="B756" s="1">
        <v>961700093</v>
      </c>
      <c r="C756" s="1" t="str">
        <f>"تخليه - خراسان جنوبي- اسديه-کارخانه شهرداري اسديه"</f>
        <v>تخليه - خراسان جنوبي- اسديه-کارخانه شهرداري اسديه</v>
      </c>
      <c r="D756" s="1">
        <v>9363</v>
      </c>
      <c r="E756" s="1">
        <v>107640</v>
      </c>
      <c r="F756" s="1">
        <v>96</v>
      </c>
      <c r="G756" s="1">
        <v>3360</v>
      </c>
      <c r="H756" s="1" t="str">
        <f>"96/06/21"</f>
        <v>96/06/21</v>
      </c>
      <c r="I756" s="1" t="str">
        <f>"كيلوگرم"</f>
        <v>كيلوگرم</v>
      </c>
      <c r="J756" s="1" t="str">
        <f>"0000000091"</f>
        <v>0000000091</v>
      </c>
      <c r="K756" s="1" t="str">
        <f>"قير  PG64-22"</f>
        <v>قير  PG64-22</v>
      </c>
      <c r="L756" s="1">
        <v>100</v>
      </c>
      <c r="M756" s="1" t="str">
        <f>"مخازن قير اصفهان"</f>
        <v>مخازن قير اصفهان</v>
      </c>
      <c r="N756" s="1">
        <v>4012</v>
      </c>
      <c r="O756" s="1">
        <v>50035970</v>
      </c>
      <c r="P756" s="1" t="str">
        <f>"  اداره كل راه و شهرسازي خراسان جنوبي"</f>
        <v xml:space="preserve">  اداره كل راه و شهرسازي خراسان جنوبي</v>
      </c>
      <c r="Q756" s="1">
        <v>17</v>
      </c>
      <c r="R756" s="1" t="str">
        <f>"فروش داخلي تهران - وزارت راه - راه روستايي - روکش"</f>
        <v>فروش داخلي تهران - وزارت راه - راه روستايي - روکش</v>
      </c>
      <c r="S756" s="1" t="str">
        <f>"قرارداد فروش"</f>
        <v>قرارداد فروش</v>
      </c>
      <c r="T756" s="1" t="str">
        <f>"ندارد"</f>
        <v>ندارد</v>
      </c>
      <c r="U756" s="1" t="str">
        <f>"بابامحمدي عنايت اله(4844000)"</f>
        <v>بابامحمدي عنايت اله(4844000)</v>
      </c>
      <c r="V756" s="1">
        <v>961700093</v>
      </c>
      <c r="W756" s="1">
        <v>961700093</v>
      </c>
      <c r="X756" s="1" t="str">
        <f>"1396511612"</f>
        <v>1396511612</v>
      </c>
      <c r="Y756" s="1" t="str">
        <f>"96/06/21"</f>
        <v>96/06/21</v>
      </c>
      <c r="Z756" s="1" t="str">
        <f>"29800/710"</f>
        <v>29800/710</v>
      </c>
      <c r="AA756" s="1" t="str">
        <f>"راه روستائي -روكش"</f>
        <v>راه روستائي -روكش</v>
      </c>
      <c r="AB756" s="1" t="str">
        <f>"96/06/15"</f>
        <v>96/06/15</v>
      </c>
      <c r="AC756" s="1" t="str">
        <f>"خراسان جنوبي"</f>
        <v>خراسان جنوبي</v>
      </c>
      <c r="AD756" s="1" t="str">
        <f>"96/06/21"</f>
        <v>96/06/21</v>
      </c>
      <c r="AE756" s="1" t="str">
        <f>"اختتام"</f>
        <v>اختتام</v>
      </c>
      <c r="AF756" s="1" t="str">
        <f>""</f>
        <v/>
      </c>
      <c r="AG756" s="1" t="str">
        <f>""</f>
        <v/>
      </c>
      <c r="AH756" s="1" t="str">
        <f>""</f>
        <v/>
      </c>
      <c r="AI756" s="1" t="str">
        <f>""</f>
        <v/>
      </c>
      <c r="AJ756" s="1" t="str">
        <f>""</f>
        <v/>
      </c>
      <c r="AK756" s="1" t="str">
        <f>""</f>
        <v/>
      </c>
    </row>
    <row r="757" spans="1:37">
      <c r="A757" s="1">
        <v>300000</v>
      </c>
      <c r="B757" s="1">
        <v>961700149</v>
      </c>
      <c r="C757" s="1" t="str">
        <f>"تخليه خراسان جنوبي شهرستان خوسف كيلومتر6جاده خوسف ماژان كارخانه اساس شرق بيرجند"</f>
        <v>تخليه خراسان جنوبي شهرستان خوسف كيلومتر6جاده خوسف ماژان كارخانه اساس شرق بيرجند</v>
      </c>
      <c r="D757" s="1">
        <v>13100</v>
      </c>
      <c r="E757" s="1">
        <v>299780</v>
      </c>
      <c r="F757" s="1">
        <v>96</v>
      </c>
      <c r="G757" s="1">
        <v>220</v>
      </c>
      <c r="H757" s="1" t="str">
        <f>"96/08/06"</f>
        <v>96/08/06</v>
      </c>
      <c r="I757" s="1" t="str">
        <f>"كيلوگرم"</f>
        <v>كيلوگرم</v>
      </c>
      <c r="J757" s="1" t="str">
        <f>"0000000091"</f>
        <v>0000000091</v>
      </c>
      <c r="K757" s="1" t="str">
        <f>"قير  PG64-22"</f>
        <v>قير  PG64-22</v>
      </c>
      <c r="L757" s="1">
        <v>100</v>
      </c>
      <c r="M757" s="1" t="str">
        <f>"مخازن قير اصفهان"</f>
        <v>مخازن قير اصفهان</v>
      </c>
      <c r="N757" s="1">
        <v>4012</v>
      </c>
      <c r="O757" s="1">
        <v>50036923</v>
      </c>
      <c r="P757" s="1" t="str">
        <f>"  اداره كل راه و شهرسازي خراسان جنوبي"</f>
        <v xml:space="preserve">  اداره كل راه و شهرسازي خراسان جنوبي</v>
      </c>
      <c r="Q757" s="1">
        <v>17</v>
      </c>
      <c r="R757" s="1" t="str">
        <f>"فروش داخلي تهران - وزارت راه - راه روستايي - روکش"</f>
        <v>فروش داخلي تهران - وزارت راه - راه روستايي - روکش</v>
      </c>
      <c r="S757" s="1" t="str">
        <f>"قرارداد فروش"</f>
        <v>قرارداد فروش</v>
      </c>
      <c r="T757" s="1" t="str">
        <f>"ندارد"</f>
        <v>ندارد</v>
      </c>
      <c r="U757" s="1" t="str">
        <f>"آقا علي منوچهر(1016ج89)"</f>
        <v>آقا علي منوچهر(1016ج89)</v>
      </c>
      <c r="V757" s="1">
        <v>961700149</v>
      </c>
      <c r="W757" s="1">
        <v>961700149</v>
      </c>
      <c r="X757" s="1" t="str">
        <f>"1396521772"</f>
        <v>1396521772</v>
      </c>
      <c r="Y757" s="1" t="str">
        <f>"96/08/06"</f>
        <v>96/08/06</v>
      </c>
      <c r="Z757" s="1" t="str">
        <f>"38232/710"</f>
        <v>38232/710</v>
      </c>
      <c r="AA757" s="1" t="str">
        <f>"راه روستائي -روكش"</f>
        <v>راه روستائي -روكش</v>
      </c>
      <c r="AB757" s="1" t="str">
        <f>"96/08/01"</f>
        <v>96/08/01</v>
      </c>
      <c r="AC757" s="1" t="str">
        <f>"خراسان جنوبي"</f>
        <v>خراسان جنوبي</v>
      </c>
      <c r="AD757" s="1" t="str">
        <f>"96/08/06"</f>
        <v>96/08/06</v>
      </c>
      <c r="AE757" s="1" t="str">
        <f>"اختتام"</f>
        <v>اختتام</v>
      </c>
      <c r="AF757" s="1" t="str">
        <f>""</f>
        <v/>
      </c>
      <c r="AG757" s="1" t="str">
        <f>""</f>
        <v/>
      </c>
      <c r="AH757" s="1" t="str">
        <f>""</f>
        <v/>
      </c>
      <c r="AI757" s="1" t="str">
        <f>""</f>
        <v/>
      </c>
      <c r="AJ757" s="1" t="str">
        <f>""</f>
        <v/>
      </c>
      <c r="AK757" s="1" t="str">
        <f>""</f>
        <v/>
      </c>
    </row>
    <row r="758" spans="1:37">
      <c r="A758" s="1">
        <v>63000</v>
      </c>
      <c r="B758" s="1">
        <v>961700160</v>
      </c>
      <c r="C758" s="1" t="str">
        <f>"تخليه خراسان جنوبي شهرستان قاين شهراسفدن  كارخانه آسفالت توس راديه"</f>
        <v>تخليه خراسان جنوبي شهرستان قاين شهراسفدن  كارخانه آسفالت توس راديه</v>
      </c>
      <c r="D758" s="1">
        <v>13600</v>
      </c>
      <c r="E758" s="1">
        <v>60280</v>
      </c>
      <c r="F758" s="1">
        <v>96</v>
      </c>
      <c r="G758" s="1">
        <v>2720</v>
      </c>
      <c r="H758" s="1" t="str">
        <f>"96/09/19"</f>
        <v>96/09/19</v>
      </c>
      <c r="I758" s="1" t="str">
        <f>"كيلوگرم"</f>
        <v>كيلوگرم</v>
      </c>
      <c r="J758" s="1" t="str">
        <f>"0000000091"</f>
        <v>0000000091</v>
      </c>
      <c r="K758" s="1" t="str">
        <f>"قير  PG64-22"</f>
        <v>قير  PG64-22</v>
      </c>
      <c r="L758" s="1">
        <v>100</v>
      </c>
      <c r="M758" s="1" t="str">
        <f>"مخازن قير اصفهان"</f>
        <v>مخازن قير اصفهان</v>
      </c>
      <c r="N758" s="1">
        <v>4012</v>
      </c>
      <c r="O758" s="1">
        <v>50037569</v>
      </c>
      <c r="P758" s="1" t="str">
        <f>"  اداره كل راه و شهرسازي خراسان جنوبي"</f>
        <v xml:space="preserve">  اداره كل راه و شهرسازي خراسان جنوبي</v>
      </c>
      <c r="Q758" s="1">
        <v>17</v>
      </c>
      <c r="R758" s="1" t="str">
        <f>"فروش داخلي تهران - وزارت راه - راه روستايي - روکش"</f>
        <v>فروش داخلي تهران - وزارت راه - راه روستايي - روکش</v>
      </c>
      <c r="S758" s="1" t="str">
        <f>"قرارداد فروش"</f>
        <v>قرارداد فروش</v>
      </c>
      <c r="T758" s="1" t="str">
        <f>"ندارد"</f>
        <v>ندارد</v>
      </c>
      <c r="U758" s="1" t="str">
        <f>"بابامحمدي عنايت اله(4844000)"</f>
        <v>بابامحمدي عنايت اله(4844000)</v>
      </c>
      <c r="V758" s="1">
        <v>961700160</v>
      </c>
      <c r="W758" s="1">
        <v>961700160</v>
      </c>
      <c r="X758" s="1" t="str">
        <f>"1396531055"</f>
        <v>1396531055</v>
      </c>
      <c r="Y758" s="1" t="str">
        <f>"96/09/19"</f>
        <v>96/09/19</v>
      </c>
      <c r="Z758" s="1" t="str">
        <f>"46864/710"</f>
        <v>46864/710</v>
      </c>
      <c r="AA758" s="1" t="str">
        <f>"راه روستائي -روكش"</f>
        <v>راه روستائي -روكش</v>
      </c>
      <c r="AB758" s="1" t="str">
        <f>"96/09/13"</f>
        <v>96/09/13</v>
      </c>
      <c r="AC758" s="1" t="str">
        <f>"خراسان جنوبي"</f>
        <v>خراسان جنوبي</v>
      </c>
      <c r="AD758" s="1" t="str">
        <f>"96/09/18"</f>
        <v>96/09/18</v>
      </c>
      <c r="AE758" s="1" t="str">
        <f>"اختتام"</f>
        <v>اختتام</v>
      </c>
      <c r="AF758" s="1" t="str">
        <f>""</f>
        <v/>
      </c>
      <c r="AG758" s="1" t="str">
        <f>""</f>
        <v/>
      </c>
      <c r="AH758" s="1" t="str">
        <f>""</f>
        <v/>
      </c>
      <c r="AI758" s="1" t="str">
        <f>""</f>
        <v/>
      </c>
      <c r="AJ758" s="1" t="str">
        <f>""</f>
        <v/>
      </c>
      <c r="AK758" s="1" t="str">
        <f>""</f>
        <v/>
      </c>
    </row>
    <row r="759" spans="1:37">
      <c r="A759" s="1">
        <v>68469</v>
      </c>
      <c r="B759" s="1">
        <v>962000239</v>
      </c>
      <c r="C759" s="1" t="str">
        <f>"تخليه -يزد-تفت -جاده چم -كارخانه آسفالت همياري شهرداريهاي يزد"</f>
        <v>تخليه -يزد-تفت -جاده چم -كارخانه آسفالت همياري شهرداريهاي يزد</v>
      </c>
      <c r="D759" s="1">
        <v>9113</v>
      </c>
      <c r="E759" s="1">
        <v>68469</v>
      </c>
      <c r="F759" s="1">
        <v>96</v>
      </c>
      <c r="G759" s="1">
        <v>0</v>
      </c>
      <c r="H759" s="1" t="str">
        <f>"96/09/07"</f>
        <v>96/09/07</v>
      </c>
      <c r="I759" s="1" t="str">
        <f>"كيلوگرم"</f>
        <v>كيلوگرم</v>
      </c>
      <c r="J759" s="1" t="str">
        <f>"0000000076"</f>
        <v>0000000076</v>
      </c>
      <c r="K759" s="1" t="str">
        <f>"قير 60/70 - فله"</f>
        <v>قير 60/70 - فله</v>
      </c>
      <c r="L759" s="1">
        <v>100</v>
      </c>
      <c r="M759" s="1" t="str">
        <f>"مخازن قير اصفهان"</f>
        <v>مخازن قير اصفهان</v>
      </c>
      <c r="N759" s="1">
        <v>9600</v>
      </c>
      <c r="O759" s="1">
        <v>50037284</v>
      </c>
      <c r="P759" s="1" t="str">
        <f>"  شهرداري تفت"</f>
        <v xml:space="preserve">  شهرداري تفت</v>
      </c>
      <c r="Q759" s="1">
        <v>20</v>
      </c>
      <c r="R759" s="1" t="str">
        <f>"فروش داخلي - سازمان شهرداري ها و دهياري هاي كشور"</f>
        <v>فروش داخلي - سازمان شهرداري ها و دهياري هاي كشور</v>
      </c>
      <c r="S759" s="1" t="str">
        <f>"قرارداد فروش"</f>
        <v>قرارداد فروش</v>
      </c>
      <c r="T759" s="1" t="str">
        <f>"ندارد"</f>
        <v>ندارد</v>
      </c>
      <c r="U759" s="1" t="str">
        <f>"تعاوني جم گستر (1001 ج 89)"</f>
        <v>تعاوني جم گستر (1001 ج 89)</v>
      </c>
      <c r="V759" s="1">
        <v>962000239</v>
      </c>
      <c r="W759" s="1">
        <v>962000239</v>
      </c>
      <c r="X759" s="1" t="str">
        <f>"1396514467"</f>
        <v>1396514467</v>
      </c>
      <c r="Y759" s="1" t="str">
        <f>"96/09/07"</f>
        <v>96/09/07</v>
      </c>
      <c r="Z759" s="1" t="str">
        <f>"36644مرحله دوم"</f>
        <v>36644مرحله دوم</v>
      </c>
      <c r="AA759" s="1" t="str">
        <f>"شهرداريها"</f>
        <v>شهرداريها</v>
      </c>
      <c r="AB759" s="1" t="str">
        <f>"96/09/01"</f>
        <v>96/09/01</v>
      </c>
      <c r="AC759" s="1" t="str">
        <f>"استان يزد"</f>
        <v>استان يزد</v>
      </c>
      <c r="AD759" s="1" t="str">
        <f>"96/07/03"</f>
        <v>96/07/03</v>
      </c>
      <c r="AE759" s="1" t="str">
        <f>"اختتام"</f>
        <v>اختتام</v>
      </c>
      <c r="AF759" s="1" t="str">
        <f>""</f>
        <v/>
      </c>
      <c r="AG759" s="1" t="str">
        <f>""</f>
        <v/>
      </c>
      <c r="AH759" s="1" t="str">
        <f>""</f>
        <v/>
      </c>
      <c r="AI759" s="1" t="str">
        <f>""</f>
        <v/>
      </c>
      <c r="AJ759" s="1" t="str">
        <f>""</f>
        <v/>
      </c>
      <c r="AK759" s="1" t="str">
        <f>""</f>
        <v/>
      </c>
    </row>
    <row r="760" spans="1:37">
      <c r="A760" s="1">
        <v>70000</v>
      </c>
      <c r="B760" s="1">
        <v>961700224</v>
      </c>
      <c r="C760" s="1" t="str">
        <f>"تخليه چهارمحال وبختياري شهرستان بن شركت نسيم سامان"</f>
        <v>تخليه چهارمحال وبختياري شهرستان بن شركت نسيم سامان</v>
      </c>
      <c r="D760" s="1">
        <v>15810</v>
      </c>
      <c r="E760" s="1">
        <v>70000</v>
      </c>
      <c r="F760" s="1">
        <v>96</v>
      </c>
      <c r="G760" s="1">
        <v>0</v>
      </c>
      <c r="H760" s="1" t="str">
        <f>"96/12/24"</f>
        <v>96/12/24</v>
      </c>
      <c r="I760" s="1" t="str">
        <f>"كيلوگرم"</f>
        <v>كيلوگرم</v>
      </c>
      <c r="J760" s="1" t="str">
        <f>"0000000088"</f>
        <v>0000000088</v>
      </c>
      <c r="K760" s="1" t="str">
        <f>"قير  PG58-22"</f>
        <v>قير  PG58-22</v>
      </c>
      <c r="L760" s="1">
        <v>100</v>
      </c>
      <c r="M760" s="1" t="str">
        <f>"مخازن قير اصفهان"</f>
        <v>مخازن قير اصفهان</v>
      </c>
      <c r="N760" s="1">
        <v>7190</v>
      </c>
      <c r="O760" s="1">
        <v>50039005</v>
      </c>
      <c r="P760" s="1" t="str">
        <f>"  اداره كل راه و شهرسازي چهارمحال وبختياري"</f>
        <v xml:space="preserve">  اداره كل راه و شهرسازي چهارمحال وبختياري</v>
      </c>
      <c r="Q760" s="1">
        <v>17</v>
      </c>
      <c r="R760" s="1" t="str">
        <f>"فروش داخلي تهران - وزارت راه - راه روستايي - روکش"</f>
        <v>فروش داخلي تهران - وزارت راه - راه روستايي - روکش</v>
      </c>
      <c r="S760" s="1" t="str">
        <f>"قرارداد فروش"</f>
        <v>قرارداد فروش</v>
      </c>
      <c r="T760" s="1" t="str">
        <f>"ندارد"</f>
        <v>ندارد</v>
      </c>
      <c r="U760" s="1" t="str">
        <f>"قره باغي مجيد(1871065)"</f>
        <v>قره باغي مجيد(1871065)</v>
      </c>
      <c r="V760" s="1">
        <v>961700224</v>
      </c>
      <c r="W760" s="1">
        <v>961700224</v>
      </c>
      <c r="X760" s="1" t="str">
        <f>"1396553920"</f>
        <v>1396553920</v>
      </c>
      <c r="Y760" s="1" t="str">
        <f>"96/12/24"</f>
        <v>96/12/24</v>
      </c>
      <c r="Z760" s="1" t="str">
        <f>"47995/710"</f>
        <v>47995/710</v>
      </c>
      <c r="AA760" s="1" t="str">
        <f>"راه روستائي -روكش"</f>
        <v>راه روستائي -روكش</v>
      </c>
      <c r="AB760" s="1" t="str">
        <f>"96/09/19"</f>
        <v>96/09/19</v>
      </c>
      <c r="AC760" s="1" t="str">
        <f>"استان چهارمحال بختياري"</f>
        <v>استان چهارمحال بختياري</v>
      </c>
      <c r="AD760" s="1" t="str">
        <f>"96/12/20"</f>
        <v>96/12/20</v>
      </c>
      <c r="AE760" s="1" t="str">
        <f>"اختتام"</f>
        <v>اختتام</v>
      </c>
      <c r="AF760" s="1" t="str">
        <f>""</f>
        <v/>
      </c>
      <c r="AG760" s="1" t="str">
        <f>""</f>
        <v/>
      </c>
      <c r="AH760" s="1" t="str">
        <f>""</f>
        <v/>
      </c>
      <c r="AI760" s="1" t="str">
        <f>""</f>
        <v/>
      </c>
      <c r="AJ760" s="1" t="str">
        <f>""</f>
        <v/>
      </c>
      <c r="AK760" s="1" t="str">
        <f>""</f>
        <v/>
      </c>
    </row>
    <row r="761" spans="1:37">
      <c r="A761" s="1">
        <v>200000</v>
      </c>
      <c r="B761" s="1">
        <v>961700231</v>
      </c>
      <c r="C761" s="1" t="str">
        <f>"تخليه -چهارمحال بختياري -شهرستان فارسان كارخانه آسفالت شركت احمديه چليچه"</f>
        <v>تخليه -چهارمحال بختياري -شهرستان فارسان كارخانه آسفالت شركت احمديه چليچه</v>
      </c>
      <c r="D761" s="1">
        <v>14000</v>
      </c>
      <c r="E761" s="1">
        <v>200000</v>
      </c>
      <c r="F761" s="1">
        <v>96</v>
      </c>
      <c r="G761" s="1">
        <v>0</v>
      </c>
      <c r="H761" s="1" t="str">
        <f>"96/12/24"</f>
        <v>96/12/24</v>
      </c>
      <c r="I761" s="1" t="str">
        <f>"كيلوگرم"</f>
        <v>كيلوگرم</v>
      </c>
      <c r="J761" s="1" t="str">
        <f>"0000000088"</f>
        <v>0000000088</v>
      </c>
      <c r="K761" s="1" t="str">
        <f>"قير  PG58-22"</f>
        <v>قير  PG58-22</v>
      </c>
      <c r="L761" s="1">
        <v>100</v>
      </c>
      <c r="M761" s="1" t="str">
        <f>"مخازن قير اصفهان"</f>
        <v>مخازن قير اصفهان</v>
      </c>
      <c r="N761" s="1">
        <v>7190</v>
      </c>
      <c r="O761" s="1">
        <v>50039012</v>
      </c>
      <c r="P761" s="1" t="str">
        <f>"  اداره كل راه و شهرسازي چهارمحال وبختياري"</f>
        <v xml:space="preserve">  اداره كل راه و شهرسازي چهارمحال وبختياري</v>
      </c>
      <c r="Q761" s="1">
        <v>17</v>
      </c>
      <c r="R761" s="1" t="str">
        <f>"فروش داخلي تهران - وزارت راه - راه روستايي - روکش"</f>
        <v>فروش داخلي تهران - وزارت راه - راه روستايي - روکش</v>
      </c>
      <c r="S761" s="1" t="str">
        <f>"قرارداد فروش"</f>
        <v>قرارداد فروش</v>
      </c>
      <c r="T761" s="1" t="str">
        <f>"ندارد"</f>
        <v>ندارد</v>
      </c>
      <c r="U761" s="1" t="str">
        <f>"قره باغي مجيد(1871065)"</f>
        <v>قره باغي مجيد(1871065)</v>
      </c>
      <c r="V761" s="1">
        <v>961700231</v>
      </c>
      <c r="W761" s="1">
        <v>961700231</v>
      </c>
      <c r="X761" s="1" t="str">
        <f>"1396553920"</f>
        <v>1396553920</v>
      </c>
      <c r="Y761" s="1" t="str">
        <f>"96/12/24"</f>
        <v>96/12/24</v>
      </c>
      <c r="Z761" s="1" t="str">
        <f>"48026/710"</f>
        <v>48026/710</v>
      </c>
      <c r="AA761" s="1" t="str">
        <f>"راه روستائي -روكش"</f>
        <v>راه روستائي -روكش</v>
      </c>
      <c r="AB761" s="1" t="str">
        <f>"96/09/19"</f>
        <v>96/09/19</v>
      </c>
      <c r="AC761" s="1" t="str">
        <f>"استان چهارمحال بختياري"</f>
        <v>استان چهارمحال بختياري</v>
      </c>
      <c r="AD761" s="1" t="str">
        <f>"96/12/20"</f>
        <v>96/12/20</v>
      </c>
      <c r="AE761" s="1" t="str">
        <f>"اختتام"</f>
        <v>اختتام</v>
      </c>
      <c r="AF761" s="1" t="str">
        <f>""</f>
        <v/>
      </c>
      <c r="AG761" s="1" t="str">
        <f>""</f>
        <v/>
      </c>
      <c r="AH761" s="1" t="str">
        <f>""</f>
        <v/>
      </c>
      <c r="AI761" s="1" t="str">
        <f>""</f>
        <v/>
      </c>
      <c r="AJ761" s="1" t="str">
        <f>""</f>
        <v/>
      </c>
      <c r="AK761" s="1" t="str">
        <f>""</f>
        <v/>
      </c>
    </row>
    <row r="762" spans="1:37">
      <c r="A762" s="1">
        <v>300000</v>
      </c>
      <c r="B762" s="1">
        <v>961900087</v>
      </c>
      <c r="C762" s="1" t="str">
        <f>"تخليه -چهارمحال وبختياري -شهرستان اردل -ناحيه صنعتي -كارخانه آسفالت دشتاونددزپارت"</f>
        <v>تخليه -چهارمحال وبختياري -شهرستان اردل -ناحيه صنعتي -كارخانه آسفالت دشتاونددزپارت</v>
      </c>
      <c r="D762" s="1">
        <v>9204</v>
      </c>
      <c r="E762" s="1">
        <v>299400</v>
      </c>
      <c r="F762" s="1">
        <v>96</v>
      </c>
      <c r="G762" s="1">
        <v>600</v>
      </c>
      <c r="H762" s="1" t="str">
        <f>"96/05/03"</f>
        <v>96/05/03</v>
      </c>
      <c r="I762" s="1" t="str">
        <f>"كيلوگرم"</f>
        <v>كيلوگرم</v>
      </c>
      <c r="J762" s="1" t="str">
        <f>"0000000088"</f>
        <v>0000000088</v>
      </c>
      <c r="K762" s="1" t="str">
        <f>"قير  PG58-22"</f>
        <v>قير  PG58-22</v>
      </c>
      <c r="L762" s="1">
        <v>100</v>
      </c>
      <c r="M762" s="1" t="str">
        <f>"مخازن قير اصفهان"</f>
        <v>مخازن قير اصفهان</v>
      </c>
      <c r="N762" s="1">
        <v>9310</v>
      </c>
      <c r="O762" s="1">
        <v>50035369</v>
      </c>
      <c r="P762" s="1" t="str">
        <f>"  دشتاونددزپارت"</f>
        <v xml:space="preserve">  دشتاونددزپارت</v>
      </c>
      <c r="Q762" s="1">
        <v>19</v>
      </c>
      <c r="R76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762" s="1" t="str">
        <f>"قرارداد فروش"</f>
        <v>قرارداد فروش</v>
      </c>
      <c r="T762" s="1" t="str">
        <f>"ندارد"</f>
        <v>ندارد</v>
      </c>
      <c r="U762" s="1" t="str">
        <f>"قره باغي مجيد(1871065)"</f>
        <v>قره باغي مجيد(1871065)</v>
      </c>
      <c r="V762" s="1">
        <v>961900087</v>
      </c>
      <c r="W762" s="1">
        <v>961900087</v>
      </c>
      <c r="X762" s="1" t="str">
        <f>"1396499659"</f>
        <v>1396499659</v>
      </c>
      <c r="Y762" s="1" t="str">
        <f>"96/05/03"</f>
        <v>96/05/03</v>
      </c>
      <c r="Z762" s="1" t="str">
        <f>"18236/710"</f>
        <v>18236/710</v>
      </c>
      <c r="AA762" s="1" t="str">
        <f>"سازمان راهداري وحمل نقل جاده اي"</f>
        <v>سازمان راهداري وحمل نقل جاده اي</v>
      </c>
      <c r="AB762" s="1" t="str">
        <f>"96/04/21"</f>
        <v>96/04/21</v>
      </c>
      <c r="AC762" s="1" t="str">
        <f>"استان چهارمحال بختياري"</f>
        <v>استان چهارمحال بختياري</v>
      </c>
      <c r="AD762" s="1" t="str">
        <f>"96/05/03"</f>
        <v>96/05/03</v>
      </c>
      <c r="AE762" s="1" t="str">
        <f>"اختتام"</f>
        <v>اختتام</v>
      </c>
      <c r="AF762" s="1" t="str">
        <f>""</f>
        <v/>
      </c>
      <c r="AG762" s="1" t="str">
        <f>""</f>
        <v/>
      </c>
      <c r="AH762" s="1" t="str">
        <f>""</f>
        <v/>
      </c>
      <c r="AI762" s="1" t="str">
        <f>""</f>
        <v/>
      </c>
      <c r="AJ762" s="1" t="str">
        <f>""</f>
        <v/>
      </c>
      <c r="AK762" s="1" t="str">
        <f>""</f>
        <v/>
      </c>
    </row>
    <row r="763" spans="1:37">
      <c r="A763" s="1">
        <v>131213</v>
      </c>
      <c r="B763" s="1">
        <v>962000130</v>
      </c>
      <c r="C763" s="1" t="str">
        <f>"تخليه خراسان جنوبي 3كيلومتري جاده آرين شهربيرجندكارخانه آسفالت شركت آب شن راه طوس"</f>
        <v>تخليه خراسان جنوبي 3كيلومتري جاده آرين شهربيرجندكارخانه آسفالت شركت آب شن راه طوس</v>
      </c>
      <c r="D763" s="1">
        <v>9113</v>
      </c>
      <c r="E763" s="1">
        <v>131213</v>
      </c>
      <c r="F763" s="1">
        <v>96</v>
      </c>
      <c r="G763" s="1">
        <v>0</v>
      </c>
      <c r="H763" s="1" t="str">
        <f>"96/07/03"</f>
        <v>96/07/03</v>
      </c>
      <c r="I763" s="1" t="str">
        <f>"كيلوگرم"</f>
        <v>كيلوگرم</v>
      </c>
      <c r="J763" s="1" t="str">
        <f>"0000000076"</f>
        <v>0000000076</v>
      </c>
      <c r="K763" s="1" t="str">
        <f>"قير 60/70 - فله"</f>
        <v>قير 60/70 - فله</v>
      </c>
      <c r="L763" s="1">
        <v>100</v>
      </c>
      <c r="M763" s="1" t="str">
        <f>"مخازن قير اصفهان"</f>
        <v>مخازن قير اصفهان</v>
      </c>
      <c r="N763" s="1">
        <v>9656</v>
      </c>
      <c r="O763" s="1">
        <v>50036315</v>
      </c>
      <c r="P763" s="1" t="str">
        <f>"  شهرداري آرين شهر"</f>
        <v xml:space="preserve">  شهرداري آرين شهر</v>
      </c>
      <c r="Q763" s="1">
        <v>20</v>
      </c>
      <c r="R763" s="1" t="str">
        <f>"فروش داخلي - سازمان شهرداري ها و دهياري هاي كشور"</f>
        <v>فروش داخلي - سازمان شهرداري ها و دهياري هاي كشور</v>
      </c>
      <c r="S763" s="1" t="str">
        <f>"قرارداد فروش"</f>
        <v>قرارداد فروش</v>
      </c>
      <c r="T763" s="1" t="str">
        <f>"ندارد"</f>
        <v>ندارد</v>
      </c>
      <c r="U763" s="1" t="str">
        <f>"تعاوني جم گستر (1001 ج 89)"</f>
        <v>تعاوني جم گستر (1001 ج 89)</v>
      </c>
      <c r="V763" s="1">
        <v>962000130</v>
      </c>
      <c r="W763" s="1">
        <v>962000130</v>
      </c>
      <c r="X763" s="1" t="str">
        <f>"1396514467"</f>
        <v>1396514467</v>
      </c>
      <c r="Y763" s="1" t="str">
        <f>"96/07/03"</f>
        <v>96/07/03</v>
      </c>
      <c r="Z763" s="1" t="str">
        <f>"26865مرحله اول"</f>
        <v>26865مرحله اول</v>
      </c>
      <c r="AA763" s="1" t="str">
        <f>"شهرداريها"</f>
        <v>شهرداريها</v>
      </c>
      <c r="AB763" s="1" t="str">
        <f>"96/06/29"</f>
        <v>96/06/29</v>
      </c>
      <c r="AC763" s="1" t="str">
        <f>"خراسان جنوبي"</f>
        <v>خراسان جنوبي</v>
      </c>
      <c r="AD763" s="1" t="str">
        <f>"96/07/03"</f>
        <v>96/07/03</v>
      </c>
      <c r="AE763" s="1" t="str">
        <f>"اختتام"</f>
        <v>اختتام</v>
      </c>
      <c r="AF763" s="1" t="str">
        <f>""</f>
        <v/>
      </c>
      <c r="AG763" s="1" t="str">
        <f>""</f>
        <v/>
      </c>
      <c r="AH763" s="1" t="str">
        <f>""</f>
        <v/>
      </c>
      <c r="AI763" s="1" t="str">
        <f>""</f>
        <v/>
      </c>
      <c r="AJ763" s="1" t="str">
        <f>""</f>
        <v/>
      </c>
      <c r="AK763" s="1" t="str">
        <f>""</f>
        <v/>
      </c>
    </row>
    <row r="764" spans="1:37">
      <c r="A764" s="1">
        <v>63623</v>
      </c>
      <c r="B764" s="1">
        <v>962000241</v>
      </c>
      <c r="C764" s="1" t="str">
        <f>"تخليه - يزد-هرات-جاده سياهويه-کارخانه آسفالت خواجه رضايي"</f>
        <v>تخليه - يزد-هرات-جاده سياهويه-کارخانه آسفالت خواجه رضايي</v>
      </c>
      <c r="D764" s="1">
        <v>9113</v>
      </c>
      <c r="E764" s="1">
        <v>63623</v>
      </c>
      <c r="F764" s="1">
        <v>96</v>
      </c>
      <c r="G764" s="1">
        <v>0</v>
      </c>
      <c r="H764" s="1" t="str">
        <f>"96/09/07"</f>
        <v>96/09/07</v>
      </c>
      <c r="I764" s="1" t="str">
        <f>"كيلوگرم"</f>
        <v>كيلوگرم</v>
      </c>
      <c r="J764" s="1" t="str">
        <f>"0000000076"</f>
        <v>0000000076</v>
      </c>
      <c r="K764" s="1" t="str">
        <f>"قير 60/70 - فله"</f>
        <v>قير 60/70 - فله</v>
      </c>
      <c r="L764" s="1">
        <v>100</v>
      </c>
      <c r="M764" s="1" t="str">
        <f>"مخازن قير اصفهان"</f>
        <v>مخازن قير اصفهان</v>
      </c>
      <c r="N764" s="1">
        <v>9692</v>
      </c>
      <c r="O764" s="1">
        <v>50037290</v>
      </c>
      <c r="P764" s="1" t="str">
        <f>"  شهرداري مروست"</f>
        <v xml:space="preserve">  شهرداري مروست</v>
      </c>
      <c r="Q764" s="1">
        <v>20</v>
      </c>
      <c r="R764" s="1" t="str">
        <f>"فروش داخلي - سازمان شهرداري ها و دهياري هاي كشور"</f>
        <v>فروش داخلي - سازمان شهرداري ها و دهياري هاي كشور</v>
      </c>
      <c r="S764" s="1" t="str">
        <f>"قرارداد فروش"</f>
        <v>قرارداد فروش</v>
      </c>
      <c r="T764" s="1" t="str">
        <f>"ندارد"</f>
        <v>ندارد</v>
      </c>
      <c r="U764" s="1" t="str">
        <f>"تعاوني جم گستر (1001 ج 89)"</f>
        <v>تعاوني جم گستر (1001 ج 89)</v>
      </c>
      <c r="V764" s="1">
        <v>962000241</v>
      </c>
      <c r="W764" s="1">
        <v>962000241</v>
      </c>
      <c r="X764" s="1" t="str">
        <f>"1396514467"</f>
        <v>1396514467</v>
      </c>
      <c r="Y764" s="1" t="str">
        <f>"96/09/07"</f>
        <v>96/09/07</v>
      </c>
      <c r="Z764" s="1" t="str">
        <f>"36650مرحله دوم"</f>
        <v>36650مرحله دوم</v>
      </c>
      <c r="AA764" s="1" t="str">
        <f>"شهرداريها"</f>
        <v>شهرداريها</v>
      </c>
      <c r="AB764" s="1" t="str">
        <f>"96/09/01"</f>
        <v>96/09/01</v>
      </c>
      <c r="AC764" s="1" t="str">
        <f>"استان يزد"</f>
        <v>استان يزد</v>
      </c>
      <c r="AD764" s="1" t="str">
        <f>"96/07/03"</f>
        <v>96/07/03</v>
      </c>
      <c r="AE764" s="1" t="str">
        <f>"اختتام"</f>
        <v>اختتام</v>
      </c>
      <c r="AF764" s="1" t="str">
        <f>""</f>
        <v/>
      </c>
      <c r="AG764" s="1" t="str">
        <f>""</f>
        <v/>
      </c>
      <c r="AH764" s="1" t="str">
        <f>""</f>
        <v/>
      </c>
      <c r="AI764" s="1" t="str">
        <f>""</f>
        <v/>
      </c>
      <c r="AJ764" s="1" t="str">
        <f>""</f>
        <v/>
      </c>
      <c r="AK764" s="1" t="str">
        <f>""</f>
        <v/>
      </c>
    </row>
    <row r="765" spans="1:37">
      <c r="A765" s="1">
        <v>600000</v>
      </c>
      <c r="B765" s="1">
        <v>961700062</v>
      </c>
      <c r="C765" s="1" t="str">
        <f>"تخليه -سبزوار-كارخانه آسفالت رعدراه بيهق"</f>
        <v>تخليه -سبزوار-كارخانه آسفالت رعدراه بيهق</v>
      </c>
      <c r="D765" s="1">
        <v>9204</v>
      </c>
      <c r="E765" s="1">
        <v>599640</v>
      </c>
      <c r="F765" s="1">
        <v>96</v>
      </c>
      <c r="G765" s="1">
        <v>360</v>
      </c>
      <c r="H765" s="1" t="str">
        <f>"96/05/25"</f>
        <v>96/05/25</v>
      </c>
      <c r="I765" s="1" t="str">
        <f>"كيلوگرم"</f>
        <v>كيلوگرم</v>
      </c>
      <c r="J765" s="1" t="str">
        <f>"0000000091"</f>
        <v>0000000091</v>
      </c>
      <c r="K765" s="1" t="str">
        <f>"قير  PG64-22"</f>
        <v>قير  PG64-22</v>
      </c>
      <c r="L765" s="1">
        <v>100</v>
      </c>
      <c r="M765" s="1" t="str">
        <f>"مخازن قير اصفهان"</f>
        <v>مخازن قير اصفهان</v>
      </c>
      <c r="N765" s="1">
        <v>4026</v>
      </c>
      <c r="O765" s="1">
        <v>50035694</v>
      </c>
      <c r="P765" s="1" t="str">
        <f>"  اداره كل راه و شهرسازي خراسان رضوي"</f>
        <v xml:space="preserve">  اداره كل راه و شهرسازي خراسان رضوي</v>
      </c>
      <c r="Q765" s="1">
        <v>17</v>
      </c>
      <c r="R765" s="1" t="str">
        <f>"فروش داخلي تهران - وزارت راه - راه روستايي - روکش"</f>
        <v>فروش داخلي تهران - وزارت راه - راه روستايي - روکش</v>
      </c>
      <c r="S765" s="1" t="str">
        <f>"قرارداد فروش"</f>
        <v>قرارداد فروش</v>
      </c>
      <c r="T765" s="1" t="str">
        <f>"ندارد"</f>
        <v>ندارد</v>
      </c>
      <c r="U765" s="1" t="str">
        <f>"آقا علي منوچهر(1016ج89)"</f>
        <v>آقا علي منوچهر(1016ج89)</v>
      </c>
      <c r="V765" s="1">
        <v>961700062</v>
      </c>
      <c r="W765" s="1">
        <v>961700062</v>
      </c>
      <c r="X765" s="1" t="str">
        <f>"1396506146"</f>
        <v>1396506146</v>
      </c>
      <c r="Y765" s="1" t="str">
        <f>"96/05/25"</f>
        <v>96/05/25</v>
      </c>
      <c r="Z765" s="1" t="str">
        <f>"25131/710"</f>
        <v>25131/710</v>
      </c>
      <c r="AA765" s="1" t="str">
        <f>"راه روستائي -روكش"</f>
        <v>راه روستائي -روكش</v>
      </c>
      <c r="AB765" s="1" t="str">
        <f>"96/05/24"</f>
        <v>96/05/24</v>
      </c>
      <c r="AC765" s="1" t="str">
        <f>"خراسان رضوي"</f>
        <v>خراسان رضوي</v>
      </c>
      <c r="AD765" s="1" t="str">
        <f>"96/05/25"</f>
        <v>96/05/25</v>
      </c>
      <c r="AE765" s="1" t="str">
        <f>"اختتام"</f>
        <v>اختتام</v>
      </c>
      <c r="AF765" s="1" t="str">
        <f>""</f>
        <v/>
      </c>
      <c r="AG765" s="1" t="str">
        <f>""</f>
        <v/>
      </c>
      <c r="AH765" s="1" t="str">
        <f>""</f>
        <v/>
      </c>
      <c r="AI765" s="1" t="str">
        <f>""</f>
        <v/>
      </c>
      <c r="AJ765" s="1" t="str">
        <f>""</f>
        <v/>
      </c>
      <c r="AK765" s="1" t="str">
        <f>""</f>
        <v/>
      </c>
    </row>
    <row r="766" spans="1:37">
      <c r="A766" s="1">
        <v>600000</v>
      </c>
      <c r="B766" s="1">
        <v>961700063</v>
      </c>
      <c r="C766" s="1" t="str">
        <f>"تخليه - خراسان رضوي-شهرستان سبزوارکارخانه آسفالت شرکت ماژان راه بيهق"</f>
        <v>تخليه - خراسان رضوي-شهرستان سبزوارکارخانه آسفالت شرکت ماژان راه بيهق</v>
      </c>
      <c r="D766" s="1">
        <v>9363</v>
      </c>
      <c r="E766" s="1">
        <v>599060</v>
      </c>
      <c r="F766" s="1">
        <v>96</v>
      </c>
      <c r="G766" s="1">
        <v>940</v>
      </c>
      <c r="H766" s="1" t="str">
        <f>"96/05/25"</f>
        <v>96/05/25</v>
      </c>
      <c r="I766" s="1" t="str">
        <f>"كيلوگرم"</f>
        <v>كيلوگرم</v>
      </c>
      <c r="J766" s="1" t="str">
        <f>"0000000091"</f>
        <v>0000000091</v>
      </c>
      <c r="K766" s="1" t="str">
        <f>"قير  PG64-22"</f>
        <v>قير  PG64-22</v>
      </c>
      <c r="L766" s="1">
        <v>100</v>
      </c>
      <c r="M766" s="1" t="str">
        <f>"مخازن قير اصفهان"</f>
        <v>مخازن قير اصفهان</v>
      </c>
      <c r="N766" s="1">
        <v>4026</v>
      </c>
      <c r="O766" s="1">
        <v>50035697</v>
      </c>
      <c r="P766" s="1" t="str">
        <f>"  اداره كل راه و شهرسازي خراسان رضوي"</f>
        <v xml:space="preserve">  اداره كل راه و شهرسازي خراسان رضوي</v>
      </c>
      <c r="Q766" s="1">
        <v>17</v>
      </c>
      <c r="R766" s="1" t="str">
        <f>"فروش داخلي تهران - وزارت راه - راه روستايي - روکش"</f>
        <v>فروش داخلي تهران - وزارت راه - راه روستايي - روکش</v>
      </c>
      <c r="S766" s="1" t="str">
        <f>"قرارداد فروش"</f>
        <v>قرارداد فروش</v>
      </c>
      <c r="T766" s="1" t="str">
        <f>"ندارد"</f>
        <v>ندارد</v>
      </c>
      <c r="U766" s="1" t="str">
        <f>"نظام دوست امين (1911102)"</f>
        <v>نظام دوست امين (1911102)</v>
      </c>
      <c r="V766" s="1">
        <v>961700063</v>
      </c>
      <c r="W766" s="1">
        <v>961700063</v>
      </c>
      <c r="X766" s="1" t="str">
        <f>"1396506146"</f>
        <v>1396506146</v>
      </c>
      <c r="Y766" s="1" t="str">
        <f>"96/05/25"</f>
        <v>96/05/25</v>
      </c>
      <c r="Z766" s="1" t="str">
        <f>"25132/710"</f>
        <v>25132/710</v>
      </c>
      <c r="AA766" s="1" t="str">
        <f>"راه روستائي -روكش"</f>
        <v>راه روستائي -روكش</v>
      </c>
      <c r="AB766" s="1" t="str">
        <f>"96/05/24"</f>
        <v>96/05/24</v>
      </c>
      <c r="AC766" s="1" t="str">
        <f>"خراسان رضوي"</f>
        <v>خراسان رضوي</v>
      </c>
      <c r="AD766" s="1" t="str">
        <f>"96/05/25"</f>
        <v>96/05/25</v>
      </c>
      <c r="AE766" s="1" t="str">
        <f>"اختتام"</f>
        <v>اختتام</v>
      </c>
      <c r="AF766" s="1" t="str">
        <f>""</f>
        <v/>
      </c>
      <c r="AG766" s="1" t="str">
        <f>""</f>
        <v/>
      </c>
      <c r="AH766" s="1" t="str">
        <f>""</f>
        <v/>
      </c>
      <c r="AI766" s="1" t="str">
        <f>""</f>
        <v/>
      </c>
      <c r="AJ766" s="1" t="str">
        <f>""</f>
        <v/>
      </c>
      <c r="AK766" s="1" t="str">
        <f>""</f>
        <v/>
      </c>
    </row>
    <row r="767" spans="1:37">
      <c r="A767" s="1">
        <v>600000</v>
      </c>
      <c r="B767" s="1">
        <v>961800034</v>
      </c>
      <c r="C767" s="1" t="str">
        <f>"تخليه -خراسان رضوي -چناران جاده روستاي محسن آبادبعدازخان آبادكارخانه آسفالت توس راديه"</f>
        <v>تخليه -خراسان رضوي -چناران جاده روستاي محسن آبادبعدازخان آبادكارخانه آسفالت توس راديه</v>
      </c>
      <c r="D767" s="1">
        <v>9363</v>
      </c>
      <c r="E767" s="1">
        <v>595780</v>
      </c>
      <c r="F767" s="1">
        <v>96</v>
      </c>
      <c r="G767" s="1">
        <v>4220</v>
      </c>
      <c r="H767" s="1" t="str">
        <f>"96/06/19"</f>
        <v>96/06/19</v>
      </c>
      <c r="I767" s="1" t="str">
        <f>"كيلوگرم"</f>
        <v>كيلوگرم</v>
      </c>
      <c r="J767" s="1" t="str">
        <f>"0000000091"</f>
        <v>0000000091</v>
      </c>
      <c r="K767" s="1" t="str">
        <f>"قير  PG64-22"</f>
        <v>قير  PG64-22</v>
      </c>
      <c r="L767" s="1">
        <v>100</v>
      </c>
      <c r="M767" s="1" t="str">
        <f>"مخازن قير اصفهان"</f>
        <v>مخازن قير اصفهان</v>
      </c>
      <c r="N767" s="1">
        <v>4060</v>
      </c>
      <c r="O767" s="1">
        <v>50035935</v>
      </c>
      <c r="P767" s="1" t="str">
        <f>"  توس راديه"</f>
        <v xml:space="preserve">  توس راديه</v>
      </c>
      <c r="Q767" s="1">
        <v>18</v>
      </c>
      <c r="R767" s="1" t="str">
        <f>"فروش داخلي تهران - وزارت راه - شرکت ساخت و توسعه راهها"</f>
        <v>فروش داخلي تهران - وزارت راه - شرکت ساخت و توسعه راهها</v>
      </c>
      <c r="S767" s="1" t="str">
        <f>"قرارداد فروش"</f>
        <v>قرارداد فروش</v>
      </c>
      <c r="T767" s="1" t="str">
        <f>"ندارد"</f>
        <v>ندارد</v>
      </c>
      <c r="U767" s="1" t="str">
        <f>"بابامحمدي عنايت اله(4844000)"</f>
        <v>بابامحمدي عنايت اله(4844000)</v>
      </c>
      <c r="V767" s="1">
        <v>961800034</v>
      </c>
      <c r="W767" s="1">
        <v>961800034</v>
      </c>
      <c r="X767" s="1" t="str">
        <f>"1396511132"</f>
        <v>1396511132</v>
      </c>
      <c r="Y767" s="1" t="str">
        <f>"96/06/19"</f>
        <v>96/06/19</v>
      </c>
      <c r="Z767" s="1" t="str">
        <f>"29636/710"</f>
        <v>29636/710</v>
      </c>
      <c r="AA767" s="1" t="str">
        <f>"شركت  ساخت وتوسعه راهها"</f>
        <v>شركت  ساخت وتوسعه راهها</v>
      </c>
      <c r="AB767" s="1" t="str">
        <f>"96/06/15"</f>
        <v>96/06/15</v>
      </c>
      <c r="AC767" s="1" t="str">
        <f>"خراسان رضوي"</f>
        <v>خراسان رضوي</v>
      </c>
      <c r="AD767" s="1" t="str">
        <f>"96/06/19"</f>
        <v>96/06/19</v>
      </c>
      <c r="AE767" s="1" t="str">
        <f>"اختتام"</f>
        <v>اختتام</v>
      </c>
      <c r="AF767" s="1" t="str">
        <f>""</f>
        <v/>
      </c>
      <c r="AG767" s="1" t="str">
        <f>""</f>
        <v/>
      </c>
      <c r="AH767" s="1" t="str">
        <f>""</f>
        <v/>
      </c>
      <c r="AI767" s="1" t="str">
        <f>""</f>
        <v/>
      </c>
      <c r="AJ767" s="1" t="str">
        <f>""</f>
        <v/>
      </c>
      <c r="AK767" s="1" t="str">
        <f>""</f>
        <v/>
      </c>
    </row>
    <row r="768" spans="1:37">
      <c r="A768" s="1">
        <v>132167</v>
      </c>
      <c r="B768" s="1">
        <v>962000107</v>
      </c>
      <c r="C768" s="1" t="str">
        <f>"تخليه بوشهربزرگراه سيراف نرسيده به شهرخورموج كارخانه آسفالت راهگشايان دشتي"</f>
        <v>تخليه بوشهربزرگراه سيراف نرسيده به شهرخورموج كارخانه آسفالت راهگشايان دشتي</v>
      </c>
      <c r="D768" s="1">
        <v>9113</v>
      </c>
      <c r="E768" s="1">
        <v>132167</v>
      </c>
      <c r="F768" s="1">
        <v>96</v>
      </c>
      <c r="G768" s="1">
        <v>0</v>
      </c>
      <c r="H768" s="1" t="str">
        <f>"96/07/03"</f>
        <v>96/07/03</v>
      </c>
      <c r="I768" s="1" t="str">
        <f>"كيلوگرم"</f>
        <v>كيلوگرم</v>
      </c>
      <c r="J768" s="1" t="str">
        <f>"0000000076"</f>
        <v>0000000076</v>
      </c>
      <c r="K768" s="1" t="str">
        <f>"قير 60/70 - فله"</f>
        <v>قير 60/70 - فله</v>
      </c>
      <c r="L768" s="1">
        <v>100</v>
      </c>
      <c r="M768" s="1" t="str">
        <f>"مخازن قير اصفهان"</f>
        <v>مخازن قير اصفهان</v>
      </c>
      <c r="N768" s="1">
        <v>9778</v>
      </c>
      <c r="O768" s="1">
        <v>50036264</v>
      </c>
      <c r="P768" s="1" t="str">
        <f>"  شهرداري بنك"</f>
        <v xml:space="preserve">  شهرداري بنك</v>
      </c>
      <c r="Q768" s="1">
        <v>20</v>
      </c>
      <c r="R768" s="1" t="str">
        <f>"فروش داخلي - سازمان شهرداري ها و دهياري هاي كشور"</f>
        <v>فروش داخلي - سازمان شهرداري ها و دهياري هاي كشور</v>
      </c>
      <c r="S768" s="1" t="str">
        <f>"قرارداد فروش"</f>
        <v>قرارداد فروش</v>
      </c>
      <c r="T768" s="1" t="str">
        <f>"ندارد"</f>
        <v>ندارد</v>
      </c>
      <c r="U768" s="1" t="str">
        <f>"تعاوني جم گستر (1001 ج 89)"</f>
        <v>تعاوني جم گستر (1001 ج 89)</v>
      </c>
      <c r="V768" s="1">
        <v>962000107</v>
      </c>
      <c r="W768" s="1">
        <v>962000107</v>
      </c>
      <c r="X768" s="1" t="str">
        <f>"1396514467"</f>
        <v>1396514467</v>
      </c>
      <c r="Y768" s="1" t="str">
        <f>"96/07/03"</f>
        <v>96/07/03</v>
      </c>
      <c r="Z768" s="1" t="str">
        <f>"26851مرحله اول"</f>
        <v>26851مرحله اول</v>
      </c>
      <c r="AA768" s="1" t="str">
        <f>"شهرداريها"</f>
        <v>شهرداريها</v>
      </c>
      <c r="AB768" s="1" t="str">
        <f>"96/06/29"</f>
        <v>96/06/29</v>
      </c>
      <c r="AC768" s="1" t="str">
        <f>"بوشهر"</f>
        <v>بوشهر</v>
      </c>
      <c r="AD768" s="1" t="str">
        <f>"96/07/03"</f>
        <v>96/07/03</v>
      </c>
      <c r="AE768" s="1" t="str">
        <f>"تاييدشده"</f>
        <v>تاييدشده</v>
      </c>
      <c r="AF768" s="1" t="str">
        <f>""</f>
        <v/>
      </c>
      <c r="AG768" s="1" t="str">
        <f>""</f>
        <v/>
      </c>
      <c r="AH768" s="1" t="str">
        <f>""</f>
        <v/>
      </c>
      <c r="AI768" s="1" t="str">
        <f>""</f>
        <v/>
      </c>
      <c r="AJ768" s="1" t="str">
        <f>""</f>
        <v/>
      </c>
      <c r="AK768" s="1" t="str">
        <f>""</f>
        <v/>
      </c>
    </row>
    <row r="769" spans="1:37">
      <c r="A769" s="1">
        <v>127095</v>
      </c>
      <c r="B769" s="1">
        <v>962000195</v>
      </c>
      <c r="C769" s="1" t="str">
        <f>"تخليه خراسان رضوي كيلومتر10جاده تايبادكارخانه آسفالت استحكام انديش طوس"</f>
        <v>تخليه خراسان رضوي كيلومتر10جاده تايبادكارخانه آسفالت استحكام انديش طوس</v>
      </c>
      <c r="D769" s="1">
        <v>9113</v>
      </c>
      <c r="E769" s="1">
        <v>127095</v>
      </c>
      <c r="F769" s="1">
        <v>96</v>
      </c>
      <c r="G769" s="1">
        <v>0</v>
      </c>
      <c r="H769" s="1" t="str">
        <f>"96/07/03"</f>
        <v>96/07/03</v>
      </c>
      <c r="I769" s="1" t="str">
        <f>"كيلوگرم"</f>
        <v>كيلوگرم</v>
      </c>
      <c r="J769" s="1" t="str">
        <f>"0000000076"</f>
        <v>0000000076</v>
      </c>
      <c r="K769" s="1" t="str">
        <f>"قير 60/70 - فله"</f>
        <v>قير 60/70 - فله</v>
      </c>
      <c r="L769" s="1">
        <v>100</v>
      </c>
      <c r="M769" s="1" t="str">
        <f>"مخازن قير اصفهان"</f>
        <v>مخازن قير اصفهان</v>
      </c>
      <c r="N769" s="1">
        <v>9801</v>
      </c>
      <c r="O769" s="1">
        <v>50036406</v>
      </c>
      <c r="P769" s="1" t="str">
        <f>"  شهرداري نيل شهر"</f>
        <v xml:space="preserve">  شهرداري نيل شهر</v>
      </c>
      <c r="Q769" s="1">
        <v>20</v>
      </c>
      <c r="R769" s="1" t="str">
        <f>"فروش داخلي - سازمان شهرداري ها و دهياري هاي كشور"</f>
        <v>فروش داخلي - سازمان شهرداري ها و دهياري هاي كشور</v>
      </c>
      <c r="S769" s="1" t="str">
        <f>"قرارداد فروش"</f>
        <v>قرارداد فروش</v>
      </c>
      <c r="T769" s="1" t="str">
        <f>"ندارد"</f>
        <v>ندارد</v>
      </c>
      <c r="U769" s="1" t="str">
        <f>"تعاوني جم گستر (1001 ج 89)"</f>
        <v>تعاوني جم گستر (1001 ج 89)</v>
      </c>
      <c r="V769" s="1">
        <v>962000195</v>
      </c>
      <c r="W769" s="1">
        <v>962000195</v>
      </c>
      <c r="X769" s="1" t="str">
        <f>"1396514467"</f>
        <v>1396514467</v>
      </c>
      <c r="Y769" s="1" t="str">
        <f>"96/07/03"</f>
        <v>96/07/03</v>
      </c>
      <c r="Z769" s="1" t="str">
        <f>"26666مرحله اول"</f>
        <v>26666مرحله اول</v>
      </c>
      <c r="AA769" s="1" t="str">
        <f>"شهرداريها"</f>
        <v>شهرداريها</v>
      </c>
      <c r="AB769" s="1" t="str">
        <f>"96/06/29"</f>
        <v>96/06/29</v>
      </c>
      <c r="AC769" s="1" t="str">
        <f>"خراسان رضوي"</f>
        <v>خراسان رضوي</v>
      </c>
      <c r="AD769" s="1" t="str">
        <f>"96/07/03"</f>
        <v>96/07/03</v>
      </c>
      <c r="AE769" s="1" t="str">
        <f>"اختتام"</f>
        <v>اختتام</v>
      </c>
      <c r="AF769" s="1" t="str">
        <f>""</f>
        <v/>
      </c>
      <c r="AG769" s="1" t="str">
        <f>""</f>
        <v/>
      </c>
      <c r="AH769" s="1" t="str">
        <f>""</f>
        <v/>
      </c>
      <c r="AI769" s="1" t="str">
        <f>""</f>
        <v/>
      </c>
      <c r="AJ769" s="1" t="str">
        <f>""</f>
        <v/>
      </c>
      <c r="AK769" s="1" t="str">
        <f>""</f>
        <v/>
      </c>
    </row>
    <row r="770" spans="1:37">
      <c r="A770" s="1">
        <v>60000</v>
      </c>
      <c r="B770" s="1">
        <v>961700013</v>
      </c>
      <c r="C770" s="1" t="str">
        <f>"تخليه -كرمان كيلومتر13محورسيريزكارخانه مهدي ميرمحمدي"</f>
        <v>تخليه -كرمان كيلومتر13محورسيريزكارخانه مهدي ميرمحمدي</v>
      </c>
      <c r="D770" s="1">
        <v>9354</v>
      </c>
      <c r="E770" s="1">
        <v>59800</v>
      </c>
      <c r="F770" s="1">
        <v>96</v>
      </c>
      <c r="G770" s="1">
        <v>200</v>
      </c>
      <c r="H770" s="1" t="str">
        <f>"96/02/19"</f>
        <v>96/02/19</v>
      </c>
      <c r="I770" s="1" t="str">
        <f>"كيلوگرم"</f>
        <v>كيلوگرم</v>
      </c>
      <c r="J770" s="1" t="str">
        <f>"0000000091"</f>
        <v>0000000091</v>
      </c>
      <c r="K770" s="1" t="str">
        <f>"قير  PG64-22"</f>
        <v>قير  PG64-22</v>
      </c>
      <c r="L770" s="1">
        <v>100</v>
      </c>
      <c r="M770" s="1" t="str">
        <f>"مخازن قير اصفهان"</f>
        <v>مخازن قير اصفهان</v>
      </c>
      <c r="N770" s="1">
        <v>7034</v>
      </c>
      <c r="O770" s="1">
        <v>50034802</v>
      </c>
      <c r="P770" s="1" t="str">
        <f>"  اداره كل راه وشهرسازي كرمان"</f>
        <v xml:space="preserve">  اداره كل راه وشهرسازي كرمان</v>
      </c>
      <c r="Q770" s="1">
        <v>17</v>
      </c>
      <c r="R770" s="1" t="str">
        <f>"فروش داخلي تهران - وزارت راه - راه روستايي - روکش"</f>
        <v>فروش داخلي تهران - وزارت راه - راه روستايي - روکش</v>
      </c>
      <c r="S770" s="1" t="str">
        <f>"قرارداد فروش"</f>
        <v>قرارداد فروش</v>
      </c>
      <c r="T770" s="1" t="str">
        <f>"ندارد"</f>
        <v>ندارد</v>
      </c>
      <c r="U770" s="1" t="str">
        <f>"عزيزي صفر(1006ج 89)"</f>
        <v>عزيزي صفر(1006ج 89)</v>
      </c>
      <c r="V770" s="1">
        <v>961700013</v>
      </c>
      <c r="W770" s="1">
        <v>961700013</v>
      </c>
      <c r="X770" s="1" t="str">
        <f>"1396479489"</f>
        <v>1396479489</v>
      </c>
      <c r="Y770" s="1" t="str">
        <f>"96/02/19"</f>
        <v>96/02/19</v>
      </c>
      <c r="Z770" s="1" t="str">
        <f>"67378/710"</f>
        <v>67378/710</v>
      </c>
      <c r="AA770" s="1" t="str">
        <f>"راه روستائي -روكش"</f>
        <v>راه روستائي -روكش</v>
      </c>
      <c r="AB770" s="1" t="str">
        <f>"95/12/28"</f>
        <v>95/12/28</v>
      </c>
      <c r="AC770" s="1" t="str">
        <f>"خراسان رضوي"</f>
        <v>خراسان رضوي</v>
      </c>
      <c r="AD770" s="1" t="str">
        <f>"96/02/19"</f>
        <v>96/02/19</v>
      </c>
      <c r="AE770" s="1" t="str">
        <f>"اختتام"</f>
        <v>اختتام</v>
      </c>
      <c r="AF770" s="1" t="str">
        <f>""</f>
        <v/>
      </c>
      <c r="AG770" s="1" t="str">
        <f>""</f>
        <v/>
      </c>
      <c r="AH770" s="1" t="str">
        <f>""</f>
        <v/>
      </c>
      <c r="AI770" s="1" t="str">
        <f>""</f>
        <v/>
      </c>
      <c r="AJ770" s="1" t="str">
        <f>""</f>
        <v/>
      </c>
      <c r="AK770" s="1" t="str">
        <f>""</f>
        <v/>
      </c>
    </row>
    <row r="771" spans="1:37">
      <c r="A771" s="1">
        <v>224000</v>
      </c>
      <c r="B771" s="1">
        <v>961700147</v>
      </c>
      <c r="C771" s="1" t="str">
        <f>"تخليه كرمان كيلومتر15جاده كرمان زرندكارخانه آسفالت گستران زنگلان"</f>
        <v>تخليه كرمان كيلومتر15جاده كرمان زرندكارخانه آسفالت گستران زنگلان</v>
      </c>
      <c r="D771" s="1">
        <v>13600</v>
      </c>
      <c r="E771" s="1">
        <v>223780</v>
      </c>
      <c r="F771" s="1">
        <v>96</v>
      </c>
      <c r="G771" s="1">
        <v>220</v>
      </c>
      <c r="H771" s="1" t="str">
        <f>"96/08/06"</f>
        <v>96/08/06</v>
      </c>
      <c r="I771" s="1" t="str">
        <f>"كيلوگرم"</f>
        <v>كيلوگرم</v>
      </c>
      <c r="J771" s="1" t="str">
        <f>"0000000091"</f>
        <v>0000000091</v>
      </c>
      <c r="K771" s="1" t="str">
        <f>"قير  PG64-22"</f>
        <v>قير  PG64-22</v>
      </c>
      <c r="L771" s="1">
        <v>100</v>
      </c>
      <c r="M771" s="1" t="str">
        <f>"مخازن قير اصفهان"</f>
        <v>مخازن قير اصفهان</v>
      </c>
      <c r="N771" s="1">
        <v>7034</v>
      </c>
      <c r="O771" s="1">
        <v>50037100</v>
      </c>
      <c r="P771" s="1" t="str">
        <f>"  اداره كل راه وشهرسازي كرمان"</f>
        <v xml:space="preserve">  اداره كل راه وشهرسازي كرمان</v>
      </c>
      <c r="Q771" s="1">
        <v>17</v>
      </c>
      <c r="R771" s="1" t="str">
        <f>"فروش داخلي تهران - وزارت راه - راه روستايي - روکش"</f>
        <v>فروش داخلي تهران - وزارت راه - راه روستايي - روکش</v>
      </c>
      <c r="S771" s="1" t="str">
        <f>"قرارداد فروش"</f>
        <v>قرارداد فروش</v>
      </c>
      <c r="T771" s="1" t="str">
        <f>"ندارد"</f>
        <v>ندارد</v>
      </c>
      <c r="U771" s="1" t="str">
        <f>"دهقانيان بيژن (4954038)"</f>
        <v>دهقانيان بيژن (4954038)</v>
      </c>
      <c r="V771" s="1">
        <v>961700147</v>
      </c>
      <c r="W771" s="1">
        <v>961700147</v>
      </c>
      <c r="X771" s="1" t="str">
        <f>"1396521773"</f>
        <v>1396521773</v>
      </c>
      <c r="Y771" s="1" t="str">
        <f>"96/08/06"</f>
        <v>96/08/06</v>
      </c>
      <c r="Z771" s="1" t="str">
        <f>"38460/710"</f>
        <v>38460/710</v>
      </c>
      <c r="AA771" s="1" t="str">
        <f>"راه روستائي -روكش"</f>
        <v>راه روستائي -روكش</v>
      </c>
      <c r="AB771" s="1" t="str">
        <f>"96/08/02"</f>
        <v>96/08/02</v>
      </c>
      <c r="AC771" s="1" t="str">
        <f>"استان كرمان"</f>
        <v>استان كرمان</v>
      </c>
      <c r="AD771" s="1" t="str">
        <f>"96/08/06"</f>
        <v>96/08/06</v>
      </c>
      <c r="AE771" s="1" t="str">
        <f>"اختتام"</f>
        <v>اختتام</v>
      </c>
      <c r="AF771" s="1" t="str">
        <f>""</f>
        <v/>
      </c>
      <c r="AG771" s="1" t="str">
        <f>""</f>
        <v/>
      </c>
      <c r="AH771" s="1" t="str">
        <f>""</f>
        <v/>
      </c>
      <c r="AI771" s="1" t="str">
        <f>""</f>
        <v/>
      </c>
      <c r="AJ771" s="1" t="str">
        <f>""</f>
        <v/>
      </c>
      <c r="AK771" s="1" t="str">
        <f>""</f>
        <v/>
      </c>
    </row>
    <row r="772" spans="1:37">
      <c r="A772" s="1">
        <v>200000</v>
      </c>
      <c r="B772" s="1">
        <v>961700177</v>
      </c>
      <c r="C772" s="1" t="str">
        <f>"تخليه- کيلومتر 5محور رابر-جيرفت کارخانه شهرداري رابر"</f>
        <v>تخليه- کيلومتر 5محور رابر-جيرفت کارخانه شهرداري رابر</v>
      </c>
      <c r="D772" s="1">
        <v>16350</v>
      </c>
      <c r="E772" s="1">
        <v>200000</v>
      </c>
      <c r="F772" s="1">
        <v>96</v>
      </c>
      <c r="G772" s="1">
        <v>0</v>
      </c>
      <c r="H772" s="1" t="str">
        <f>"96/12/20"</f>
        <v>96/12/20</v>
      </c>
      <c r="I772" s="1" t="str">
        <f>"كيلوگرم"</f>
        <v>كيلوگرم</v>
      </c>
      <c r="J772" s="1" t="str">
        <f>"0000000091"</f>
        <v>0000000091</v>
      </c>
      <c r="K772" s="1" t="str">
        <f>"قير  PG64-22"</f>
        <v>قير  PG64-22</v>
      </c>
      <c r="L772" s="1">
        <v>100</v>
      </c>
      <c r="M772" s="1" t="str">
        <f>"مخازن قير اصفهان"</f>
        <v>مخازن قير اصفهان</v>
      </c>
      <c r="N772" s="1">
        <v>7034</v>
      </c>
      <c r="O772" s="1">
        <v>50038886</v>
      </c>
      <c r="P772" s="1" t="str">
        <f>"  اداره كل راه وشهرسازي كرمان"</f>
        <v xml:space="preserve">  اداره كل راه وشهرسازي كرمان</v>
      </c>
      <c r="Q772" s="1">
        <v>17</v>
      </c>
      <c r="R772" s="1" t="str">
        <f>"فروش داخلي تهران - وزارت راه - راه روستايي - روکش"</f>
        <v>فروش داخلي تهران - وزارت راه - راه روستايي - روکش</v>
      </c>
      <c r="S772" s="1" t="str">
        <f>"قرارداد فروش"</f>
        <v>قرارداد فروش</v>
      </c>
      <c r="T772" s="1" t="str">
        <f>"ندارد"</f>
        <v>ندارد</v>
      </c>
      <c r="U772" s="1" t="str">
        <f>"پورباقري حسين(4844001)"</f>
        <v>پورباقري حسين(4844001)</v>
      </c>
      <c r="V772" s="1">
        <v>961700177</v>
      </c>
      <c r="W772" s="1">
        <v>961700177</v>
      </c>
      <c r="X772" s="1" t="str">
        <f>"1396553916"</f>
        <v>1396553916</v>
      </c>
      <c r="Y772" s="1" t="str">
        <f>"96/12/20"</f>
        <v>96/12/20</v>
      </c>
      <c r="Z772" s="1" t="str">
        <f>"55750/710"</f>
        <v>55750/710</v>
      </c>
      <c r="AA772" s="1" t="str">
        <f>"راه روستائي -روكش"</f>
        <v>راه روستائي -روكش</v>
      </c>
      <c r="AB772" s="1" t="str">
        <f>"96/10/26"</f>
        <v>96/10/26</v>
      </c>
      <c r="AC772" s="1" t="str">
        <f>"استان كرمان"</f>
        <v>استان كرمان</v>
      </c>
      <c r="AD772" s="1" t="str">
        <f>"96/12/20"</f>
        <v>96/12/20</v>
      </c>
      <c r="AE772" s="1" t="str">
        <f>"اختتام"</f>
        <v>اختتام</v>
      </c>
      <c r="AF772" s="1" t="str">
        <f>""</f>
        <v/>
      </c>
      <c r="AG772" s="1" t="str">
        <f>""</f>
        <v/>
      </c>
      <c r="AH772" s="1" t="str">
        <f>""</f>
        <v/>
      </c>
      <c r="AI772" s="1" t="str">
        <f>""</f>
        <v/>
      </c>
      <c r="AJ772" s="1" t="str">
        <f>""</f>
        <v/>
      </c>
      <c r="AK772" s="1" t="str">
        <f>""</f>
        <v/>
      </c>
    </row>
    <row r="773" spans="1:37">
      <c r="A773" s="1">
        <v>200000</v>
      </c>
      <c r="B773" s="1">
        <v>961700178</v>
      </c>
      <c r="C773" s="1" t="str">
        <f>"تخليه- کيلومتر 5محور رابر-جيرفت کارخانه شهرداري رابر"</f>
        <v>تخليه- کيلومتر 5محور رابر-جيرفت کارخانه شهرداري رابر</v>
      </c>
      <c r="D773" s="1">
        <v>16350</v>
      </c>
      <c r="E773" s="1">
        <v>191400</v>
      </c>
      <c r="F773" s="1">
        <v>96</v>
      </c>
      <c r="G773" s="1">
        <v>8600</v>
      </c>
      <c r="H773" s="1" t="str">
        <f>"96/12/20"</f>
        <v>96/12/20</v>
      </c>
      <c r="I773" s="1" t="str">
        <f>"كيلوگرم"</f>
        <v>كيلوگرم</v>
      </c>
      <c r="J773" s="1" t="str">
        <f>"0000000091"</f>
        <v>0000000091</v>
      </c>
      <c r="K773" s="1" t="str">
        <f>"قير  PG64-22"</f>
        <v>قير  PG64-22</v>
      </c>
      <c r="L773" s="1">
        <v>100</v>
      </c>
      <c r="M773" s="1" t="str">
        <f>"مخازن قير اصفهان"</f>
        <v>مخازن قير اصفهان</v>
      </c>
      <c r="N773" s="1">
        <v>7034</v>
      </c>
      <c r="O773" s="1">
        <v>50038887</v>
      </c>
      <c r="P773" s="1" t="str">
        <f>"  اداره كل راه وشهرسازي كرمان"</f>
        <v xml:space="preserve">  اداره كل راه وشهرسازي كرمان</v>
      </c>
      <c r="Q773" s="1">
        <v>17</v>
      </c>
      <c r="R773" s="1" t="str">
        <f>"فروش داخلي تهران - وزارت راه - راه روستايي - روکش"</f>
        <v>فروش داخلي تهران - وزارت راه - راه روستايي - روکش</v>
      </c>
      <c r="S773" s="1" t="str">
        <f>"قرارداد فروش"</f>
        <v>قرارداد فروش</v>
      </c>
      <c r="T773" s="1" t="str">
        <f>"ندارد"</f>
        <v>ندارد</v>
      </c>
      <c r="U773" s="1" t="str">
        <f>"پورباقري حسين(4844001)"</f>
        <v>پورباقري حسين(4844001)</v>
      </c>
      <c r="V773" s="1">
        <v>961700178</v>
      </c>
      <c r="W773" s="1">
        <v>961700178</v>
      </c>
      <c r="X773" s="1" t="str">
        <f>"1396553916"</f>
        <v>1396553916</v>
      </c>
      <c r="Y773" s="1" t="str">
        <f>"96/12/20"</f>
        <v>96/12/20</v>
      </c>
      <c r="Z773" s="1" t="str">
        <f>"55748/710"</f>
        <v>55748/710</v>
      </c>
      <c r="AA773" s="1" t="str">
        <f>"راه روستائي -روكش"</f>
        <v>راه روستائي -روكش</v>
      </c>
      <c r="AB773" s="1" t="str">
        <f>"96/10/26"</f>
        <v>96/10/26</v>
      </c>
      <c r="AC773" s="1" t="str">
        <f>"استان كرمان"</f>
        <v>استان كرمان</v>
      </c>
      <c r="AD773" s="1" t="str">
        <f>"96/12/20"</f>
        <v>96/12/20</v>
      </c>
      <c r="AE773" s="1" t="str">
        <f>"اختتام"</f>
        <v>اختتام</v>
      </c>
      <c r="AF773" s="1" t="str">
        <f>""</f>
        <v/>
      </c>
      <c r="AG773" s="1" t="str">
        <f>""</f>
        <v/>
      </c>
      <c r="AH773" s="1" t="str">
        <f>""</f>
        <v/>
      </c>
      <c r="AI773" s="1" t="str">
        <f>""</f>
        <v/>
      </c>
      <c r="AJ773" s="1" t="str">
        <f>""</f>
        <v/>
      </c>
      <c r="AK773" s="1" t="str">
        <f>""</f>
        <v/>
      </c>
    </row>
    <row r="774" spans="1:37">
      <c r="A774" s="1">
        <v>1000000</v>
      </c>
      <c r="B774" s="1">
        <v>961800042</v>
      </c>
      <c r="C774" s="1" t="str">
        <f>"تخليه -چهارمحال بختياري -جاده شهركرد-اصفهان -جنب تونل گردنه رخ -زرين استحكام"</f>
        <v>تخليه -چهارمحال بختياري -جاده شهركرد-اصفهان -جنب تونل گردنه رخ -زرين استحكام</v>
      </c>
      <c r="D774" s="1">
        <v>9363</v>
      </c>
      <c r="E774" s="1">
        <v>999520</v>
      </c>
      <c r="F774" s="1">
        <v>96</v>
      </c>
      <c r="G774" s="1">
        <v>480</v>
      </c>
      <c r="H774" s="1" t="str">
        <f>"96/06/25"</f>
        <v>96/06/25</v>
      </c>
      <c r="I774" s="1" t="str">
        <f>"كيلوگرم"</f>
        <v>كيلوگرم</v>
      </c>
      <c r="J774" s="1" t="str">
        <f>"0000000088"</f>
        <v>0000000088</v>
      </c>
      <c r="K774" s="1" t="str">
        <f>"قير  PG58-22"</f>
        <v>قير  PG58-22</v>
      </c>
      <c r="L774" s="1">
        <v>100</v>
      </c>
      <c r="M774" s="1" t="str">
        <f>"مخازن قير اصفهان"</f>
        <v>مخازن قير اصفهان</v>
      </c>
      <c r="N774" s="1">
        <v>1351</v>
      </c>
      <c r="O774" s="1">
        <v>50036048</v>
      </c>
      <c r="P774" s="1" t="str">
        <f>"  زرين استحكام"</f>
        <v xml:space="preserve">  زرين استحكام</v>
      </c>
      <c r="Q774" s="1">
        <v>18</v>
      </c>
      <c r="R774" s="1" t="str">
        <f>"فروش داخلي تهران - وزارت راه - شرکت ساخت و توسعه راهها"</f>
        <v>فروش داخلي تهران - وزارت راه - شرکت ساخت و توسعه راهها</v>
      </c>
      <c r="S774" s="1" t="str">
        <f>"قرارداد فروش"</f>
        <v>قرارداد فروش</v>
      </c>
      <c r="T774" s="1" t="str">
        <f>"ندارد"</f>
        <v>ندارد</v>
      </c>
      <c r="U774" s="1" t="str">
        <f>"مظلوم فريبرز(1008ج89)"</f>
        <v>مظلوم فريبرز(1008ج89)</v>
      </c>
      <c r="V774" s="1">
        <v>961800042</v>
      </c>
      <c r="W774" s="1">
        <v>961800042</v>
      </c>
      <c r="X774" s="1" t="str">
        <f>"1396512671"</f>
        <v>1396512671</v>
      </c>
      <c r="Y774" s="1" t="str">
        <f>"96/06/25"</f>
        <v>96/06/25</v>
      </c>
      <c r="Z774" s="1" t="str">
        <f>"30793/710"</f>
        <v>30793/710</v>
      </c>
      <c r="AA774" s="1" t="str">
        <f>"شركت  ساخت وتوسعه راهها"</f>
        <v>شركت  ساخت وتوسعه راهها</v>
      </c>
      <c r="AB774" s="1" t="str">
        <f>"96/06/22"</f>
        <v>96/06/22</v>
      </c>
      <c r="AC774" s="1" t="str">
        <f>"استان چهارمحال بختياري"</f>
        <v>استان چهارمحال بختياري</v>
      </c>
      <c r="AD774" s="1" t="str">
        <f>"96/06/25"</f>
        <v>96/06/25</v>
      </c>
      <c r="AE774" s="1" t="str">
        <f>"اختتام"</f>
        <v>اختتام</v>
      </c>
      <c r="AF774" s="1" t="str">
        <f>""</f>
        <v/>
      </c>
      <c r="AG774" s="1" t="str">
        <f>""</f>
        <v/>
      </c>
      <c r="AH774" s="1" t="str">
        <f>""</f>
        <v/>
      </c>
      <c r="AI774" s="1" t="str">
        <f>""</f>
        <v/>
      </c>
      <c r="AJ774" s="1" t="str">
        <f>""</f>
        <v/>
      </c>
      <c r="AK774" s="1" t="str">
        <f>""</f>
        <v/>
      </c>
    </row>
    <row r="775" spans="1:37">
      <c r="A775" s="1">
        <v>350000</v>
      </c>
      <c r="B775" s="1">
        <v>961900080</v>
      </c>
      <c r="C775" s="1" t="str">
        <f>"تخليه -شهرکرد - هفشجان - سيرک و نوآباد - کارخانه آسفالت"</f>
        <v>تخليه -شهرکرد - هفشجان - سيرک و نوآباد - کارخانه آسفالت</v>
      </c>
      <c r="D775" s="1">
        <v>8904</v>
      </c>
      <c r="E775" s="1">
        <v>349280</v>
      </c>
      <c r="F775" s="1">
        <v>96</v>
      </c>
      <c r="G775" s="1">
        <v>720</v>
      </c>
      <c r="H775" s="1" t="str">
        <f>"96/04/25"</f>
        <v>96/04/25</v>
      </c>
      <c r="I775" s="1" t="str">
        <f>"كيلوگرم"</f>
        <v>كيلوگرم</v>
      </c>
      <c r="J775" s="1" t="str">
        <f>"0000000088"</f>
        <v>0000000088</v>
      </c>
      <c r="K775" s="1" t="str">
        <f>"قير  PG58-22"</f>
        <v>قير  PG58-22</v>
      </c>
      <c r="L775" s="1">
        <v>100</v>
      </c>
      <c r="M775" s="1" t="str">
        <f>"مخازن قير اصفهان"</f>
        <v>مخازن قير اصفهان</v>
      </c>
      <c r="N775" s="1">
        <v>7143</v>
      </c>
      <c r="O775" s="1">
        <v>50035214</v>
      </c>
      <c r="P775" s="1" t="str">
        <f>"  سازمان همياري شهرداريهاي چهارمحال بختياري"</f>
        <v xml:space="preserve">  سازمان همياري شهرداريهاي چهارمحال بختياري</v>
      </c>
      <c r="Q775" s="1">
        <v>19</v>
      </c>
      <c r="R77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775" s="1" t="str">
        <f>"قرارداد فروش"</f>
        <v>قرارداد فروش</v>
      </c>
      <c r="T775" s="1" t="str">
        <f>"ندارد"</f>
        <v>ندارد</v>
      </c>
      <c r="U775" s="1" t="str">
        <f>"قره باغي مجيد(1871065)"</f>
        <v>قره باغي مجيد(1871065)</v>
      </c>
      <c r="V775" s="1">
        <v>961900080</v>
      </c>
      <c r="W775" s="1">
        <v>961900080</v>
      </c>
      <c r="X775" s="1" t="str">
        <f>"1396496981"</f>
        <v>1396496981</v>
      </c>
      <c r="Y775" s="1" t="str">
        <f>"96/04/25"</f>
        <v>96/04/25</v>
      </c>
      <c r="Z775" s="1" t="str">
        <f>"18230/710"</f>
        <v>18230/710</v>
      </c>
      <c r="AA775" s="1" t="str">
        <f>"سازمان راهداري وحمل نقل جاده اي"</f>
        <v>سازمان راهداري وحمل نقل جاده اي</v>
      </c>
      <c r="AB775" s="1" t="str">
        <f>"96/04/21"</f>
        <v>96/04/21</v>
      </c>
      <c r="AC775" s="1" t="str">
        <f>"استان چهارمحال بختياري"</f>
        <v>استان چهارمحال بختياري</v>
      </c>
      <c r="AD775" s="1" t="str">
        <f>"96/04/25"</f>
        <v>96/04/25</v>
      </c>
      <c r="AE775" s="1" t="str">
        <f>"اختتام"</f>
        <v>اختتام</v>
      </c>
      <c r="AF775" s="1" t="str">
        <f>""</f>
        <v/>
      </c>
      <c r="AG775" s="1" t="str">
        <f>""</f>
        <v/>
      </c>
      <c r="AH775" s="1" t="str">
        <f>""</f>
        <v/>
      </c>
      <c r="AI775" s="1" t="str">
        <f>""</f>
        <v/>
      </c>
      <c r="AJ775" s="1" t="str">
        <f>""</f>
        <v/>
      </c>
      <c r="AK775" s="1" t="str">
        <f>""</f>
        <v/>
      </c>
    </row>
    <row r="776" spans="1:37">
      <c r="A776" s="1">
        <v>500000</v>
      </c>
      <c r="B776" s="1">
        <v>961600009</v>
      </c>
      <c r="C776" s="1" t="str">
        <f>"تخليه -يزد-بافق كارخانه آسفالت سازمان همياري شهرداريهاي يزد"</f>
        <v>تخليه -يزد-بافق كارخانه آسفالت سازمان همياري شهرداريهاي يزد</v>
      </c>
      <c r="D776" s="1">
        <v>9204</v>
      </c>
      <c r="E776" s="1">
        <v>498860</v>
      </c>
      <c r="F776" s="1">
        <v>96</v>
      </c>
      <c r="G776" s="1">
        <v>1140</v>
      </c>
      <c r="H776" s="1" t="str">
        <f>"96/05/21"</f>
        <v>96/05/21</v>
      </c>
      <c r="I776" s="1" t="str">
        <f>"كيلوگرم"</f>
        <v>كيلوگرم</v>
      </c>
      <c r="J776" s="1" t="str">
        <f>"0000000091"</f>
        <v>0000000091</v>
      </c>
      <c r="K776" s="1" t="str">
        <f>"قير  PG64-22"</f>
        <v>قير  PG64-22</v>
      </c>
      <c r="L776" s="1">
        <v>100</v>
      </c>
      <c r="M776" s="1" t="str">
        <f>"مخازن قير اصفهان"</f>
        <v>مخازن قير اصفهان</v>
      </c>
      <c r="N776" s="1">
        <v>7035</v>
      </c>
      <c r="O776" s="1">
        <v>50035606</v>
      </c>
      <c r="P776" s="1" t="str">
        <f>"  سازمان همياري شهرداريهاي يزد"</f>
        <v xml:space="preserve">  سازمان همياري شهرداريهاي يزد</v>
      </c>
      <c r="Q776" s="1">
        <v>16</v>
      </c>
      <c r="R776" s="1" t="str">
        <f>"فروش داخلي تهران - وزارت راه - معاونت اقتصاد"</f>
        <v>فروش داخلي تهران - وزارت راه - معاونت اقتصاد</v>
      </c>
      <c r="S776" s="1" t="str">
        <f>"قرارداد فروش"</f>
        <v>قرارداد فروش</v>
      </c>
      <c r="T776" s="1" t="str">
        <f>"ندارد"</f>
        <v>ندارد</v>
      </c>
      <c r="U776" s="1" t="str">
        <f>"قانعي محمدرضا(1011ج89)"</f>
        <v>قانعي محمدرضا(1011ج89)</v>
      </c>
      <c r="V776" s="1">
        <v>961600009</v>
      </c>
      <c r="W776" s="1">
        <v>961600009</v>
      </c>
      <c r="X776" s="1" t="str">
        <f>"1396504611"</f>
        <v>1396504611</v>
      </c>
      <c r="Y776" s="1" t="str">
        <f>"96/05/21"</f>
        <v>96/05/21</v>
      </c>
      <c r="Z776" s="1" t="str">
        <f>"23758/710"</f>
        <v>23758/710</v>
      </c>
      <c r="AA776" s="1" t="str">
        <f>"معاونت اقتصادوزارت راه وشهرسازي"</f>
        <v>معاونت اقتصادوزارت راه وشهرسازي</v>
      </c>
      <c r="AB776" s="1" t="str">
        <f>"96/05/18"</f>
        <v>96/05/18</v>
      </c>
      <c r="AC776" s="1" t="str">
        <f>"استان يزد"</f>
        <v>استان يزد</v>
      </c>
      <c r="AD776" s="1" t="str">
        <f>"96/05/21"</f>
        <v>96/05/21</v>
      </c>
      <c r="AE776" s="1" t="str">
        <f>"اختتام"</f>
        <v>اختتام</v>
      </c>
      <c r="AF776" s="1" t="str">
        <f>""</f>
        <v/>
      </c>
      <c r="AG776" s="1" t="str">
        <f>""</f>
        <v/>
      </c>
      <c r="AH776" s="1" t="str">
        <f>""</f>
        <v/>
      </c>
      <c r="AI776" s="1" t="str">
        <f>""</f>
        <v/>
      </c>
      <c r="AJ776" s="1" t="str">
        <f>""</f>
        <v/>
      </c>
      <c r="AK776" s="1" t="str">
        <f>""</f>
        <v/>
      </c>
    </row>
    <row r="777" spans="1:37">
      <c r="A777" s="1">
        <v>1000000</v>
      </c>
      <c r="B777" s="1">
        <v>961800018</v>
      </c>
      <c r="C777" s="1" t="str">
        <f>"تخليه -خراسان رضوي -مشهدكيلومتر20مشهدبه باغچه بعدازپادگان جديدارتش -كارخانه آسفالت مسكن وعمران قدس رضوي"</f>
        <v>تخليه -خراسان رضوي -مشهدكيلومتر20مشهدبه باغچه بعدازپادگان جديدارتش -كارخانه آسفالت مسكن وعمران قدس رضوي</v>
      </c>
      <c r="D777" s="1">
        <v>9363</v>
      </c>
      <c r="E777" s="1">
        <v>997960</v>
      </c>
      <c r="F777" s="1">
        <v>96</v>
      </c>
      <c r="G777" s="1">
        <v>2040</v>
      </c>
      <c r="H777" s="1" t="str">
        <f>"96/05/03"</f>
        <v>96/05/03</v>
      </c>
      <c r="I777" s="1" t="str">
        <f>"كيلوگرم"</f>
        <v>كيلوگرم</v>
      </c>
      <c r="J777" s="1" t="str">
        <f>"0000000091"</f>
        <v>0000000091</v>
      </c>
      <c r="K777" s="1" t="str">
        <f>"قير  PG64-22"</f>
        <v>قير  PG64-22</v>
      </c>
      <c r="L777" s="1">
        <v>100</v>
      </c>
      <c r="M777" s="1" t="str">
        <f>"مخازن قير اصفهان"</f>
        <v>مخازن قير اصفهان</v>
      </c>
      <c r="N777" s="1">
        <v>7091</v>
      </c>
      <c r="O777" s="1">
        <v>50035334</v>
      </c>
      <c r="P777" s="1" t="str">
        <f>"  مسكن وعمران قدس رضوي"</f>
        <v xml:space="preserve">  مسكن وعمران قدس رضوي</v>
      </c>
      <c r="Q777" s="1">
        <v>18</v>
      </c>
      <c r="R777" s="1" t="str">
        <f>"فروش داخلي تهران - وزارت راه - شرکت ساخت و توسعه راهها"</f>
        <v>فروش داخلي تهران - وزارت راه - شرکت ساخت و توسعه راهها</v>
      </c>
      <c r="S777" s="1" t="str">
        <f>"قرارداد فروش"</f>
        <v>قرارداد فروش</v>
      </c>
      <c r="T777" s="1" t="str">
        <f>"ندارد"</f>
        <v>ندارد</v>
      </c>
      <c r="U777" s="1" t="str">
        <f>"عابدي محمود(1018ج89)"</f>
        <v>عابدي محمود(1018ج89)</v>
      </c>
      <c r="V777" s="1">
        <v>961800018</v>
      </c>
      <c r="W777" s="1">
        <v>961800018</v>
      </c>
      <c r="X777" s="1" t="str">
        <f>"1396499657"</f>
        <v>1396499657</v>
      </c>
      <c r="Y777" s="1" t="str">
        <f>"96/05/03"</f>
        <v>96/05/03</v>
      </c>
      <c r="Z777" s="1" t="str">
        <f>"20381/710"</f>
        <v>20381/710</v>
      </c>
      <c r="AA777" s="1" t="str">
        <f>"شركت  ساخت وتوسعه راهها"</f>
        <v>شركت  ساخت وتوسعه راهها</v>
      </c>
      <c r="AB777" s="1" t="str">
        <f>"96/05/01"</f>
        <v>96/05/01</v>
      </c>
      <c r="AC777" s="1" t="str">
        <f>"خراسان شمالي"</f>
        <v>خراسان شمالي</v>
      </c>
      <c r="AD777" s="1" t="str">
        <f>"96/05/03"</f>
        <v>96/05/03</v>
      </c>
      <c r="AE777" s="1" t="str">
        <f>"اختتام"</f>
        <v>اختتام</v>
      </c>
      <c r="AF777" s="1" t="str">
        <f>""</f>
        <v/>
      </c>
      <c r="AG777" s="1" t="str">
        <f>""</f>
        <v/>
      </c>
      <c r="AH777" s="1" t="str">
        <f>""</f>
        <v/>
      </c>
      <c r="AI777" s="1" t="str">
        <f>""</f>
        <v/>
      </c>
      <c r="AJ777" s="1" t="str">
        <f>""</f>
        <v/>
      </c>
      <c r="AK777" s="1" t="str">
        <f>""</f>
        <v/>
      </c>
    </row>
    <row r="778" spans="1:37">
      <c r="A778" s="1">
        <v>200000</v>
      </c>
      <c r="B778" s="1">
        <v>961800040</v>
      </c>
      <c r="C778" s="1" t="str">
        <f>"تخليه - همدان-کارخانه آسفالت سراوک"</f>
        <v>تخليه - همدان-کارخانه آسفالت سراوک</v>
      </c>
      <c r="D778" s="1">
        <v>12970</v>
      </c>
      <c r="E778" s="1">
        <v>198260</v>
      </c>
      <c r="F778" s="1">
        <v>96</v>
      </c>
      <c r="G778" s="1">
        <v>1740</v>
      </c>
      <c r="H778" s="1" t="str">
        <f>"96/06/22"</f>
        <v>96/06/22</v>
      </c>
      <c r="I778" s="1" t="str">
        <f>"كيلوگرم"</f>
        <v>كيلوگرم</v>
      </c>
      <c r="J778" s="1" t="str">
        <f>"0000000088"</f>
        <v>0000000088</v>
      </c>
      <c r="K778" s="1" t="str">
        <f>"قير  PG58-22"</f>
        <v>قير  PG58-22</v>
      </c>
      <c r="L778" s="1">
        <v>100</v>
      </c>
      <c r="M778" s="1" t="str">
        <f>"مخازن قير اصفهان"</f>
        <v>مخازن قير اصفهان</v>
      </c>
      <c r="N778" s="1">
        <v>1729</v>
      </c>
      <c r="O778" s="1">
        <v>50036027</v>
      </c>
      <c r="P778" s="1" t="str">
        <f>"  آماكا"</f>
        <v xml:space="preserve">  آماكا</v>
      </c>
      <c r="Q778" s="1">
        <v>18</v>
      </c>
      <c r="R778" s="1" t="str">
        <f>"فروش داخلي تهران - وزارت راه - شرکت ساخت و توسعه راهها"</f>
        <v>فروش داخلي تهران - وزارت راه - شرکت ساخت و توسعه راهها</v>
      </c>
      <c r="S778" s="1" t="str">
        <f>"قرارداد فروش"</f>
        <v>قرارداد فروش</v>
      </c>
      <c r="T778" s="1" t="str">
        <f>"ندارد"</f>
        <v>ندارد</v>
      </c>
      <c r="U778" s="1" t="str">
        <f>"حاجيلوئي علي اصغر(2842019)"</f>
        <v>حاجيلوئي علي اصغر(2842019)</v>
      </c>
      <c r="V778" s="1">
        <v>961800040</v>
      </c>
      <c r="W778" s="1">
        <v>961800040</v>
      </c>
      <c r="X778" s="1" t="str">
        <f>"1396512369"</f>
        <v>1396512369</v>
      </c>
      <c r="Y778" s="1" t="str">
        <f>"96/06/22"</f>
        <v>96/06/22</v>
      </c>
      <c r="Z778" s="1" t="str">
        <f>"30189/710"</f>
        <v>30189/710</v>
      </c>
      <c r="AA778" s="1" t="str">
        <f>"شركت  ساخت وتوسعه راهها"</f>
        <v>شركت  ساخت وتوسعه راهها</v>
      </c>
      <c r="AB778" s="1" t="str">
        <f>"96/06/20"</f>
        <v>96/06/20</v>
      </c>
      <c r="AC778" s="1" t="str">
        <f>"استان همدان"</f>
        <v>استان همدان</v>
      </c>
      <c r="AD778" s="1" t="str">
        <f>"96/06/22"</f>
        <v>96/06/22</v>
      </c>
      <c r="AE778" s="1" t="str">
        <f>"اختتام"</f>
        <v>اختتام</v>
      </c>
      <c r="AF778" s="1" t="str">
        <f>""</f>
        <v/>
      </c>
      <c r="AG778" s="1" t="str">
        <f>""</f>
        <v/>
      </c>
      <c r="AH778" s="1" t="str">
        <f>""</f>
        <v/>
      </c>
      <c r="AI778" s="1" t="str">
        <f>""</f>
        <v/>
      </c>
      <c r="AJ778" s="1" t="str">
        <f>""</f>
        <v/>
      </c>
      <c r="AK778" s="1" t="str">
        <f>""</f>
        <v/>
      </c>
    </row>
    <row r="779" spans="1:37">
      <c r="A779" s="1">
        <v>94000</v>
      </c>
      <c r="B779" s="1">
        <v>961700070</v>
      </c>
      <c r="C779" s="1" t="str">
        <f>"تخليه -چهارومحال بختياري -شهرستان كيارشهرناغان -شركت اتحادناغان"</f>
        <v>تخليه -چهارومحال بختياري -شهرستان كيارشهرناغان -شركت اتحادناغان</v>
      </c>
      <c r="D779" s="1">
        <v>9363</v>
      </c>
      <c r="E779" s="1">
        <v>91980</v>
      </c>
      <c r="F779" s="1">
        <v>96</v>
      </c>
      <c r="G779" s="1">
        <v>2020</v>
      </c>
      <c r="H779" s="1" t="str">
        <f>"96/05/28"</f>
        <v>96/05/28</v>
      </c>
      <c r="I779" s="1" t="str">
        <f>"كيلوگرم"</f>
        <v>كيلوگرم</v>
      </c>
      <c r="J779" s="1" t="str">
        <f>"0000000088"</f>
        <v>0000000088</v>
      </c>
      <c r="K779" s="1" t="str">
        <f>"قير  PG58-22"</f>
        <v>قير  PG58-22</v>
      </c>
      <c r="L779" s="1">
        <v>100</v>
      </c>
      <c r="M779" s="1" t="str">
        <f>"مخازن قير اصفهان"</f>
        <v>مخازن قير اصفهان</v>
      </c>
      <c r="N779" s="1">
        <v>7190</v>
      </c>
      <c r="O779" s="1">
        <v>50035724</v>
      </c>
      <c r="P779" s="1" t="str">
        <f>"  اداره كل راه و شهرسازي چهارمحال وبختياري"</f>
        <v xml:space="preserve">  اداره كل راه و شهرسازي چهارمحال وبختياري</v>
      </c>
      <c r="Q779" s="1">
        <v>17</v>
      </c>
      <c r="R779" s="1" t="str">
        <f>"فروش داخلي تهران - وزارت راه - راه روستايي - روکش"</f>
        <v>فروش داخلي تهران - وزارت راه - راه روستايي - روکش</v>
      </c>
      <c r="S779" s="1" t="str">
        <f>"قرارداد فروش"</f>
        <v>قرارداد فروش</v>
      </c>
      <c r="T779" s="1" t="str">
        <f>"ندارد"</f>
        <v>ندارد</v>
      </c>
      <c r="U779" s="1" t="str">
        <f>"مظلوم فريبرز(1008ج89)"</f>
        <v>مظلوم فريبرز(1008ج89)</v>
      </c>
      <c r="V779" s="1">
        <v>961700070</v>
      </c>
      <c r="W779" s="1">
        <v>961700070</v>
      </c>
      <c r="X779" s="1" t="str">
        <f>"1396506334"</f>
        <v>1396506334</v>
      </c>
      <c r="Y779" s="1" t="str">
        <f>"96/05/28"</f>
        <v>96/05/28</v>
      </c>
      <c r="Z779" s="1" t="str">
        <f>"25351/710"</f>
        <v>25351/710</v>
      </c>
      <c r="AA779" s="1" t="str">
        <f>"راه روستائي -روكش"</f>
        <v>راه روستائي -روكش</v>
      </c>
      <c r="AB779" s="1" t="str">
        <f>"96/05/25"</f>
        <v>96/05/25</v>
      </c>
      <c r="AC779" s="1" t="str">
        <f>"استان چهارمحال بختياري"</f>
        <v>استان چهارمحال بختياري</v>
      </c>
      <c r="AD779" s="1" t="str">
        <f>"96/05/28"</f>
        <v>96/05/28</v>
      </c>
      <c r="AE779" s="1" t="str">
        <f>"اختتام"</f>
        <v>اختتام</v>
      </c>
      <c r="AF779" s="1" t="str">
        <f>""</f>
        <v/>
      </c>
      <c r="AG779" s="1" t="str">
        <f>""</f>
        <v/>
      </c>
      <c r="AH779" s="1" t="str">
        <f>""</f>
        <v/>
      </c>
      <c r="AI779" s="1" t="str">
        <f>""</f>
        <v/>
      </c>
      <c r="AJ779" s="1" t="str">
        <f>""</f>
        <v/>
      </c>
      <c r="AK779" s="1" t="str">
        <f>""</f>
        <v/>
      </c>
    </row>
    <row r="780" spans="1:37">
      <c r="A780" s="1">
        <v>100000</v>
      </c>
      <c r="B780" s="1">
        <v>961700234</v>
      </c>
      <c r="C780" s="1" t="str">
        <f>"تخليه چهارمحال وبختياري صادق آبادكارخانه آسفالت ميلادراه سپاهان"</f>
        <v>تخليه چهارمحال وبختياري صادق آبادكارخانه آسفالت ميلادراه سپاهان</v>
      </c>
      <c r="D780" s="1">
        <v>13100</v>
      </c>
      <c r="E780" s="1">
        <v>99620</v>
      </c>
      <c r="F780" s="1">
        <v>96</v>
      </c>
      <c r="G780" s="1">
        <v>380</v>
      </c>
      <c r="H780" s="1" t="str">
        <f>"96/12/24"</f>
        <v>96/12/24</v>
      </c>
      <c r="I780" s="1" t="str">
        <f>"كيلوگرم"</f>
        <v>كيلوگرم</v>
      </c>
      <c r="J780" s="1" t="str">
        <f>"0000000088"</f>
        <v>0000000088</v>
      </c>
      <c r="K780" s="1" t="str">
        <f>"قير  PG58-22"</f>
        <v>قير  PG58-22</v>
      </c>
      <c r="L780" s="1">
        <v>100</v>
      </c>
      <c r="M780" s="1" t="str">
        <f>"مخازن قير اصفهان"</f>
        <v>مخازن قير اصفهان</v>
      </c>
      <c r="N780" s="1">
        <v>7190</v>
      </c>
      <c r="O780" s="1">
        <v>50039015</v>
      </c>
      <c r="P780" s="1" t="str">
        <f>"  اداره كل راه و شهرسازي چهارمحال وبختياري"</f>
        <v xml:space="preserve">  اداره كل راه و شهرسازي چهارمحال وبختياري</v>
      </c>
      <c r="Q780" s="1">
        <v>17</v>
      </c>
      <c r="R780" s="1" t="str">
        <f>"فروش داخلي تهران - وزارت راه - راه روستايي - روکش"</f>
        <v>فروش داخلي تهران - وزارت راه - راه روستايي - روکش</v>
      </c>
      <c r="S780" s="1" t="str">
        <f>"قرارداد فروش"</f>
        <v>قرارداد فروش</v>
      </c>
      <c r="T780" s="1" t="str">
        <f>"ندارد"</f>
        <v>ندارد</v>
      </c>
      <c r="U780" s="1" t="str">
        <f>"مظلوم فريبرز(1008ج89)"</f>
        <v>مظلوم فريبرز(1008ج89)</v>
      </c>
      <c r="V780" s="1">
        <v>961700234</v>
      </c>
      <c r="W780" s="1">
        <v>961700234</v>
      </c>
      <c r="X780" s="1" t="str">
        <f>"1396553920"</f>
        <v>1396553920</v>
      </c>
      <c r="Y780" s="1" t="str">
        <f>"96/12/24"</f>
        <v>96/12/24</v>
      </c>
      <c r="Z780" s="1" t="str">
        <f>"48025/710"</f>
        <v>48025/710</v>
      </c>
      <c r="AA780" s="1" t="str">
        <f>"راه روستائي -روكش"</f>
        <v>راه روستائي -روكش</v>
      </c>
      <c r="AB780" s="1" t="str">
        <f>"96/09/19"</f>
        <v>96/09/19</v>
      </c>
      <c r="AC780" s="1" t="str">
        <f>"استان چهارمحال بختياري"</f>
        <v>استان چهارمحال بختياري</v>
      </c>
      <c r="AD780" s="1" t="str">
        <f>"96/12/20"</f>
        <v>96/12/20</v>
      </c>
      <c r="AE780" s="1" t="str">
        <f>"اختتام"</f>
        <v>اختتام</v>
      </c>
      <c r="AF780" s="1" t="str">
        <f>""</f>
        <v/>
      </c>
      <c r="AG780" s="1" t="str">
        <f>""</f>
        <v/>
      </c>
      <c r="AH780" s="1" t="str">
        <f>""</f>
        <v/>
      </c>
      <c r="AI780" s="1" t="str">
        <f>""</f>
        <v/>
      </c>
      <c r="AJ780" s="1" t="str">
        <f>""</f>
        <v/>
      </c>
      <c r="AK780" s="1" t="str">
        <f>""</f>
        <v/>
      </c>
    </row>
    <row r="781" spans="1:37">
      <c r="A781" s="1">
        <v>953000</v>
      </c>
      <c r="B781" s="1">
        <v>961600021</v>
      </c>
      <c r="C781" s="1" t="str">
        <f>"تخليه -اصفهان -گلپايگان -پنج راه زراعي -كيلومتر15جاده گلپايگان علويجه -به سمت راست -شركت فردسازه سپاهان"</f>
        <v>تخليه -اصفهان -گلپايگان -پنج راه زراعي -كيلومتر15جاده گلپايگان علويجه -به سمت راست -شركت فردسازه سپاهان</v>
      </c>
      <c r="D781" s="1">
        <v>13600</v>
      </c>
      <c r="E781" s="1">
        <v>952460</v>
      </c>
      <c r="F781" s="1">
        <v>96</v>
      </c>
      <c r="G781" s="1">
        <v>540</v>
      </c>
      <c r="H781" s="1" t="str">
        <f>"96/09/08"</f>
        <v>96/09/08</v>
      </c>
      <c r="I781" s="1" t="str">
        <f>"كيلوگرم"</f>
        <v>كيلوگرم</v>
      </c>
      <c r="J781" s="1" t="str">
        <f>"0000000088"</f>
        <v>0000000088</v>
      </c>
      <c r="K781" s="1" t="str">
        <f>"قير  PG58-22"</f>
        <v>قير  PG58-22</v>
      </c>
      <c r="L781" s="1">
        <v>100</v>
      </c>
      <c r="M781" s="1" t="str">
        <f>"مخازن قير اصفهان"</f>
        <v>مخازن قير اصفهان</v>
      </c>
      <c r="N781" s="1">
        <v>7325</v>
      </c>
      <c r="O781" s="1">
        <v>50037327</v>
      </c>
      <c r="P781" s="1" t="str">
        <f>"  فردسازه سپاهان"</f>
        <v xml:space="preserve">  فردسازه سپاهان</v>
      </c>
      <c r="Q781" s="1">
        <v>16</v>
      </c>
      <c r="R781" s="1" t="str">
        <f>"فروش داخلي تهران - وزارت راه - معاونت اقتصاد"</f>
        <v>فروش داخلي تهران - وزارت راه - معاونت اقتصاد</v>
      </c>
      <c r="S781" s="1" t="str">
        <f>"قرارداد فروش"</f>
        <v>قرارداد فروش</v>
      </c>
      <c r="T781" s="1" t="str">
        <f>"ندارد"</f>
        <v>ندارد</v>
      </c>
      <c r="U781" s="1" t="str">
        <f>"علي عابدي ابوالقاسم(1003ج89)"</f>
        <v>علي عابدي ابوالقاسم(1003ج89)</v>
      </c>
      <c r="V781" s="1">
        <v>961600021</v>
      </c>
      <c r="W781" s="1">
        <v>961600021</v>
      </c>
      <c r="X781" s="1" t="str">
        <f>"1396529171"</f>
        <v>1396529171</v>
      </c>
      <c r="Y781" s="1" t="str">
        <f>"96/09/08"</f>
        <v>96/09/08</v>
      </c>
      <c r="Z781" s="1" t="str">
        <f>"42052/710"</f>
        <v>42052/710</v>
      </c>
      <c r="AA781" s="1" t="str">
        <f>"معاونت اقتصادوزارت راه وشهرسازي"</f>
        <v>معاونت اقتصادوزارت راه وشهرسازي</v>
      </c>
      <c r="AB781" s="1" t="str">
        <f>"96/08/20"</f>
        <v>96/08/20</v>
      </c>
      <c r="AC781" s="1" t="str">
        <f>"استان اصفهان"</f>
        <v>استان اصفهان</v>
      </c>
      <c r="AD781" s="1" t="str">
        <f>"96/09/08"</f>
        <v>96/09/08</v>
      </c>
      <c r="AE781" s="1" t="str">
        <f>"اختتام"</f>
        <v>اختتام</v>
      </c>
      <c r="AF781" s="1" t="str">
        <f>""</f>
        <v/>
      </c>
      <c r="AG781" s="1" t="str">
        <f>""</f>
        <v/>
      </c>
      <c r="AH781" s="1" t="str">
        <f>""</f>
        <v/>
      </c>
      <c r="AI781" s="1" t="str">
        <f>""</f>
        <v/>
      </c>
      <c r="AJ781" s="1" t="str">
        <f>""</f>
        <v/>
      </c>
      <c r="AK781" s="1" t="str">
        <f>""</f>
        <v/>
      </c>
    </row>
    <row r="782" spans="1:37">
      <c r="A782" s="1">
        <v>60000</v>
      </c>
      <c r="B782" s="1">
        <v>961100125</v>
      </c>
      <c r="C782" s="1" t="str">
        <f>"تخليه -طبس کيلومتر16جاده خرو-کارگاه نيروي هوائي خاتم الانبيا"</f>
        <v>تخليه -طبس کيلومتر16جاده خرو-کارگاه نيروي هوائي خاتم الانبيا</v>
      </c>
      <c r="D782" s="1">
        <v>13200</v>
      </c>
      <c r="E782" s="1">
        <v>58680</v>
      </c>
      <c r="F782" s="1">
        <v>96</v>
      </c>
      <c r="G782" s="1">
        <v>1320</v>
      </c>
      <c r="H782" s="1" t="str">
        <f>"96/11/24"</f>
        <v>96/11/24</v>
      </c>
      <c r="I782" s="1" t="str">
        <f>"كيلوگرم"</f>
        <v>كيلوگرم</v>
      </c>
      <c r="J782" s="1" t="str">
        <f>"0000000076"</f>
        <v>0000000076</v>
      </c>
      <c r="K782" s="1" t="str">
        <f>"قير 60/70 - فله"</f>
        <v>قير 60/70 - فله</v>
      </c>
      <c r="L782" s="1">
        <v>100</v>
      </c>
      <c r="M782" s="1" t="str">
        <f>"مخازن قير اصفهان"</f>
        <v>مخازن قير اصفهان</v>
      </c>
      <c r="N782" s="1">
        <v>9874</v>
      </c>
      <c r="O782" s="1">
        <v>50038509</v>
      </c>
      <c r="P782" s="1" t="str">
        <f>"  قرارگاه مهندسي و پدافندغيرعامل خاتم الانبيا-ص"</f>
        <v xml:space="preserve">  قرارگاه مهندسي و پدافندغيرعامل خاتم الانبيا-ص</v>
      </c>
      <c r="Q782" s="1">
        <v>11</v>
      </c>
      <c r="R782" s="1" t="str">
        <f>"فروش داخلي تهران - بورس"</f>
        <v>فروش داخلي تهران - بورس</v>
      </c>
      <c r="S782" s="1" t="str">
        <f>"قرارداد فروش"</f>
        <v>قرارداد فروش</v>
      </c>
      <c r="T782" s="1" t="str">
        <f>"ندارد"</f>
        <v>ندارد</v>
      </c>
      <c r="U782" s="1" t="str">
        <f>"قره باغي مجيد(1871065)"</f>
        <v>قره باغي مجيد(1871065)</v>
      </c>
      <c r="V782" s="1">
        <v>961100125</v>
      </c>
      <c r="W782" s="1">
        <v>961100125</v>
      </c>
      <c r="X782" s="1" t="str">
        <f>"1396547030"</f>
        <v>1396547030</v>
      </c>
      <c r="Y782" s="1" t="str">
        <f>"96/11/23"</f>
        <v>96/11/23</v>
      </c>
      <c r="Z782" s="1" t="str">
        <f>"96-37226"</f>
        <v>96-37226</v>
      </c>
      <c r="AA782" s="1" t="str">
        <f>"ساير ارگانها"</f>
        <v>ساير ارگانها</v>
      </c>
      <c r="AB782" s="1" t="str">
        <f>"96/11/23"</f>
        <v>96/11/23</v>
      </c>
      <c r="AC782" s="1" t="str">
        <f>"استان يزد"</f>
        <v>استان يزد</v>
      </c>
      <c r="AD782" s="1" t="str">
        <f>"96/11/21"</f>
        <v>96/11/21</v>
      </c>
      <c r="AE782" s="1" t="str">
        <f>"اختتام"</f>
        <v>اختتام</v>
      </c>
      <c r="AF782" s="1" t="str">
        <f>""</f>
        <v/>
      </c>
      <c r="AG782" s="1" t="str">
        <f>""</f>
        <v/>
      </c>
      <c r="AH782" s="1" t="str">
        <f>""</f>
        <v/>
      </c>
      <c r="AI782" s="1" t="str">
        <f>""</f>
        <v/>
      </c>
      <c r="AJ782" s="1" t="str">
        <f>""</f>
        <v/>
      </c>
      <c r="AK782" s="1" t="str">
        <f>""</f>
        <v/>
      </c>
    </row>
    <row r="783" spans="1:37">
      <c r="A783" s="1">
        <v>85000</v>
      </c>
      <c r="B783" s="1">
        <v>961700068</v>
      </c>
      <c r="C783" s="1" t="str">
        <f>"تخليه -لردگان -كارخانه آسفالت لردگان"</f>
        <v>تخليه -لردگان -كارخانه آسفالت لردگان</v>
      </c>
      <c r="D783" s="1">
        <v>9204</v>
      </c>
      <c r="E783" s="1">
        <v>85000</v>
      </c>
      <c r="F783" s="1">
        <v>96</v>
      </c>
      <c r="G783" s="1">
        <v>0</v>
      </c>
      <c r="H783" s="1" t="str">
        <f>"96/05/28"</f>
        <v>96/05/28</v>
      </c>
      <c r="I783" s="1" t="str">
        <f>"كيلوگرم"</f>
        <v>كيلوگرم</v>
      </c>
      <c r="J783" s="1" t="str">
        <f>"0000000088"</f>
        <v>0000000088</v>
      </c>
      <c r="K783" s="1" t="str">
        <f>"قير  PG58-22"</f>
        <v>قير  PG58-22</v>
      </c>
      <c r="L783" s="1">
        <v>100</v>
      </c>
      <c r="M783" s="1" t="str">
        <f>"مخازن قير اصفهان"</f>
        <v>مخازن قير اصفهان</v>
      </c>
      <c r="N783" s="1">
        <v>7190</v>
      </c>
      <c r="O783" s="1">
        <v>50035722</v>
      </c>
      <c r="P783" s="1" t="str">
        <f>"  اداره كل راه و شهرسازي چهارمحال وبختياري"</f>
        <v xml:space="preserve">  اداره كل راه و شهرسازي چهارمحال وبختياري</v>
      </c>
      <c r="Q783" s="1">
        <v>17</v>
      </c>
      <c r="R783" s="1" t="str">
        <f>"فروش داخلي تهران - وزارت راه - راه روستايي - روکش"</f>
        <v>فروش داخلي تهران - وزارت راه - راه روستايي - روکش</v>
      </c>
      <c r="S783" s="1" t="str">
        <f>"قرارداد فروش"</f>
        <v>قرارداد فروش</v>
      </c>
      <c r="T783" s="1" t="str">
        <f>"ندارد"</f>
        <v>ندارد</v>
      </c>
      <c r="U783" s="1" t="str">
        <f>"قره باغي مجيد(1871065)"</f>
        <v>قره باغي مجيد(1871065)</v>
      </c>
      <c r="V783" s="1">
        <v>961700068</v>
      </c>
      <c r="W783" s="1">
        <v>961700068</v>
      </c>
      <c r="X783" s="1" t="str">
        <f>"1396506334"</f>
        <v>1396506334</v>
      </c>
      <c r="Y783" s="1" t="str">
        <f>"96/05/28"</f>
        <v>96/05/28</v>
      </c>
      <c r="Z783" s="1" t="str">
        <f>"25345/710"</f>
        <v>25345/710</v>
      </c>
      <c r="AA783" s="1" t="str">
        <f>"راه روستائي -روكش"</f>
        <v>راه روستائي -روكش</v>
      </c>
      <c r="AB783" s="1" t="str">
        <f>"96/05/25"</f>
        <v>96/05/25</v>
      </c>
      <c r="AC783" s="1" t="str">
        <f>"استان چهارمحال بختياري"</f>
        <v>استان چهارمحال بختياري</v>
      </c>
      <c r="AD783" s="1" t="str">
        <f>"96/05/28"</f>
        <v>96/05/28</v>
      </c>
      <c r="AE783" s="1" t="str">
        <f>"اختتام"</f>
        <v>اختتام</v>
      </c>
      <c r="AF783" s="1" t="str">
        <f>""</f>
        <v/>
      </c>
      <c r="AG783" s="1" t="str">
        <f>""</f>
        <v/>
      </c>
      <c r="AH783" s="1" t="str">
        <f>""</f>
        <v/>
      </c>
      <c r="AI783" s="1" t="str">
        <f>""</f>
        <v/>
      </c>
      <c r="AJ783" s="1" t="str">
        <f>""</f>
        <v/>
      </c>
      <c r="AK783" s="1" t="str">
        <f>""</f>
        <v/>
      </c>
    </row>
    <row r="784" spans="1:37">
      <c r="A784" s="1">
        <v>60000</v>
      </c>
      <c r="B784" s="1">
        <v>961700236</v>
      </c>
      <c r="C784" s="1" t="str">
        <f>"تخليه -چهارمحال بختياري -شهركردهفشجان نوآبادكارخانه آسفالت سازمان همياري شهرداريها"</f>
        <v>تخليه -چهارمحال بختياري -شهركردهفشجان نوآبادكارخانه آسفالت سازمان همياري شهرداريها</v>
      </c>
      <c r="D784" s="1">
        <v>16350</v>
      </c>
      <c r="E784" s="1">
        <v>59540</v>
      </c>
      <c r="F784" s="1">
        <v>96</v>
      </c>
      <c r="G784" s="1">
        <v>460</v>
      </c>
      <c r="H784" s="1" t="str">
        <f>"96/12/24"</f>
        <v>96/12/24</v>
      </c>
      <c r="I784" s="1" t="str">
        <f>"كيلوگرم"</f>
        <v>كيلوگرم</v>
      </c>
      <c r="J784" s="1" t="str">
        <f>"0000000088"</f>
        <v>0000000088</v>
      </c>
      <c r="K784" s="1" t="str">
        <f>"قير  PG58-22"</f>
        <v>قير  PG58-22</v>
      </c>
      <c r="L784" s="1">
        <v>100</v>
      </c>
      <c r="M784" s="1" t="str">
        <f>"مخازن قير اصفهان"</f>
        <v>مخازن قير اصفهان</v>
      </c>
      <c r="N784" s="1">
        <v>7190</v>
      </c>
      <c r="O784" s="1">
        <v>50039017</v>
      </c>
      <c r="P784" s="1" t="str">
        <f>"  اداره كل راه و شهرسازي چهارمحال وبختياري"</f>
        <v xml:space="preserve">  اداره كل راه و شهرسازي چهارمحال وبختياري</v>
      </c>
      <c r="Q784" s="1">
        <v>17</v>
      </c>
      <c r="R784" s="1" t="str">
        <f>"فروش داخلي تهران - وزارت راه - راه روستايي - روکش"</f>
        <v>فروش داخلي تهران - وزارت راه - راه روستايي - روکش</v>
      </c>
      <c r="S784" s="1" t="str">
        <f>"قرارداد فروش"</f>
        <v>قرارداد فروش</v>
      </c>
      <c r="T784" s="1" t="str">
        <f>"ندارد"</f>
        <v>ندارد</v>
      </c>
      <c r="U784" s="1" t="str">
        <f>"مظلوم فريبرز(1008ج89)"</f>
        <v>مظلوم فريبرز(1008ج89)</v>
      </c>
      <c r="V784" s="1">
        <v>961700236</v>
      </c>
      <c r="W784" s="1">
        <v>961700236</v>
      </c>
      <c r="X784" s="1" t="str">
        <f>"1396553920"</f>
        <v>1396553920</v>
      </c>
      <c r="Y784" s="1" t="str">
        <f>"96/12/24"</f>
        <v>96/12/24</v>
      </c>
      <c r="Z784" s="1" t="str">
        <f>"48008/710"</f>
        <v>48008/710</v>
      </c>
      <c r="AA784" s="1" t="str">
        <f>"راه روستائي -روكش"</f>
        <v>راه روستائي -روكش</v>
      </c>
      <c r="AB784" s="1" t="str">
        <f>"96/09/19"</f>
        <v>96/09/19</v>
      </c>
      <c r="AC784" s="1" t="str">
        <f>"استان چهارمحال بختياري"</f>
        <v>استان چهارمحال بختياري</v>
      </c>
      <c r="AD784" s="1" t="str">
        <f>"96/12/20"</f>
        <v>96/12/20</v>
      </c>
      <c r="AE784" s="1" t="str">
        <f>"اختتام"</f>
        <v>اختتام</v>
      </c>
      <c r="AF784" s="1" t="str">
        <f>""</f>
        <v/>
      </c>
      <c r="AG784" s="1" t="str">
        <f>""</f>
        <v/>
      </c>
      <c r="AH784" s="1" t="str">
        <f>""</f>
        <v/>
      </c>
      <c r="AI784" s="1" t="str">
        <f>""</f>
        <v/>
      </c>
      <c r="AJ784" s="1" t="str">
        <f>""</f>
        <v/>
      </c>
      <c r="AK784" s="1" t="str">
        <f>""</f>
        <v/>
      </c>
    </row>
    <row r="785" spans="1:37">
      <c r="A785" s="1">
        <v>65000</v>
      </c>
      <c r="B785" s="1">
        <v>961700237</v>
      </c>
      <c r="C785" s="1" t="str">
        <f>"تخليه -چهارمحال بختياري -شهرستان فارسان كارخانه آسفالت شركت احمديه چليچه"</f>
        <v>تخليه -چهارمحال بختياري -شهرستان فارسان كارخانه آسفالت شركت احمديه چليچه</v>
      </c>
      <c r="D785" s="1">
        <v>13100</v>
      </c>
      <c r="E785" s="1">
        <v>64160</v>
      </c>
      <c r="F785" s="1">
        <v>96</v>
      </c>
      <c r="G785" s="1">
        <v>840</v>
      </c>
      <c r="H785" s="1" t="str">
        <f>"96/12/24"</f>
        <v>96/12/24</v>
      </c>
      <c r="I785" s="1" t="str">
        <f>"كيلوگرم"</f>
        <v>كيلوگرم</v>
      </c>
      <c r="J785" s="1" t="str">
        <f>"0000000088"</f>
        <v>0000000088</v>
      </c>
      <c r="K785" s="1" t="str">
        <f>"قير  PG58-22"</f>
        <v>قير  PG58-22</v>
      </c>
      <c r="L785" s="1">
        <v>100</v>
      </c>
      <c r="M785" s="1" t="str">
        <f>"مخازن قير اصفهان"</f>
        <v>مخازن قير اصفهان</v>
      </c>
      <c r="N785" s="1">
        <v>7190</v>
      </c>
      <c r="O785" s="1">
        <v>50039018</v>
      </c>
      <c r="P785" s="1" t="str">
        <f>"  اداره كل راه و شهرسازي چهارمحال وبختياري"</f>
        <v xml:space="preserve">  اداره كل راه و شهرسازي چهارمحال وبختياري</v>
      </c>
      <c r="Q785" s="1">
        <v>17</v>
      </c>
      <c r="R785" s="1" t="str">
        <f>"فروش داخلي تهران - وزارت راه - راه روستايي - روکش"</f>
        <v>فروش داخلي تهران - وزارت راه - راه روستايي - روکش</v>
      </c>
      <c r="S785" s="1" t="str">
        <f>"قرارداد فروش"</f>
        <v>قرارداد فروش</v>
      </c>
      <c r="T785" s="1" t="str">
        <f>"ندارد"</f>
        <v>ندارد</v>
      </c>
      <c r="U785" s="1" t="str">
        <f>"مظلوم فريبرز(1008ج89)"</f>
        <v>مظلوم فريبرز(1008ج89)</v>
      </c>
      <c r="V785" s="1">
        <v>961700237</v>
      </c>
      <c r="W785" s="1">
        <v>961700237</v>
      </c>
      <c r="X785" s="1" t="str">
        <f>"1396553920"</f>
        <v>1396553920</v>
      </c>
      <c r="Y785" s="1" t="str">
        <f>"96/12/24"</f>
        <v>96/12/24</v>
      </c>
      <c r="Z785" s="1" t="str">
        <f>"48005/710"</f>
        <v>48005/710</v>
      </c>
      <c r="AA785" s="1" t="str">
        <f>"راه روستائي -روكش"</f>
        <v>راه روستائي -روكش</v>
      </c>
      <c r="AB785" s="1" t="str">
        <f>"96/09/19"</f>
        <v>96/09/19</v>
      </c>
      <c r="AC785" s="1" t="str">
        <f>"استان چهارمحال بختياري"</f>
        <v>استان چهارمحال بختياري</v>
      </c>
      <c r="AD785" s="1" t="str">
        <f>"96/12/20"</f>
        <v>96/12/20</v>
      </c>
      <c r="AE785" s="1" t="str">
        <f>"اختتام"</f>
        <v>اختتام</v>
      </c>
      <c r="AF785" s="1" t="str">
        <f>""</f>
        <v/>
      </c>
      <c r="AG785" s="1" t="str">
        <f>""</f>
        <v/>
      </c>
      <c r="AH785" s="1" t="str">
        <f>""</f>
        <v/>
      </c>
      <c r="AI785" s="1" t="str">
        <f>""</f>
        <v/>
      </c>
      <c r="AJ785" s="1" t="str">
        <f>""</f>
        <v/>
      </c>
      <c r="AK785" s="1" t="str">
        <f>""</f>
        <v/>
      </c>
    </row>
    <row r="786" spans="1:37">
      <c r="A786" s="1">
        <v>156000</v>
      </c>
      <c r="B786" s="1">
        <v>961700213</v>
      </c>
      <c r="C786" s="1" t="str">
        <f>"تخليه -جاده كرمان بم -كارخانه آسفالت كرمان تسطيح"</f>
        <v>تخليه -جاده كرمان بم -كارخانه آسفالت كرمان تسطيح</v>
      </c>
      <c r="D786" s="1">
        <v>14000</v>
      </c>
      <c r="E786" s="1">
        <v>156000</v>
      </c>
      <c r="F786" s="1">
        <v>96</v>
      </c>
      <c r="G786" s="1">
        <v>0</v>
      </c>
      <c r="H786" s="1" t="str">
        <f>"96/12/24"</f>
        <v>96/12/24</v>
      </c>
      <c r="I786" s="1" t="str">
        <f>"كيلوگرم"</f>
        <v>كيلوگرم</v>
      </c>
      <c r="J786" s="1" t="str">
        <f>"0000000091"</f>
        <v>0000000091</v>
      </c>
      <c r="K786" s="1" t="str">
        <f>"قير  PG64-22"</f>
        <v>قير  PG64-22</v>
      </c>
      <c r="L786" s="1">
        <v>100</v>
      </c>
      <c r="M786" s="1" t="str">
        <f>"مخازن قير اصفهان"</f>
        <v>مخازن قير اصفهان</v>
      </c>
      <c r="N786" s="1">
        <v>7161</v>
      </c>
      <c r="O786" s="1">
        <v>50038988</v>
      </c>
      <c r="P786" s="1" t="str">
        <f>"  كرمان تسطيح"</f>
        <v xml:space="preserve">  كرمان تسطيح</v>
      </c>
      <c r="Q786" s="1">
        <v>17</v>
      </c>
      <c r="R786" s="1" t="str">
        <f>"فروش داخلي تهران - وزارت راه - راه روستايي - روکش"</f>
        <v>فروش داخلي تهران - وزارت راه - راه روستايي - روکش</v>
      </c>
      <c r="S786" s="1" t="str">
        <f>"قرارداد فروش"</f>
        <v>قرارداد فروش</v>
      </c>
      <c r="T786" s="1" t="str">
        <f>"ندارد"</f>
        <v>ندارد</v>
      </c>
      <c r="U786" s="1" t="str">
        <f>"خضرائي فريدون(4844003)"</f>
        <v>خضرائي فريدون(4844003)</v>
      </c>
      <c r="V786" s="1">
        <v>961700213</v>
      </c>
      <c r="W786" s="1">
        <v>961700213</v>
      </c>
      <c r="X786" s="1" t="str">
        <f>"1396554112"</f>
        <v>1396554112</v>
      </c>
      <c r="Y786" s="1" t="str">
        <f>"96/12/24"</f>
        <v>96/12/24</v>
      </c>
      <c r="Z786" s="1" t="str">
        <f>"47427/710"</f>
        <v>47427/710</v>
      </c>
      <c r="AA786" s="1" t="str">
        <f>"راه روستائي -روكش"</f>
        <v>راه روستائي -روكش</v>
      </c>
      <c r="AB786" s="1" t="str">
        <f>"96/09/14"</f>
        <v>96/09/14</v>
      </c>
      <c r="AC786" s="1" t="str">
        <f>"استان كرمان"</f>
        <v>استان كرمان</v>
      </c>
      <c r="AD786" s="1" t="str">
        <f>"96/12/21"</f>
        <v>96/12/21</v>
      </c>
      <c r="AE786" s="1" t="str">
        <f>"اختتام"</f>
        <v>اختتام</v>
      </c>
      <c r="AF786" s="1" t="str">
        <f>""</f>
        <v/>
      </c>
      <c r="AG786" s="1" t="str">
        <f>""</f>
        <v/>
      </c>
      <c r="AH786" s="1" t="str">
        <f>""</f>
        <v/>
      </c>
      <c r="AI786" s="1" t="str">
        <f>""</f>
        <v/>
      </c>
      <c r="AJ786" s="1" t="str">
        <f>""</f>
        <v/>
      </c>
      <c r="AK786" s="1" t="str">
        <f>""</f>
        <v/>
      </c>
    </row>
    <row r="787" spans="1:37">
      <c r="A787" s="1">
        <v>183940</v>
      </c>
      <c r="B787" s="1">
        <v>962000111</v>
      </c>
      <c r="C787" s="1" t="str">
        <f>"تخليه بوشهرخورموج كارخانه آسفالت شهرداري خورموج"</f>
        <v>تخليه بوشهرخورموج كارخانه آسفالت شهرداري خورموج</v>
      </c>
      <c r="D787" s="1">
        <v>9113</v>
      </c>
      <c r="E787" s="1">
        <v>182960</v>
      </c>
      <c r="F787" s="1">
        <v>96</v>
      </c>
      <c r="G787" s="1">
        <v>980</v>
      </c>
      <c r="H787" s="1" t="str">
        <f>"96/07/03"</f>
        <v>96/07/03</v>
      </c>
      <c r="I787" s="1" t="str">
        <f>"كيلوگرم"</f>
        <v>كيلوگرم</v>
      </c>
      <c r="J787" s="1" t="str">
        <f>"0000000076"</f>
        <v>0000000076</v>
      </c>
      <c r="K787" s="1" t="str">
        <f>"قير 60/70 - فله"</f>
        <v>قير 60/70 - فله</v>
      </c>
      <c r="L787" s="1">
        <v>100</v>
      </c>
      <c r="M787" s="1" t="str">
        <f>"مخازن قير اصفهان"</f>
        <v>مخازن قير اصفهان</v>
      </c>
      <c r="N787" s="1">
        <v>9905</v>
      </c>
      <c r="O787" s="1">
        <v>50036274</v>
      </c>
      <c r="P787" s="1" t="str">
        <f>"  شهرداري خورموج"</f>
        <v xml:space="preserve">  شهرداري خورموج</v>
      </c>
      <c r="Q787" s="1">
        <v>20</v>
      </c>
      <c r="R787" s="1" t="str">
        <f>"فروش داخلي - سازمان شهرداري ها و دهياري هاي كشور"</f>
        <v>فروش داخلي - سازمان شهرداري ها و دهياري هاي كشور</v>
      </c>
      <c r="S787" s="1" t="str">
        <f>"قرارداد فروش"</f>
        <v>قرارداد فروش</v>
      </c>
      <c r="T787" s="1" t="str">
        <f>"ندارد"</f>
        <v>ندارد</v>
      </c>
      <c r="U787" s="1" t="str">
        <f>"تعاوني جم گستر (1001 ج 89)"</f>
        <v>تعاوني جم گستر (1001 ج 89)</v>
      </c>
      <c r="V787" s="1">
        <v>962000111</v>
      </c>
      <c r="W787" s="1">
        <v>962000111</v>
      </c>
      <c r="X787" s="1" t="str">
        <f>"1396514467"</f>
        <v>1396514467</v>
      </c>
      <c r="Y787" s="1" t="str">
        <f>"96/07/03"</f>
        <v>96/07/03</v>
      </c>
      <c r="Z787" s="1" t="str">
        <f>"26749مرحله اول"</f>
        <v>26749مرحله اول</v>
      </c>
      <c r="AA787" s="1" t="str">
        <f>"شهرداريها"</f>
        <v>شهرداريها</v>
      </c>
      <c r="AB787" s="1" t="str">
        <f>"96/06/29"</f>
        <v>96/06/29</v>
      </c>
      <c r="AC787" s="1" t="str">
        <f>"بوشهر"</f>
        <v>بوشهر</v>
      </c>
      <c r="AD787" s="1" t="str">
        <f>"96/07/03"</f>
        <v>96/07/03</v>
      </c>
      <c r="AE787" s="1" t="str">
        <f>"تاييدشده"</f>
        <v>تاييدشده</v>
      </c>
      <c r="AF787" s="1" t="str">
        <f>""</f>
        <v/>
      </c>
      <c r="AG787" s="1" t="str">
        <f>""</f>
        <v/>
      </c>
      <c r="AH787" s="1" t="str">
        <f>""</f>
        <v/>
      </c>
      <c r="AI787" s="1" t="str">
        <f>""</f>
        <v/>
      </c>
      <c r="AJ787" s="1" t="str">
        <f>""</f>
        <v/>
      </c>
      <c r="AK787" s="1" t="str">
        <f>""</f>
        <v/>
      </c>
    </row>
    <row r="788" spans="1:37">
      <c r="A788" s="1">
        <v>370000</v>
      </c>
      <c r="B788" s="1">
        <v>961400001</v>
      </c>
      <c r="C788" s="1" t="str">
        <f>"تخليه يزدشهرستان بهاباد كارخانه آسفالت شهرداري بهاباد"</f>
        <v>تخليه يزدشهرستان بهاباد كارخانه آسفالت شهرداري بهاباد</v>
      </c>
      <c r="D788" s="1">
        <v>9354</v>
      </c>
      <c r="E788" s="1">
        <v>369360</v>
      </c>
      <c r="F788" s="1">
        <v>96</v>
      </c>
      <c r="G788" s="1">
        <v>640</v>
      </c>
      <c r="H788" s="1" t="str">
        <f>"96/01/15"</f>
        <v>96/01/15</v>
      </c>
      <c r="I788" s="1" t="str">
        <f>"كيلوگرم"</f>
        <v>كيلوگرم</v>
      </c>
      <c r="J788" s="1" t="str">
        <f>"0000000091"</f>
        <v>0000000091</v>
      </c>
      <c r="K788" s="1" t="str">
        <f>"قير  PG64-22"</f>
        <v>قير  PG64-22</v>
      </c>
      <c r="L788" s="1">
        <v>100</v>
      </c>
      <c r="M788" s="1" t="str">
        <f>"مخازن قير اصفهان"</f>
        <v>مخازن قير اصفهان</v>
      </c>
      <c r="N788" s="1">
        <v>1602</v>
      </c>
      <c r="O788" s="1">
        <v>50034349</v>
      </c>
      <c r="P788" s="1" t="str">
        <f>"  اداره كل راه و شهرسازي يزد"</f>
        <v xml:space="preserve">  اداره كل راه و شهرسازي يزد</v>
      </c>
      <c r="Q788" s="1">
        <v>14</v>
      </c>
      <c r="R788" s="1" t="str">
        <f>"فروش داخلي - وزارت راه - حوزه راه روستايي ساخت"</f>
        <v>فروش داخلي - وزارت راه - حوزه راه روستايي ساخت</v>
      </c>
      <c r="S788" s="1" t="str">
        <f>"قرارداد فروش"</f>
        <v>قرارداد فروش</v>
      </c>
      <c r="T788" s="1" t="str">
        <f>"ندارد"</f>
        <v>ندارد</v>
      </c>
      <c r="U788" s="1" t="str">
        <f>"قانعي محمدرضا(1011ج89)"</f>
        <v>قانعي محمدرضا(1011ج89)</v>
      </c>
      <c r="V788" s="1">
        <v>961400001</v>
      </c>
      <c r="W788" s="1">
        <v>961400001</v>
      </c>
      <c r="X788" s="1" t="str">
        <f>"1395471084"</f>
        <v>1395471084</v>
      </c>
      <c r="Y788" s="1" t="str">
        <f>"96/01/15"</f>
        <v>96/01/15</v>
      </c>
      <c r="Z788" s="1" t="str">
        <f>"66952/710"</f>
        <v>66952/710</v>
      </c>
      <c r="AA788" s="1" t="str">
        <f>"راه وروستايي -ساخت"</f>
        <v>راه وروستايي -ساخت</v>
      </c>
      <c r="AB788" s="1" t="str">
        <f>"95/12/25"</f>
        <v>95/12/25</v>
      </c>
      <c r="AC788" s="1" t="str">
        <f>"استان يزد"</f>
        <v>استان يزد</v>
      </c>
      <c r="AD788" s="1" t="str">
        <f>"95/12/28"</f>
        <v>95/12/28</v>
      </c>
      <c r="AE788" s="1" t="str">
        <f>"اختتام"</f>
        <v>اختتام</v>
      </c>
      <c r="AF788" s="1" t="str">
        <f>""</f>
        <v/>
      </c>
      <c r="AG788" s="1" t="str">
        <f>""</f>
        <v/>
      </c>
      <c r="AH788" s="1" t="str">
        <f>""</f>
        <v/>
      </c>
      <c r="AI788" s="1" t="str">
        <f>""</f>
        <v/>
      </c>
      <c r="AJ788" s="1" t="str">
        <f>""</f>
        <v/>
      </c>
      <c r="AK788" s="1" t="str">
        <f>""</f>
        <v/>
      </c>
    </row>
    <row r="789" spans="1:37">
      <c r="A789" s="1">
        <v>1000000</v>
      </c>
      <c r="B789" s="1">
        <v>961700107</v>
      </c>
      <c r="C789" s="1" t="str">
        <f>"تخليه - يزد-کارخانه آسفالت شرکت هموار راه کوير"</f>
        <v>تخليه - يزد-کارخانه آسفالت شرکت هموار راه کوير</v>
      </c>
      <c r="D789" s="1">
        <v>13600</v>
      </c>
      <c r="E789" s="1">
        <v>999720</v>
      </c>
      <c r="F789" s="1">
        <v>96</v>
      </c>
      <c r="G789" s="1">
        <v>280</v>
      </c>
      <c r="H789" s="1" t="str">
        <f>"96/07/11"</f>
        <v>96/07/11</v>
      </c>
      <c r="I789" s="1" t="str">
        <f>"كيلوگرم"</f>
        <v>كيلوگرم</v>
      </c>
      <c r="J789" s="1" t="str">
        <f>"0000000091"</f>
        <v>0000000091</v>
      </c>
      <c r="K789" s="1" t="str">
        <f>"قير  PG64-22"</f>
        <v>قير  PG64-22</v>
      </c>
      <c r="L789" s="1">
        <v>100</v>
      </c>
      <c r="M789" s="1" t="str">
        <f>"مخازن قير اصفهان"</f>
        <v>مخازن قير اصفهان</v>
      </c>
      <c r="N789" s="1">
        <v>1602</v>
      </c>
      <c r="O789" s="1">
        <v>50036519</v>
      </c>
      <c r="P789" s="1" t="str">
        <f>"  اداره كل راه و شهرسازي يزد"</f>
        <v xml:space="preserve">  اداره كل راه و شهرسازي يزد</v>
      </c>
      <c r="Q789" s="1">
        <v>17</v>
      </c>
      <c r="R789" s="1" t="str">
        <f>"فروش داخلي تهران - وزارت راه - راه روستايي - روکش"</f>
        <v>فروش داخلي تهران - وزارت راه - راه روستايي - روکش</v>
      </c>
      <c r="S789" s="1" t="str">
        <f>"قرارداد فروش"</f>
        <v>قرارداد فروش</v>
      </c>
      <c r="T789" s="1" t="str">
        <f>"ندارد"</f>
        <v>ندارد</v>
      </c>
      <c r="U789" s="1" t="str">
        <f>"شيخي خيراله (1841012)"</f>
        <v>شيخي خيراله (1841012)</v>
      </c>
      <c r="V789" s="1">
        <v>961700107</v>
      </c>
      <c r="W789" s="1">
        <v>961700107</v>
      </c>
      <c r="X789" s="1" t="str">
        <f>"1396515918"</f>
        <v>1396515918</v>
      </c>
      <c r="Y789" s="1" t="str">
        <f>"96/07/11"</f>
        <v>96/07/11</v>
      </c>
      <c r="Z789" s="1" t="str">
        <f>"32928/710"</f>
        <v>32928/710</v>
      </c>
      <c r="AA789" s="1" t="str">
        <f>"راه روستائي -روكش"</f>
        <v>راه روستائي -روكش</v>
      </c>
      <c r="AB789" s="1" t="str">
        <f>"96/07/03"</f>
        <v>96/07/03</v>
      </c>
      <c r="AC789" s="1" t="str">
        <f>"استان يزد"</f>
        <v>استان يزد</v>
      </c>
      <c r="AD789" s="1" t="str">
        <f>"96/07/11"</f>
        <v>96/07/11</v>
      </c>
      <c r="AE789" s="1" t="str">
        <f>"اختتام"</f>
        <v>اختتام</v>
      </c>
      <c r="AF789" s="1" t="str">
        <f>""</f>
        <v/>
      </c>
      <c r="AG789" s="1" t="str">
        <f>""</f>
        <v/>
      </c>
      <c r="AH789" s="1" t="str">
        <f>""</f>
        <v/>
      </c>
      <c r="AI789" s="1" t="str">
        <f>""</f>
        <v/>
      </c>
      <c r="AJ789" s="1" t="str">
        <f>""</f>
        <v/>
      </c>
      <c r="AK789" s="1" t="str">
        <f>""</f>
        <v/>
      </c>
    </row>
    <row r="790" spans="1:37">
      <c r="A790" s="1">
        <v>100000</v>
      </c>
      <c r="B790" s="1">
        <v>961100057</v>
      </c>
      <c r="C790" s="1" t="str">
        <f>"تخليه كرمانشاه محوركرمانشاه -هرسين ازپليس راه كيلومتر9روبروي روستاي چهر"</f>
        <v>تخليه كرمانشاه محوركرمانشاه -هرسين ازپليس راه كيلومتر9روبروي روستاي چهر</v>
      </c>
      <c r="D790" s="1">
        <v>9204</v>
      </c>
      <c r="E790" s="1">
        <v>100000</v>
      </c>
      <c r="F790" s="1">
        <v>96</v>
      </c>
      <c r="G790" s="1">
        <v>0</v>
      </c>
      <c r="H790" s="1" t="str">
        <f>"96/06/06"</f>
        <v>96/06/06</v>
      </c>
      <c r="I790" s="1" t="str">
        <f>"كيلوگرم"</f>
        <v>كيلوگرم</v>
      </c>
      <c r="J790" s="1" t="str">
        <f>"0000000091"</f>
        <v>0000000091</v>
      </c>
      <c r="K790" s="1" t="str">
        <f>"قير  PG64-22"</f>
        <v>قير  PG64-22</v>
      </c>
      <c r="L790" s="1">
        <v>100</v>
      </c>
      <c r="M790" s="1" t="str">
        <f>"مخازن قير اصفهان"</f>
        <v>مخازن قير اصفهان</v>
      </c>
      <c r="N790" s="1">
        <v>8120</v>
      </c>
      <c r="O790" s="1">
        <v>50035828</v>
      </c>
      <c r="P790" s="1" t="str">
        <f>"  مرزراه"</f>
        <v xml:space="preserve">  مرزراه</v>
      </c>
      <c r="Q790" s="1">
        <v>11</v>
      </c>
      <c r="R790" s="1" t="str">
        <f>"فروش داخلي تهران - بورس"</f>
        <v>فروش داخلي تهران - بورس</v>
      </c>
      <c r="S790" s="1" t="str">
        <f>"قرارداد فروش"</f>
        <v>قرارداد فروش</v>
      </c>
      <c r="T790" s="1" t="str">
        <f>"ندارد"</f>
        <v>ندارد</v>
      </c>
      <c r="U790" s="1" t="str">
        <f>"شمسيان پور حبيب اله(2842034)"</f>
        <v>شمسيان پور حبيب اله(2842034)</v>
      </c>
      <c r="V790" s="1">
        <v>961100057</v>
      </c>
      <c r="W790" s="1">
        <v>961100057</v>
      </c>
      <c r="X790" s="1" t="str">
        <f>"1396508153"</f>
        <v>1396508153</v>
      </c>
      <c r="Y790" s="1" t="str">
        <f>"96/06/06"</f>
        <v>96/06/06</v>
      </c>
      <c r="Z790" s="1" t="str">
        <f>"96-36101"</f>
        <v>96-36101</v>
      </c>
      <c r="AA790" s="1" t="str">
        <f>"راه سازي"</f>
        <v>راه سازي</v>
      </c>
      <c r="AB790" s="1" t="str">
        <f>"96/06/06"</f>
        <v>96/06/06</v>
      </c>
      <c r="AC790" s="1" t="str">
        <f>"استان كرمانشاه"</f>
        <v>استان كرمانشاه</v>
      </c>
      <c r="AD790" s="1" t="str">
        <f>"96/06/05"</f>
        <v>96/06/05</v>
      </c>
      <c r="AE790" s="1" t="str">
        <f>"اختتام"</f>
        <v>اختتام</v>
      </c>
      <c r="AF790" s="1" t="str">
        <f>""</f>
        <v/>
      </c>
      <c r="AG790" s="1" t="str">
        <f>""</f>
        <v/>
      </c>
      <c r="AH790" s="1" t="str">
        <f>""</f>
        <v/>
      </c>
      <c r="AI790" s="1" t="str">
        <f>""</f>
        <v/>
      </c>
      <c r="AJ790" s="1" t="str">
        <f>""</f>
        <v/>
      </c>
      <c r="AK790" s="1" t="str">
        <f>""</f>
        <v/>
      </c>
    </row>
    <row r="791" spans="1:37">
      <c r="A791" s="1">
        <v>2000000</v>
      </c>
      <c r="B791" s="1">
        <v>961100126</v>
      </c>
      <c r="C791" s="1" t="str">
        <f>"تخليه خراسان رضوي مشهدجاده كلات كيلومتر14جاده كلات كارخانه آسفالت شهيدمجيدي"</f>
        <v>تخليه خراسان رضوي مشهدجاده كلات كيلومتر14جاده كلات كارخانه آسفالت شهيدمجيدي</v>
      </c>
      <c r="D791" s="1">
        <v>13450</v>
      </c>
      <c r="E791" s="1">
        <v>1994280</v>
      </c>
      <c r="F791" s="1">
        <v>96</v>
      </c>
      <c r="G791" s="1">
        <v>5720</v>
      </c>
      <c r="H791" s="1" t="str">
        <f>"96/11/25"</f>
        <v>96/11/25</v>
      </c>
      <c r="I791" s="1" t="str">
        <f>"كيلوگرم"</f>
        <v>كيلوگرم</v>
      </c>
      <c r="J791" s="1" t="str">
        <f>"0000000091"</f>
        <v>0000000091</v>
      </c>
      <c r="K791" s="1" t="str">
        <f>"قير  PG64-22"</f>
        <v>قير  PG64-22</v>
      </c>
      <c r="L791" s="1">
        <v>100</v>
      </c>
      <c r="M791" s="1" t="str">
        <f>"مخازن قير اصفهان"</f>
        <v>مخازن قير اصفهان</v>
      </c>
      <c r="N791" s="1">
        <v>8163</v>
      </c>
      <c r="O791" s="1">
        <v>50038522</v>
      </c>
      <c r="P791" s="1" t="str">
        <f>"  سازمان عمران شهرداري مشهد"</f>
        <v xml:space="preserve">  سازمان عمران شهرداري مشهد</v>
      </c>
      <c r="Q791" s="1">
        <v>11</v>
      </c>
      <c r="R791" s="1" t="str">
        <f>"فروش داخلي تهران - بورس"</f>
        <v>فروش داخلي تهران - بورس</v>
      </c>
      <c r="S791" s="1" t="str">
        <f>"قرارداد فروش"</f>
        <v>قرارداد فروش</v>
      </c>
      <c r="T791" s="1" t="str">
        <f>"ندارد"</f>
        <v>ندارد</v>
      </c>
      <c r="U791" s="1" t="str">
        <f>"جعفرزاده مهدي(1841079)"</f>
        <v>جعفرزاده مهدي(1841079)</v>
      </c>
      <c r="V791" s="1">
        <v>961100126</v>
      </c>
      <c r="W791" s="1">
        <v>961100126</v>
      </c>
      <c r="X791" s="1" t="str">
        <f>"1396547335"</f>
        <v>1396547335</v>
      </c>
      <c r="Y791" s="1" t="str">
        <f>"96/11/24"</f>
        <v>96/11/24</v>
      </c>
      <c r="Z791" s="1" t="str">
        <f>"49/21683"</f>
        <v>49/21683</v>
      </c>
      <c r="AA791" s="1" t="str">
        <f>"شهرداريها"</f>
        <v>شهرداريها</v>
      </c>
      <c r="AB791" s="1" t="str">
        <f>"96/11/24"</f>
        <v>96/11/24</v>
      </c>
      <c r="AC791" s="1" t="str">
        <f>"خراسان رضوي"</f>
        <v>خراسان رضوي</v>
      </c>
      <c r="AD791" s="1" t="str">
        <f>"96/11/23"</f>
        <v>96/11/23</v>
      </c>
      <c r="AE791" s="1" t="str">
        <f>"اختتام"</f>
        <v>اختتام</v>
      </c>
      <c r="AF791" s="1" t="str">
        <f>""</f>
        <v/>
      </c>
      <c r="AG791" s="1" t="str">
        <f>""</f>
        <v/>
      </c>
      <c r="AH791" s="1" t="str">
        <f>""</f>
        <v/>
      </c>
      <c r="AI791" s="1" t="str">
        <f>""</f>
        <v/>
      </c>
      <c r="AJ791" s="1" t="str">
        <f>""</f>
        <v/>
      </c>
      <c r="AK791" s="1" t="str">
        <f>""</f>
        <v/>
      </c>
    </row>
    <row r="792" spans="1:37">
      <c r="A792" s="1">
        <v>290000</v>
      </c>
      <c r="B792" s="1">
        <v>961900085</v>
      </c>
      <c r="C792" s="1" t="str">
        <f>"تخليه -چهارمحال وبختياري -دوراهي فارسان جونقان جنب كارخانه گچ -كارخانه آسفالت شركت احمديه چليچه"</f>
        <v>تخليه -چهارمحال وبختياري -دوراهي فارسان جونقان جنب كارخانه گچ -كارخانه آسفالت شركت احمديه چليچه</v>
      </c>
      <c r="D792" s="1">
        <v>8904</v>
      </c>
      <c r="E792" s="1">
        <v>290000</v>
      </c>
      <c r="F792" s="1">
        <v>96</v>
      </c>
      <c r="G792" s="1">
        <v>0</v>
      </c>
      <c r="H792" s="1" t="str">
        <f>"96/04/25"</f>
        <v>96/04/25</v>
      </c>
      <c r="I792" s="1" t="str">
        <f>"كيلوگرم"</f>
        <v>كيلوگرم</v>
      </c>
      <c r="J792" s="1" t="str">
        <f>"0000000088"</f>
        <v>0000000088</v>
      </c>
      <c r="K792" s="1" t="str">
        <f>"قير  PG58-22"</f>
        <v>قير  PG58-22</v>
      </c>
      <c r="L792" s="1">
        <v>100</v>
      </c>
      <c r="M792" s="1" t="str">
        <f>"مخازن قير اصفهان"</f>
        <v>مخازن قير اصفهان</v>
      </c>
      <c r="N792" s="1">
        <v>9809</v>
      </c>
      <c r="O792" s="1">
        <v>50035228</v>
      </c>
      <c r="P792" s="1" t="str">
        <f>"  راه و ساختمان احمديه چليچه"</f>
        <v xml:space="preserve">  راه و ساختمان احمديه چليچه</v>
      </c>
      <c r="Q792" s="1">
        <v>19</v>
      </c>
      <c r="R79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792" s="1" t="str">
        <f>"قرارداد فروش"</f>
        <v>قرارداد فروش</v>
      </c>
      <c r="T792" s="1" t="str">
        <f>"ندارد"</f>
        <v>ندارد</v>
      </c>
      <c r="U792" s="1" t="str">
        <f>"قره باغي مجيد(1871065)"</f>
        <v>قره باغي مجيد(1871065)</v>
      </c>
      <c r="V792" s="1">
        <v>961900085</v>
      </c>
      <c r="W792" s="1">
        <v>961900085</v>
      </c>
      <c r="X792" s="1" t="str">
        <f>"1396496977"</f>
        <v>1396496977</v>
      </c>
      <c r="Y792" s="1" t="str">
        <f>"96/04/25"</f>
        <v>96/04/25</v>
      </c>
      <c r="Z792" s="1" t="str">
        <f>"18234/710"</f>
        <v>18234/710</v>
      </c>
      <c r="AA792" s="1" t="str">
        <f>"سازمان راهداري وحمل نقل جاده اي"</f>
        <v>سازمان راهداري وحمل نقل جاده اي</v>
      </c>
      <c r="AB792" s="1" t="str">
        <f>"96/04/21"</f>
        <v>96/04/21</v>
      </c>
      <c r="AC792" s="1" t="str">
        <f>"استان چهارمحال بختياري"</f>
        <v>استان چهارمحال بختياري</v>
      </c>
      <c r="AD792" s="1" t="str">
        <f>"96/04/25"</f>
        <v>96/04/25</v>
      </c>
      <c r="AE792" s="1" t="str">
        <f>"اختتام"</f>
        <v>اختتام</v>
      </c>
      <c r="AF792" s="1" t="str">
        <f>""</f>
        <v/>
      </c>
      <c r="AG792" s="1" t="str">
        <f>""</f>
        <v/>
      </c>
      <c r="AH792" s="1" t="str">
        <f>""</f>
        <v/>
      </c>
      <c r="AI792" s="1" t="str">
        <f>""</f>
        <v/>
      </c>
      <c r="AJ792" s="1" t="str">
        <f>""</f>
        <v/>
      </c>
      <c r="AK792" s="1" t="str">
        <f>""</f>
        <v/>
      </c>
    </row>
    <row r="793" spans="1:37">
      <c r="A793" s="1">
        <v>200000</v>
      </c>
      <c r="B793" s="1">
        <v>961800030</v>
      </c>
      <c r="C793" s="1" t="str">
        <f>"تخليه -كيلومتر25سقز-سنندج -کارخانه آسفالت شركت بيس راه"</f>
        <v>تخليه -كيلومتر25سقز-سنندج -کارخانه آسفالت شركت بيس راه</v>
      </c>
      <c r="D793" s="1">
        <v>9204</v>
      </c>
      <c r="E793" s="1">
        <v>196280</v>
      </c>
      <c r="F793" s="1">
        <v>96</v>
      </c>
      <c r="G793" s="1">
        <v>3720</v>
      </c>
      <c r="H793" s="1" t="str">
        <f>"96/05/25"</f>
        <v>96/05/25</v>
      </c>
      <c r="I793" s="1" t="str">
        <f>"كيلوگرم"</f>
        <v>كيلوگرم</v>
      </c>
      <c r="J793" s="1" t="str">
        <f>"0000000088"</f>
        <v>0000000088</v>
      </c>
      <c r="K793" s="1" t="str">
        <f>"قير  PG58-22"</f>
        <v>قير  PG58-22</v>
      </c>
      <c r="L793" s="1">
        <v>100</v>
      </c>
      <c r="M793" s="1" t="str">
        <f>"مخازن قير اصفهان"</f>
        <v>مخازن قير اصفهان</v>
      </c>
      <c r="N793" s="1">
        <v>9805</v>
      </c>
      <c r="O793" s="1">
        <v>50035705</v>
      </c>
      <c r="P793" s="1" t="str">
        <f>"  بيس راه"</f>
        <v xml:space="preserve">  بيس راه</v>
      </c>
      <c r="Q793" s="1">
        <v>18</v>
      </c>
      <c r="R793" s="1" t="str">
        <f>"فروش داخلي تهران - وزارت راه - شرکت ساخت و توسعه راهها"</f>
        <v>فروش داخلي تهران - وزارت راه - شرکت ساخت و توسعه راهها</v>
      </c>
      <c r="S793" s="1" t="str">
        <f>"قرارداد فروش"</f>
        <v>قرارداد فروش</v>
      </c>
      <c r="T793" s="1" t="str">
        <f>"ندارد"</f>
        <v>ندارد</v>
      </c>
      <c r="U793" s="1" t="str">
        <f>"خليلي مقدم حسين(3843001)"</f>
        <v>خليلي مقدم حسين(3843001)</v>
      </c>
      <c r="V793" s="1">
        <v>961800030</v>
      </c>
      <c r="W793" s="1">
        <v>961800030</v>
      </c>
      <c r="X793" s="1" t="str">
        <f>"1396506148"</f>
        <v>1396506148</v>
      </c>
      <c r="Y793" s="1" t="str">
        <f>"96/05/25"</f>
        <v>96/05/25</v>
      </c>
      <c r="Z793" s="1" t="str">
        <f>"23748/710"</f>
        <v>23748/710</v>
      </c>
      <c r="AA793" s="1" t="str">
        <f>"وزارت راه و ترابري-زيرساخت"</f>
        <v>وزارت راه و ترابري-زيرساخت</v>
      </c>
      <c r="AB793" s="1" t="str">
        <f>"96/05/18"</f>
        <v>96/05/18</v>
      </c>
      <c r="AC793" s="1" t="str">
        <f>"استان كرمانشاه"</f>
        <v>استان كرمانشاه</v>
      </c>
      <c r="AD793" s="1" t="str">
        <f>"96/05/25"</f>
        <v>96/05/25</v>
      </c>
      <c r="AE793" s="1" t="str">
        <f>"اختتام"</f>
        <v>اختتام</v>
      </c>
      <c r="AF793" s="1" t="str">
        <f>""</f>
        <v/>
      </c>
      <c r="AG793" s="1" t="str">
        <f>""</f>
        <v/>
      </c>
      <c r="AH793" s="1" t="str">
        <f>""</f>
        <v/>
      </c>
      <c r="AI793" s="1" t="str">
        <f>""</f>
        <v/>
      </c>
      <c r="AJ793" s="1" t="str">
        <f>""</f>
        <v/>
      </c>
      <c r="AK793" s="1" t="str">
        <f>""</f>
        <v/>
      </c>
    </row>
    <row r="794" spans="1:37">
      <c r="A794" s="1">
        <v>390000</v>
      </c>
      <c r="B794" s="1">
        <v>961100119</v>
      </c>
      <c r="C794" s="1" t="str">
        <f>"تخليه-كيلومتر10جاده زاهدان -خاش -كارخانه آسفالت شهرداري زاهدان"</f>
        <v>تخليه-كيلومتر10جاده زاهدان -خاش -كارخانه آسفالت شهرداري زاهدان</v>
      </c>
      <c r="D794" s="1">
        <v>13200</v>
      </c>
      <c r="E794" s="1">
        <v>388060</v>
      </c>
      <c r="F794" s="1">
        <v>96</v>
      </c>
      <c r="G794" s="1">
        <v>1940</v>
      </c>
      <c r="H794" s="1" t="str">
        <f>"96/11/16"</f>
        <v>96/11/16</v>
      </c>
      <c r="I794" s="1" t="str">
        <f>"كيلوگرم"</f>
        <v>كيلوگرم</v>
      </c>
      <c r="J794" s="1" t="str">
        <f>"0000000076"</f>
        <v>0000000076</v>
      </c>
      <c r="K794" s="1" t="str">
        <f>"قير 60/70 - فله"</f>
        <v>قير 60/70 - فله</v>
      </c>
      <c r="L794" s="1">
        <v>100</v>
      </c>
      <c r="M794" s="1" t="str">
        <f>"مخازن قير اصفهان"</f>
        <v>مخازن قير اصفهان</v>
      </c>
      <c r="N794" s="1">
        <v>9938</v>
      </c>
      <c r="O794" s="1">
        <v>50038403</v>
      </c>
      <c r="P794" s="1" t="str">
        <f>"  سازمان عمران شهرداري زاهدان"</f>
        <v xml:space="preserve">  سازمان عمران شهرداري زاهدان</v>
      </c>
      <c r="Q794" s="1">
        <v>11</v>
      </c>
      <c r="R794" s="1" t="str">
        <f>"فروش داخلي تهران - بورس"</f>
        <v>فروش داخلي تهران - بورس</v>
      </c>
      <c r="S794" s="1" t="str">
        <f>"قرارداد فروش"</f>
        <v>قرارداد فروش</v>
      </c>
      <c r="T794" s="1" t="str">
        <f>"ندارد"</f>
        <v>ندارد</v>
      </c>
      <c r="U794" s="1" t="str">
        <f>"ميرحسيني سيناترابر سيدمحمد(4854031)"</f>
        <v>ميرحسيني سيناترابر سيدمحمد(4854031)</v>
      </c>
      <c r="V794" s="1">
        <v>961100119</v>
      </c>
      <c r="W794" s="1">
        <v>961100119</v>
      </c>
      <c r="X794" s="1" t="str">
        <f>"1396544244"</f>
        <v>1396544244</v>
      </c>
      <c r="Y794" s="1" t="str">
        <f>"96/11/15"</f>
        <v>96/11/15</v>
      </c>
      <c r="Z794" s="1" t="str">
        <f>"96-37141"</f>
        <v>96-37141</v>
      </c>
      <c r="AA794" s="1" t="str">
        <f>"شهرداريها"</f>
        <v>شهرداريها</v>
      </c>
      <c r="AB794" s="1" t="str">
        <f>"96/11/15"</f>
        <v>96/11/15</v>
      </c>
      <c r="AC794" s="1" t="str">
        <f>"استان سيستان بلوچستان"</f>
        <v>استان سيستان بلوچستان</v>
      </c>
      <c r="AD794" s="1" t="str">
        <f>"96/11/10"</f>
        <v>96/11/10</v>
      </c>
      <c r="AE794" s="1" t="str">
        <f>"اختتام"</f>
        <v>اختتام</v>
      </c>
      <c r="AF794" s="1" t="str">
        <f>""</f>
        <v/>
      </c>
      <c r="AG794" s="1" t="str">
        <f>""</f>
        <v/>
      </c>
      <c r="AH794" s="1" t="str">
        <f>""</f>
        <v/>
      </c>
      <c r="AI794" s="1" t="str">
        <f>""</f>
        <v/>
      </c>
      <c r="AJ794" s="1" t="str">
        <f>""</f>
        <v/>
      </c>
      <c r="AK794" s="1" t="str">
        <f>""</f>
        <v/>
      </c>
    </row>
    <row r="795" spans="1:37">
      <c r="A795" s="1">
        <v>250000</v>
      </c>
      <c r="B795" s="1">
        <v>961700139</v>
      </c>
      <c r="C795" s="1" t="str">
        <f>"تخليه - کردستان - سنندج-ميلاد راه پارس سازه"</f>
        <v>تخليه - کردستان - سنندج-ميلاد راه پارس سازه</v>
      </c>
      <c r="D795" s="1">
        <v>9716</v>
      </c>
      <c r="E795" s="1">
        <v>247900</v>
      </c>
      <c r="F795" s="1">
        <v>96</v>
      </c>
      <c r="G795" s="1">
        <v>2100</v>
      </c>
      <c r="H795" s="1" t="str">
        <f>"96/07/22"</f>
        <v>96/07/22</v>
      </c>
      <c r="I795" s="1" t="str">
        <f>"كيلوگرم"</f>
        <v>كيلوگرم</v>
      </c>
      <c r="J795" s="1" t="str">
        <f>"0000000088"</f>
        <v>0000000088</v>
      </c>
      <c r="K795" s="1" t="str">
        <f>"قير  PG58-22"</f>
        <v>قير  PG58-22</v>
      </c>
      <c r="L795" s="1">
        <v>100</v>
      </c>
      <c r="M795" s="1" t="str">
        <f>"مخازن قير اصفهان"</f>
        <v>مخازن قير اصفهان</v>
      </c>
      <c r="N795" s="1">
        <v>10529</v>
      </c>
      <c r="O795" s="1">
        <v>50036702</v>
      </c>
      <c r="P795" s="1" t="str">
        <f>"  راه وساختماني وانبوه سازي سنگ سبز"</f>
        <v xml:space="preserve">  راه وساختماني وانبوه سازي سنگ سبز</v>
      </c>
      <c r="Q795" s="1">
        <v>17</v>
      </c>
      <c r="R795" s="1" t="str">
        <f>"فروش داخلي تهران - وزارت راه - راه روستايي - روکش"</f>
        <v>فروش داخلي تهران - وزارت راه - راه روستايي - روکش</v>
      </c>
      <c r="S795" s="1" t="str">
        <f>"قرارداد فروش"</f>
        <v>قرارداد فروش</v>
      </c>
      <c r="T795" s="1" t="str">
        <f>"ندارد"</f>
        <v>ندارد</v>
      </c>
      <c r="U795" s="1" t="str">
        <f>"ميهن دوست عبداله(2842010)"</f>
        <v>ميهن دوست عبداله(2842010)</v>
      </c>
      <c r="V795" s="1">
        <v>961700139</v>
      </c>
      <c r="W795" s="1">
        <v>961700139</v>
      </c>
      <c r="X795" s="1" t="str">
        <f>"1396518620"</f>
        <v>1396518620</v>
      </c>
      <c r="Y795" s="1" t="str">
        <f>"96/07/22"</f>
        <v>96/07/22</v>
      </c>
      <c r="Z795" s="1" t="str">
        <f>"34346/710"</f>
        <v>34346/710</v>
      </c>
      <c r="AA795" s="1" t="str">
        <f>"راه روستائي -روكش"</f>
        <v>راه روستائي -روكش</v>
      </c>
      <c r="AB795" s="1" t="str">
        <f>"96/07/12"</f>
        <v>96/07/12</v>
      </c>
      <c r="AC795" s="1" t="str">
        <f>"استان كردستان"</f>
        <v>استان كردستان</v>
      </c>
      <c r="AD795" s="1" t="str">
        <f>"96/07/22"</f>
        <v>96/07/22</v>
      </c>
      <c r="AE795" s="1" t="str">
        <f>"اختتام"</f>
        <v>اختتام</v>
      </c>
      <c r="AF795" s="1" t="str">
        <f>""</f>
        <v/>
      </c>
      <c r="AG795" s="1" t="str">
        <f>""</f>
        <v/>
      </c>
      <c r="AH795" s="1" t="str">
        <f>""</f>
        <v/>
      </c>
      <c r="AI795" s="1" t="str">
        <f>""</f>
        <v/>
      </c>
      <c r="AJ795" s="1" t="str">
        <f>""</f>
        <v/>
      </c>
      <c r="AK795" s="1" t="str">
        <f>""</f>
        <v/>
      </c>
    </row>
    <row r="796" spans="1:37">
      <c r="A796" s="1">
        <v>53000</v>
      </c>
      <c r="B796" s="1">
        <v>961400005</v>
      </c>
      <c r="C796" s="1" t="str">
        <f>"تخليه خراسان جنوبي شهرستان فردوس كارخانه پتروفردس"</f>
        <v>تخليه خراسان جنوبي شهرستان فردوس كارخانه پتروفردس</v>
      </c>
      <c r="D796" s="1">
        <v>9068</v>
      </c>
      <c r="E796" s="1">
        <v>53000</v>
      </c>
      <c r="F796" s="1">
        <v>96</v>
      </c>
      <c r="G796" s="1">
        <v>0</v>
      </c>
      <c r="H796" s="1" t="str">
        <f>"96/01/27"</f>
        <v>96/01/27</v>
      </c>
      <c r="I796" s="1" t="str">
        <f>"كيلوگرم"</f>
        <v>كيلوگرم</v>
      </c>
      <c r="J796" s="1" t="str">
        <f>"0000000091"</f>
        <v>0000000091</v>
      </c>
      <c r="K796" s="1" t="str">
        <f>"قير  PG64-22"</f>
        <v>قير  PG64-22</v>
      </c>
      <c r="L796" s="1">
        <v>100</v>
      </c>
      <c r="M796" s="1" t="str">
        <f>"مخازن قير اصفهان"</f>
        <v>مخازن قير اصفهان</v>
      </c>
      <c r="N796" s="1">
        <v>4012</v>
      </c>
      <c r="O796" s="1">
        <v>50034614</v>
      </c>
      <c r="P796" s="1" t="str">
        <f>"  اداره كل راه و شهرسازي خراسان جنوبي"</f>
        <v xml:space="preserve">  اداره كل راه و شهرسازي خراسان جنوبي</v>
      </c>
      <c r="Q796" s="1">
        <v>14</v>
      </c>
      <c r="R796" s="1" t="str">
        <f>"فروش داخلي - وزارت راه - حوزه راه روستايي ساخت"</f>
        <v>فروش داخلي - وزارت راه - حوزه راه روستايي ساخت</v>
      </c>
      <c r="S796" s="1" t="str">
        <f>"قرارداد فروش"</f>
        <v>قرارداد فروش</v>
      </c>
      <c r="T796" s="1" t="str">
        <f>"ندارد"</f>
        <v>ندارد</v>
      </c>
      <c r="U796" s="1" t="str">
        <f>"قانعي محمدرضا(1011ج89)"</f>
        <v>قانعي محمدرضا(1011ج89)</v>
      </c>
      <c r="V796" s="1">
        <v>961400005</v>
      </c>
      <c r="W796" s="1">
        <v>961400005</v>
      </c>
      <c r="X796" s="1" t="str">
        <f>"1396474654"</f>
        <v>1396474654</v>
      </c>
      <c r="Y796" s="1" t="str">
        <f>"96/01/27"</f>
        <v>96/01/27</v>
      </c>
      <c r="Z796" s="1" t="str">
        <f>"1790/710"</f>
        <v>1790/710</v>
      </c>
      <c r="AA796" s="1" t="str">
        <f>"راه وروستايي -ساخت"</f>
        <v>راه وروستايي -ساخت</v>
      </c>
      <c r="AB796" s="1" t="str">
        <f>"95/12/28"</f>
        <v>95/12/28</v>
      </c>
      <c r="AC796" s="1" t="str">
        <f>"خراسان جنوبي"</f>
        <v>خراسان جنوبي</v>
      </c>
      <c r="AD796" s="1" t="str">
        <f>"96/01/27"</f>
        <v>96/01/27</v>
      </c>
      <c r="AE796" s="1" t="str">
        <f>"اختتام"</f>
        <v>اختتام</v>
      </c>
      <c r="AF796" s="1" t="str">
        <f>""</f>
        <v/>
      </c>
      <c r="AG796" s="1" t="str">
        <f>""</f>
        <v/>
      </c>
      <c r="AH796" s="1" t="str">
        <f>""</f>
        <v/>
      </c>
      <c r="AI796" s="1" t="str">
        <f>""</f>
        <v/>
      </c>
      <c r="AJ796" s="1" t="str">
        <f>""</f>
        <v/>
      </c>
      <c r="AK796" s="1" t="str">
        <f>""</f>
        <v/>
      </c>
    </row>
    <row r="797" spans="1:37">
      <c r="A797" s="1">
        <v>230000</v>
      </c>
      <c r="B797" s="1">
        <v>961700091</v>
      </c>
      <c r="C797" s="1" t="str">
        <f>"تخليه خراسان جنوبي شهرستان قاين شهراسفدن  كارخانه آسفالت توس راديه"</f>
        <v>تخليه خراسان جنوبي شهرستان قاين شهراسفدن  كارخانه آسفالت توس راديه</v>
      </c>
      <c r="D797" s="1">
        <v>9363</v>
      </c>
      <c r="E797" s="1">
        <v>229160</v>
      </c>
      <c r="F797" s="1">
        <v>96</v>
      </c>
      <c r="G797" s="1">
        <v>840</v>
      </c>
      <c r="H797" s="1" t="str">
        <f>"96/06/21"</f>
        <v>96/06/21</v>
      </c>
      <c r="I797" s="1" t="str">
        <f>"كيلوگرم"</f>
        <v>كيلوگرم</v>
      </c>
      <c r="J797" s="1" t="str">
        <f>"0000000091"</f>
        <v>0000000091</v>
      </c>
      <c r="K797" s="1" t="str">
        <f>"قير  PG64-22"</f>
        <v>قير  PG64-22</v>
      </c>
      <c r="L797" s="1">
        <v>100</v>
      </c>
      <c r="M797" s="1" t="str">
        <f>"مخازن قير اصفهان"</f>
        <v>مخازن قير اصفهان</v>
      </c>
      <c r="N797" s="1">
        <v>4012</v>
      </c>
      <c r="O797" s="1">
        <v>50035968</v>
      </c>
      <c r="P797" s="1" t="str">
        <f>"  اداره كل راه و شهرسازي خراسان جنوبي"</f>
        <v xml:space="preserve">  اداره كل راه و شهرسازي خراسان جنوبي</v>
      </c>
      <c r="Q797" s="1">
        <v>17</v>
      </c>
      <c r="R797" s="1" t="str">
        <f>"فروش داخلي تهران - وزارت راه - راه روستايي - روکش"</f>
        <v>فروش داخلي تهران - وزارت راه - راه روستايي - روکش</v>
      </c>
      <c r="S797" s="1" t="str">
        <f>"قرارداد فروش"</f>
        <v>قرارداد فروش</v>
      </c>
      <c r="T797" s="1" t="str">
        <f>"ندارد"</f>
        <v>ندارد</v>
      </c>
      <c r="U797" s="1" t="str">
        <f>"آقا علي منوچهر(1016ج89)"</f>
        <v>آقا علي منوچهر(1016ج89)</v>
      </c>
      <c r="V797" s="1">
        <v>961700091</v>
      </c>
      <c r="W797" s="1">
        <v>961700091</v>
      </c>
      <c r="X797" s="1" t="str">
        <f>"1396511612"</f>
        <v>1396511612</v>
      </c>
      <c r="Y797" s="1" t="str">
        <f>"96/06/21"</f>
        <v>96/06/21</v>
      </c>
      <c r="Z797" s="1" t="str">
        <f>"29802/710"</f>
        <v>29802/710</v>
      </c>
      <c r="AA797" s="1" t="str">
        <f>"راه روستائي -روكش"</f>
        <v>راه روستائي -روكش</v>
      </c>
      <c r="AB797" s="1" t="str">
        <f>"96/06/15"</f>
        <v>96/06/15</v>
      </c>
      <c r="AC797" s="1" t="str">
        <f>"خراسان جنوبي"</f>
        <v>خراسان جنوبي</v>
      </c>
      <c r="AD797" s="1" t="str">
        <f>"96/06/21"</f>
        <v>96/06/21</v>
      </c>
      <c r="AE797" s="1" t="str">
        <f>"اختتام"</f>
        <v>اختتام</v>
      </c>
      <c r="AF797" s="1" t="str">
        <f>""</f>
        <v/>
      </c>
      <c r="AG797" s="1" t="str">
        <f>""</f>
        <v/>
      </c>
      <c r="AH797" s="1" t="str">
        <f>""</f>
        <v/>
      </c>
      <c r="AI797" s="1" t="str">
        <f>""</f>
        <v/>
      </c>
      <c r="AJ797" s="1" t="str">
        <f>""</f>
        <v/>
      </c>
      <c r="AK797" s="1" t="str">
        <f>""</f>
        <v/>
      </c>
    </row>
    <row r="798" spans="1:37">
      <c r="A798" s="1">
        <v>213000</v>
      </c>
      <c r="B798" s="1">
        <v>961700216</v>
      </c>
      <c r="C798" s="1" t="str">
        <f>"تخليه خراسان جنوبي بيرجند كارخانه آسفالت مسيرياب بيرجند"</f>
        <v>تخليه خراسان جنوبي بيرجند كارخانه آسفالت مسيرياب بيرجند</v>
      </c>
      <c r="D798" s="1">
        <v>14000</v>
      </c>
      <c r="E798" s="1">
        <v>212480</v>
      </c>
      <c r="F798" s="1">
        <v>96</v>
      </c>
      <c r="G798" s="1">
        <v>520</v>
      </c>
      <c r="H798" s="1" t="str">
        <f>"96/12/24"</f>
        <v>96/12/24</v>
      </c>
      <c r="I798" s="1" t="str">
        <f>"كيلوگرم"</f>
        <v>كيلوگرم</v>
      </c>
      <c r="J798" s="1" t="str">
        <f>"0000000091"</f>
        <v>0000000091</v>
      </c>
      <c r="K798" s="1" t="str">
        <f>"قير  PG64-22"</f>
        <v>قير  PG64-22</v>
      </c>
      <c r="L798" s="1">
        <v>100</v>
      </c>
      <c r="M798" s="1" t="str">
        <f>"مخازن قير اصفهان"</f>
        <v>مخازن قير اصفهان</v>
      </c>
      <c r="N798" s="1">
        <v>4012</v>
      </c>
      <c r="O798" s="1">
        <v>50038995</v>
      </c>
      <c r="P798" s="1" t="str">
        <f>"  اداره كل راه و شهرسازي خراسان جنوبي"</f>
        <v xml:space="preserve">  اداره كل راه و شهرسازي خراسان جنوبي</v>
      </c>
      <c r="Q798" s="1">
        <v>17</v>
      </c>
      <c r="R798" s="1" t="str">
        <f>"فروش داخلي تهران - وزارت راه - راه روستايي - روکش"</f>
        <v>فروش داخلي تهران - وزارت راه - راه روستايي - روکش</v>
      </c>
      <c r="S798" s="1" t="str">
        <f>"قرارداد فروش"</f>
        <v>قرارداد فروش</v>
      </c>
      <c r="T798" s="1" t="str">
        <f>"ندارد"</f>
        <v>ندارد</v>
      </c>
      <c r="U798" s="1" t="str">
        <f>"كاردان اسپادان راه مصطفي  (1911100)"</f>
        <v>كاردان اسپادان راه مصطفي  (1911100)</v>
      </c>
      <c r="V798" s="1">
        <v>961700216</v>
      </c>
      <c r="W798" s="1">
        <v>961700216</v>
      </c>
      <c r="X798" s="1" t="str">
        <f>"1396553914"</f>
        <v>1396553914</v>
      </c>
      <c r="Y798" s="1" t="str">
        <f>"96/12/24"</f>
        <v>96/12/24</v>
      </c>
      <c r="Z798" s="1" t="str">
        <f>"52792/710"</f>
        <v>52792/710</v>
      </c>
      <c r="AA798" s="1" t="str">
        <f>"راه روستائي -روكش"</f>
        <v>راه روستائي -روكش</v>
      </c>
      <c r="AB798" s="1" t="str">
        <f>"96/10/12"</f>
        <v>96/10/12</v>
      </c>
      <c r="AC798" s="1" t="str">
        <f>"خراسان جنوبي"</f>
        <v>خراسان جنوبي</v>
      </c>
      <c r="AD798" s="1" t="str">
        <f>"96/12/20"</f>
        <v>96/12/20</v>
      </c>
      <c r="AE798" s="1" t="str">
        <f>"اختتام"</f>
        <v>اختتام</v>
      </c>
      <c r="AF798" s="1" t="str">
        <f>""</f>
        <v/>
      </c>
      <c r="AG798" s="1" t="str">
        <f>""</f>
        <v/>
      </c>
      <c r="AH798" s="1" t="str">
        <f>""</f>
        <v/>
      </c>
      <c r="AI798" s="1" t="str">
        <f>""</f>
        <v/>
      </c>
      <c r="AJ798" s="1" t="str">
        <f>""</f>
        <v/>
      </c>
      <c r="AK798" s="1" t="str">
        <f>""</f>
        <v/>
      </c>
    </row>
    <row r="799" spans="1:37">
      <c r="A799" s="1">
        <v>350000</v>
      </c>
      <c r="B799" s="1">
        <v>961900074</v>
      </c>
      <c r="C799" s="1" t="str">
        <f>"تخليه اصفهان -مباركه مقابل شهرطالخونچه كارخانه آسفالت نويدنورسپاهان"</f>
        <v>تخليه اصفهان -مباركه مقابل شهرطالخونچه كارخانه آسفالت نويدنورسپاهان</v>
      </c>
      <c r="D799" s="1">
        <v>9204</v>
      </c>
      <c r="E799" s="1">
        <v>349500</v>
      </c>
      <c r="F799" s="1">
        <v>96</v>
      </c>
      <c r="G799" s="1">
        <v>500</v>
      </c>
      <c r="H799" s="1" t="str">
        <f>"96/04/22"</f>
        <v>96/04/22</v>
      </c>
      <c r="I799" s="1" t="str">
        <f>"كيلوگرم"</f>
        <v>كيلوگرم</v>
      </c>
      <c r="J799" s="1" t="str">
        <f>"0000000088"</f>
        <v>0000000088</v>
      </c>
      <c r="K799" s="1" t="str">
        <f>"قير  PG58-22"</f>
        <v>قير  PG58-22</v>
      </c>
      <c r="L799" s="1">
        <v>100</v>
      </c>
      <c r="M799" s="1" t="str">
        <f>"مخازن قير اصفهان"</f>
        <v>مخازن قير اصفهان</v>
      </c>
      <c r="N799" s="1">
        <v>11147</v>
      </c>
      <c r="O799" s="1">
        <v>50035198</v>
      </c>
      <c r="P799" s="1" t="str">
        <f>"  تعاوني برآيندسازه اسپادانا"</f>
        <v xml:space="preserve">  تعاوني برآيندسازه اسپادانا</v>
      </c>
      <c r="Q799" s="1">
        <v>19</v>
      </c>
      <c r="R79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799" s="1" t="str">
        <f>"قرارداد فروش"</f>
        <v>قرارداد فروش</v>
      </c>
      <c r="T799" s="1" t="str">
        <f>"ندارد"</f>
        <v>ندارد</v>
      </c>
      <c r="U799" s="1" t="str">
        <f>"شهبازي محمدرضا(1029ج89)"</f>
        <v>شهبازي محمدرضا(1029ج89)</v>
      </c>
      <c r="V799" s="1">
        <v>961900074</v>
      </c>
      <c r="W799" s="1">
        <v>961900074</v>
      </c>
      <c r="X799" s="1" t="str">
        <f>"1396496305"</f>
        <v>1396496305</v>
      </c>
      <c r="Y799" s="1" t="str">
        <f>"96/04/22"</f>
        <v>96/04/22</v>
      </c>
      <c r="Z799" s="1" t="str">
        <f>"17684/710"</f>
        <v>17684/710</v>
      </c>
      <c r="AA799" s="1" t="str">
        <f>"سازمان راهداري وحمل نقل جاده اي"</f>
        <v>سازمان راهداري وحمل نقل جاده اي</v>
      </c>
      <c r="AB799" s="1" t="str">
        <f>"96/04/20"</f>
        <v>96/04/20</v>
      </c>
      <c r="AC799" s="1" t="str">
        <f>"استان اصفهان"</f>
        <v>استان اصفهان</v>
      </c>
      <c r="AD799" s="1" t="str">
        <f>"96/04/21"</f>
        <v>96/04/21</v>
      </c>
      <c r="AE799" s="1" t="str">
        <f>"اختتام"</f>
        <v>اختتام</v>
      </c>
      <c r="AF799" s="1" t="str">
        <f>""</f>
        <v/>
      </c>
      <c r="AG799" s="1" t="str">
        <f>""</f>
        <v/>
      </c>
      <c r="AH799" s="1" t="str">
        <f>""</f>
        <v/>
      </c>
      <c r="AI799" s="1" t="str">
        <f>""</f>
        <v/>
      </c>
      <c r="AJ799" s="1" t="str">
        <f>""</f>
        <v/>
      </c>
      <c r="AK799" s="1" t="str">
        <f>""</f>
        <v/>
      </c>
    </row>
    <row r="800" spans="1:37">
      <c r="A800" s="1">
        <v>488000</v>
      </c>
      <c r="B800" s="1">
        <v>966200027</v>
      </c>
      <c r="C800" s="1" t="str">
        <f>"تخليه - آذربايجان غربي - نقده-محمديار-روستاي باراني عجم-کارخانه آسفالت شهرداري محمديار"</f>
        <v>تخليه - آذربايجان غربي - نقده-محمديار-روستاي باراني عجم-کارخانه آسفالت شهرداري محمديار</v>
      </c>
      <c r="D800" s="1">
        <v>8348</v>
      </c>
      <c r="E800" s="1">
        <v>486660</v>
      </c>
      <c r="F800" s="1">
        <v>96</v>
      </c>
      <c r="G800" s="1">
        <v>1340</v>
      </c>
      <c r="H800" s="1" t="str">
        <f>"96/01/23"</f>
        <v>96/01/23</v>
      </c>
      <c r="I800" s="1" t="str">
        <f>"كيلوگرم"</f>
        <v>كيلوگرم</v>
      </c>
      <c r="J800" s="1" t="str">
        <f>"0000000088"</f>
        <v>0000000088</v>
      </c>
      <c r="K800" s="1" t="str">
        <f>"قير  PG58-22"</f>
        <v>قير  PG58-22</v>
      </c>
      <c r="L800" s="1">
        <v>100</v>
      </c>
      <c r="M800" s="1" t="str">
        <f>"مخازن قير اصفهان"</f>
        <v>مخازن قير اصفهان</v>
      </c>
      <c r="N800" s="1">
        <v>11332</v>
      </c>
      <c r="O800" s="1">
        <v>50034552</v>
      </c>
      <c r="P800" s="1" t="str">
        <f>"  آذر آبادگر ان  راسپينا"</f>
        <v xml:space="preserve">  آذر آبادگر ان  راسپينا</v>
      </c>
      <c r="Q800" s="1">
        <v>62</v>
      </c>
      <c r="R800" s="1" t="str">
        <f>"فروش داخلي - سازمان بنيادمسكن انقلاب اسلامي"</f>
        <v>فروش داخلي - سازمان بنيادمسكن انقلاب اسلامي</v>
      </c>
      <c r="S800" s="1" t="str">
        <f>"قرارداد فروش"</f>
        <v>قرارداد فروش</v>
      </c>
      <c r="T800" s="1" t="str">
        <f>"ندارد"</f>
        <v>ندارد</v>
      </c>
      <c r="U800" s="1" t="str">
        <f>"تعاوني جم گستر (1001 ج 89)"</f>
        <v>تعاوني جم گستر (1001 ج 89)</v>
      </c>
      <c r="V800" s="1">
        <v>966200027</v>
      </c>
      <c r="W800" s="1">
        <v>966200027</v>
      </c>
      <c r="X800" s="1" t="str">
        <f>"1396474038"</f>
        <v>1396474038</v>
      </c>
      <c r="Y800" s="1" t="str">
        <f>"96/01/23"</f>
        <v>96/01/23</v>
      </c>
      <c r="Z800" s="1" t="str">
        <f>"1449/د"</f>
        <v>1449/د</v>
      </c>
      <c r="AA800" s="1" t="str">
        <f>"بنيادمسكن انقلاب اسلامي"</f>
        <v>بنيادمسكن انقلاب اسلامي</v>
      </c>
      <c r="AB800" s="1" t="str">
        <f>"96/01/21"</f>
        <v>96/01/21</v>
      </c>
      <c r="AC800" s="1" t="str">
        <f>"استان آذربايجان غربي"</f>
        <v>استان آذربايجان غربي</v>
      </c>
      <c r="AD800" s="1" t="str">
        <f>"96/01/23"</f>
        <v>96/01/23</v>
      </c>
      <c r="AE800" s="1" t="str">
        <f>"اختتام"</f>
        <v>اختتام</v>
      </c>
      <c r="AF800" s="1" t="str">
        <f>""</f>
        <v/>
      </c>
      <c r="AG800" s="1" t="str">
        <f>""</f>
        <v/>
      </c>
      <c r="AH800" s="1" t="str">
        <f>""</f>
        <v/>
      </c>
      <c r="AI800" s="1" t="str">
        <f>""</f>
        <v/>
      </c>
      <c r="AJ800" s="1" t="str">
        <f>""</f>
        <v/>
      </c>
      <c r="AK800" s="1" t="str">
        <f>""</f>
        <v/>
      </c>
    </row>
    <row r="801" spans="1:37">
      <c r="A801" s="1">
        <v>270000</v>
      </c>
      <c r="B801" s="1">
        <v>961700153</v>
      </c>
      <c r="C801" s="1" t="str">
        <f>"تخليه كردستان -شهرستان بيجار جاده ديوان دره كارخانه آسفالت شركت قزل اوزن"</f>
        <v>تخليه كردستان -شهرستان بيجار جاده ديوان دره كارخانه آسفالت شركت قزل اوزن</v>
      </c>
      <c r="D801" s="1">
        <v>16350</v>
      </c>
      <c r="E801" s="1">
        <v>269400</v>
      </c>
      <c r="F801" s="1">
        <v>96</v>
      </c>
      <c r="G801" s="1">
        <v>600</v>
      </c>
      <c r="H801" s="1" t="str">
        <f>"96/08/08"</f>
        <v>96/08/08</v>
      </c>
      <c r="I801" s="1" t="str">
        <f>"كيلوگرم"</f>
        <v>كيلوگرم</v>
      </c>
      <c r="J801" s="1" t="str">
        <f>"0000000088"</f>
        <v>0000000088</v>
      </c>
      <c r="K801" s="1" t="str">
        <f>"قير  PG58-22"</f>
        <v>قير  PG58-22</v>
      </c>
      <c r="L801" s="1">
        <v>100</v>
      </c>
      <c r="M801" s="1" t="str">
        <f>"مخازن قير اصفهان"</f>
        <v>مخازن قير اصفهان</v>
      </c>
      <c r="N801" s="1">
        <v>11488</v>
      </c>
      <c r="O801" s="1">
        <v>50036952</v>
      </c>
      <c r="P801" s="1" t="str">
        <f>"  عمران بتن پينار"</f>
        <v xml:space="preserve">  عمران بتن پينار</v>
      </c>
      <c r="Q801" s="1">
        <v>17</v>
      </c>
      <c r="R801" s="1" t="str">
        <f>"فروش داخلي تهران - وزارت راه - راه روستايي - روکش"</f>
        <v>فروش داخلي تهران - وزارت راه - راه روستايي - روکش</v>
      </c>
      <c r="S801" s="1" t="str">
        <f>"قرارداد فروش"</f>
        <v>قرارداد فروش</v>
      </c>
      <c r="T801" s="1" t="str">
        <f>"ندارد"</f>
        <v>ندارد</v>
      </c>
      <c r="U801" s="1" t="str">
        <f>"قنبري امين(2872037)"</f>
        <v>قنبري امين(2872037)</v>
      </c>
      <c r="V801" s="1">
        <v>961700153</v>
      </c>
      <c r="W801" s="1">
        <v>961700153</v>
      </c>
      <c r="X801" s="1" t="str">
        <f>"1396522095"</f>
        <v>1396522095</v>
      </c>
      <c r="Y801" s="1" t="str">
        <f>"96/08/08"</f>
        <v>96/08/08</v>
      </c>
      <c r="Z801" s="1" t="str">
        <f>"38271/710"</f>
        <v>38271/710</v>
      </c>
      <c r="AA801" s="1" t="str">
        <f>"راه روستائي -روكش"</f>
        <v>راه روستائي -روكش</v>
      </c>
      <c r="AB801" s="1" t="str">
        <f>"96/08/01"</f>
        <v>96/08/01</v>
      </c>
      <c r="AC801" s="1" t="str">
        <f>"استان كردستان"</f>
        <v>استان كردستان</v>
      </c>
      <c r="AD801" s="1" t="str">
        <f>"96/08/08"</f>
        <v>96/08/08</v>
      </c>
      <c r="AE801" s="1" t="str">
        <f>"اختتام"</f>
        <v>اختتام</v>
      </c>
      <c r="AF801" s="1" t="str">
        <f>""</f>
        <v/>
      </c>
      <c r="AG801" s="1" t="str">
        <f>""</f>
        <v/>
      </c>
      <c r="AH801" s="1" t="str">
        <f>""</f>
        <v/>
      </c>
      <c r="AI801" s="1" t="str">
        <f>""</f>
        <v/>
      </c>
      <c r="AJ801" s="1" t="str">
        <f>""</f>
        <v/>
      </c>
      <c r="AK801" s="1" t="str">
        <f>""</f>
        <v/>
      </c>
    </row>
    <row r="802" spans="1:37">
      <c r="A802" s="1">
        <v>200000</v>
      </c>
      <c r="B802" s="1">
        <v>961100088</v>
      </c>
      <c r="C802" s="1" t="str">
        <f>"تخليه -قم -جعفريه - بعد از ناحيه صنعتي طغرودكارخانه آسفالت مهرگازران"</f>
        <v>تخليه -قم -جعفريه - بعد از ناحيه صنعتي طغرودكارخانه آسفالت مهرگازران</v>
      </c>
      <c r="D802" s="1">
        <v>9716</v>
      </c>
      <c r="E802" s="1">
        <v>199200</v>
      </c>
      <c r="F802" s="1">
        <v>96</v>
      </c>
      <c r="G802" s="1">
        <v>800</v>
      </c>
      <c r="H802" s="1" t="str">
        <f>"96/08/10"</f>
        <v>96/08/10</v>
      </c>
      <c r="I802" s="1" t="str">
        <f>"كيلوگرم"</f>
        <v>كيلوگرم</v>
      </c>
      <c r="J802" s="1" t="str">
        <f>"0000000091"</f>
        <v>0000000091</v>
      </c>
      <c r="K802" s="1" t="str">
        <f>"قير  PG64-22"</f>
        <v>قير  PG64-22</v>
      </c>
      <c r="L802" s="1">
        <v>100</v>
      </c>
      <c r="M802" s="1" t="str">
        <f>"مخازن قير اصفهان"</f>
        <v>مخازن قير اصفهان</v>
      </c>
      <c r="N802" s="1">
        <v>9441</v>
      </c>
      <c r="O802" s="1">
        <v>50037012</v>
      </c>
      <c r="P802" s="1" t="str">
        <f>"  راه وساختمان مهرگازران"</f>
        <v xml:space="preserve">  راه وساختمان مهرگازران</v>
      </c>
      <c r="Q802" s="1">
        <v>11</v>
      </c>
      <c r="R802" s="1" t="str">
        <f>"فروش داخلي تهران - بورس"</f>
        <v>فروش داخلي تهران - بورس</v>
      </c>
      <c r="S802" s="1" t="str">
        <f>"قرارداد فروش"</f>
        <v>قرارداد فروش</v>
      </c>
      <c r="T802" s="1" t="str">
        <f>"ندارد"</f>
        <v>ندارد</v>
      </c>
      <c r="U802" s="1" t="str">
        <f>"اميري علي(2842011)"</f>
        <v>اميري علي(2842011)</v>
      </c>
      <c r="V802" s="1">
        <v>961100088</v>
      </c>
      <c r="W802" s="1">
        <v>961100088</v>
      </c>
      <c r="X802" s="1" t="str">
        <f>"1396522407"</f>
        <v>1396522407</v>
      </c>
      <c r="Y802" s="1" t="str">
        <f>"96/08/10"</f>
        <v>96/08/10</v>
      </c>
      <c r="Z802" s="1" t="str">
        <f>"96-36505"</f>
        <v>96-36505</v>
      </c>
      <c r="AA802" s="1" t="str">
        <f>"راه سازي"</f>
        <v>راه سازي</v>
      </c>
      <c r="AB802" s="1" t="str">
        <f>"96/08/10"</f>
        <v>96/08/10</v>
      </c>
      <c r="AC802" s="1" t="str">
        <f>"قم"</f>
        <v>قم</v>
      </c>
      <c r="AD802" s="1" t="str">
        <f>"96/08/09"</f>
        <v>96/08/09</v>
      </c>
      <c r="AE802" s="1" t="str">
        <f>"اختتام"</f>
        <v>اختتام</v>
      </c>
      <c r="AF802" s="1" t="str">
        <f>""</f>
        <v/>
      </c>
      <c r="AG802" s="1" t="str">
        <f>""</f>
        <v/>
      </c>
      <c r="AH802" s="1" t="str">
        <f>""</f>
        <v/>
      </c>
      <c r="AI802" s="1" t="str">
        <f>""</f>
        <v/>
      </c>
      <c r="AJ802" s="1" t="str">
        <f>""</f>
        <v/>
      </c>
      <c r="AK802" s="1" t="str">
        <f>""</f>
        <v/>
      </c>
    </row>
    <row r="803" spans="1:37">
      <c r="A803" s="1">
        <v>1000000</v>
      </c>
      <c r="B803" s="1">
        <v>961800006</v>
      </c>
      <c r="C803" s="1" t="str">
        <f>"تخليه -چهارمحال بختياري -جاده شهركرد-اصفهان -جنب تونل گردنه رخ -زرين استحكام"</f>
        <v>تخليه -چهارمحال بختياري -جاده شهركرد-اصفهان -جنب تونل گردنه رخ -زرين استحكام</v>
      </c>
      <c r="D803" s="1">
        <v>8904</v>
      </c>
      <c r="E803" s="1">
        <v>1000000</v>
      </c>
      <c r="F803" s="1">
        <v>96</v>
      </c>
      <c r="G803" s="1">
        <v>0</v>
      </c>
      <c r="H803" s="1" t="str">
        <f>"96/04/11"</f>
        <v>96/04/11</v>
      </c>
      <c r="I803" s="1" t="str">
        <f>"كيلوگرم"</f>
        <v>كيلوگرم</v>
      </c>
      <c r="J803" s="1" t="str">
        <f>"0000000088"</f>
        <v>0000000088</v>
      </c>
      <c r="K803" s="1" t="str">
        <f>"قير  PG58-22"</f>
        <v>قير  PG58-22</v>
      </c>
      <c r="L803" s="1">
        <v>100</v>
      </c>
      <c r="M803" s="1" t="str">
        <f>"مخازن قير اصفهان"</f>
        <v>مخازن قير اصفهان</v>
      </c>
      <c r="N803" s="1">
        <v>1351</v>
      </c>
      <c r="O803" s="1">
        <v>50035075</v>
      </c>
      <c r="P803" s="1" t="str">
        <f>"  زرين استحكام"</f>
        <v xml:space="preserve">  زرين استحكام</v>
      </c>
      <c r="Q803" s="1">
        <v>18</v>
      </c>
      <c r="R803" s="1" t="str">
        <f>"فروش داخلي تهران - وزارت راه - شرکت ساخت و توسعه راهها"</f>
        <v>فروش داخلي تهران - وزارت راه - شرکت ساخت و توسعه راهها</v>
      </c>
      <c r="S803" s="1" t="str">
        <f>"قرارداد فروش"</f>
        <v>قرارداد فروش</v>
      </c>
      <c r="T803" s="1" t="str">
        <f>"ندارد"</f>
        <v>ندارد</v>
      </c>
      <c r="U803" s="1" t="str">
        <f>"مظلوم فريبرز(1008ج89)"</f>
        <v>مظلوم فريبرز(1008ج89)</v>
      </c>
      <c r="V803" s="1">
        <v>961800006</v>
      </c>
      <c r="W803" s="1">
        <v>961800006</v>
      </c>
      <c r="X803" s="1" t="str">
        <f>"1396492348"</f>
        <v>1396492348</v>
      </c>
      <c r="Y803" s="1" t="str">
        <f>"96/04/11"</f>
        <v>96/04/11</v>
      </c>
      <c r="Z803" s="1" t="str">
        <f>"14963/710"</f>
        <v>14963/710</v>
      </c>
      <c r="AA803" s="1" t="str">
        <f>"شركت  ساخت وتوسعه راهها"</f>
        <v>شركت  ساخت وتوسعه راهها</v>
      </c>
      <c r="AB803" s="1" t="str">
        <f>"96/04/03"</f>
        <v>96/04/03</v>
      </c>
      <c r="AC803" s="1" t="str">
        <f>"استان چهارمحال بختياري"</f>
        <v>استان چهارمحال بختياري</v>
      </c>
      <c r="AD803" s="1" t="str">
        <f>"96/04/11"</f>
        <v>96/04/11</v>
      </c>
      <c r="AE803" s="1" t="str">
        <f>"اختتام"</f>
        <v>اختتام</v>
      </c>
      <c r="AF803" s="1" t="str">
        <f>""</f>
        <v/>
      </c>
      <c r="AG803" s="1" t="str">
        <f>""</f>
        <v/>
      </c>
      <c r="AH803" s="1" t="str">
        <f>""</f>
        <v/>
      </c>
      <c r="AI803" s="1" t="str">
        <f>""</f>
        <v/>
      </c>
      <c r="AJ803" s="1" t="str">
        <f>""</f>
        <v/>
      </c>
      <c r="AK803" s="1" t="str">
        <f>""</f>
        <v/>
      </c>
    </row>
    <row r="804" spans="1:37">
      <c r="A804" s="1">
        <v>1500000</v>
      </c>
      <c r="B804" s="1">
        <v>961900043</v>
      </c>
      <c r="C804" s="1" t="str">
        <f>"تخليه چهارمحال وبختياري شهرستان كيا بخش ناغان كارخانه آسفالت اتحادناغان"</f>
        <v>تخليه چهارمحال وبختياري شهرستان كيا بخش ناغان كارخانه آسفالت اتحادناغان</v>
      </c>
      <c r="D804" s="1">
        <v>9354</v>
      </c>
      <c r="E804" s="1">
        <v>1499380</v>
      </c>
      <c r="F804" s="1">
        <v>96</v>
      </c>
      <c r="G804" s="1">
        <v>620</v>
      </c>
      <c r="H804" s="1" t="str">
        <f>"96/01/20"</f>
        <v>96/01/20</v>
      </c>
      <c r="I804" s="1" t="str">
        <f>"كيلوگرم"</f>
        <v>كيلوگرم</v>
      </c>
      <c r="J804" s="1" t="str">
        <f>"0000000088"</f>
        <v>0000000088</v>
      </c>
      <c r="K804" s="1" t="str">
        <f>"قير  PG58-22"</f>
        <v>قير  PG58-22</v>
      </c>
      <c r="L804" s="1">
        <v>100</v>
      </c>
      <c r="M804" s="1" t="str">
        <f>"مخازن قير اصفهان"</f>
        <v>مخازن قير اصفهان</v>
      </c>
      <c r="N804" s="1">
        <v>11330</v>
      </c>
      <c r="O804" s="1">
        <v>50034452</v>
      </c>
      <c r="P804" s="1" t="str">
        <f>"  اداره كل راهداري وحمل ونقل جاده اي چهارمحال وبختياري"</f>
        <v xml:space="preserve">  اداره كل راهداري وحمل ونقل جاده اي چهارمحال وبختياري</v>
      </c>
      <c r="Q804" s="1">
        <v>19</v>
      </c>
      <c r="R80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804" s="1" t="str">
        <f>"قرارداد فروش"</f>
        <v>قرارداد فروش</v>
      </c>
      <c r="T804" s="1" t="str">
        <f>"ندارد"</f>
        <v>ندارد</v>
      </c>
      <c r="U804" s="1" t="str">
        <f>"قره باغي مجيد(1871065)"</f>
        <v>قره باغي مجيد(1871065)</v>
      </c>
      <c r="V804" s="1">
        <v>961900043</v>
      </c>
      <c r="W804" s="1">
        <v>961900043</v>
      </c>
      <c r="X804" s="1" t="str">
        <f>"1395471042"</f>
        <v>1395471042</v>
      </c>
      <c r="Y804" s="1" t="str">
        <f>"96/01/20"</f>
        <v>96/01/20</v>
      </c>
      <c r="Z804" s="1" t="str">
        <f>"66482/710"</f>
        <v>66482/710</v>
      </c>
      <c r="AA804" s="1" t="str">
        <f>"سازمان راهداري وحمل نقل جاده اي"</f>
        <v>سازمان راهداري وحمل نقل جاده اي</v>
      </c>
      <c r="AB804" s="1" t="str">
        <f>"95/12/24"</f>
        <v>95/12/24</v>
      </c>
      <c r="AC804" s="1" t="str">
        <f>"استان چهارمحال بختياري"</f>
        <v>استان چهارمحال بختياري</v>
      </c>
      <c r="AD804" s="1" t="str">
        <f>"95/12/28"</f>
        <v>95/12/28</v>
      </c>
      <c r="AE804" s="1" t="str">
        <f>"اختتام"</f>
        <v>اختتام</v>
      </c>
      <c r="AF804" s="1" t="str">
        <f>""</f>
        <v/>
      </c>
      <c r="AG804" s="1" t="str">
        <f>""</f>
        <v/>
      </c>
      <c r="AH804" s="1" t="str">
        <f>""</f>
        <v/>
      </c>
      <c r="AI804" s="1" t="str">
        <f>""</f>
        <v/>
      </c>
      <c r="AJ804" s="1" t="str">
        <f>""</f>
        <v/>
      </c>
      <c r="AK804" s="1" t="str">
        <f>""</f>
        <v/>
      </c>
    </row>
    <row r="805" spans="1:37">
      <c r="A805" s="1">
        <v>300000</v>
      </c>
      <c r="B805" s="1">
        <v>961100005</v>
      </c>
      <c r="C805" s="1" t="str">
        <f>"تخليه -شهركرد-جاده دانشگاه آزادعراضي منصوريه -كارخانه آسفالت شهرداري شهركرد"</f>
        <v>تخليه -شهركرد-جاده دانشگاه آزادعراضي منصوريه -كارخانه آسفالت شهرداري شهركرد</v>
      </c>
      <c r="D805" s="1">
        <v>8348</v>
      </c>
      <c r="E805" s="1">
        <v>299960</v>
      </c>
      <c r="F805" s="1">
        <v>96</v>
      </c>
      <c r="G805" s="1">
        <v>40</v>
      </c>
      <c r="H805" s="1" t="str">
        <f>"96/01/27"</f>
        <v>96/01/27</v>
      </c>
      <c r="I805" s="1" t="str">
        <f>"كيلوگرم"</f>
        <v>كيلوگرم</v>
      </c>
      <c r="J805" s="1" t="str">
        <f>"0000000088"</f>
        <v>0000000088</v>
      </c>
      <c r="K805" s="1" t="str">
        <f>"قير  PG58-22"</f>
        <v>قير  PG58-22</v>
      </c>
      <c r="L805" s="1">
        <v>100</v>
      </c>
      <c r="M805" s="1" t="str">
        <f>"مخازن قير اصفهان"</f>
        <v>مخازن قير اصفهان</v>
      </c>
      <c r="N805" s="1">
        <v>7047</v>
      </c>
      <c r="O805" s="1">
        <v>50034619</v>
      </c>
      <c r="P805" s="1" t="str">
        <f>"  شهرداري شهركرد"</f>
        <v xml:space="preserve">  شهرداري شهركرد</v>
      </c>
      <c r="Q805" s="1">
        <v>11</v>
      </c>
      <c r="R805" s="1" t="str">
        <f>"فروش داخلي تهران - بورس"</f>
        <v>فروش داخلي تهران - بورس</v>
      </c>
      <c r="S805" s="1" t="str">
        <f>"قرارداد فروش"</f>
        <v>قرارداد فروش</v>
      </c>
      <c r="T805" s="1" t="str">
        <f>"ندارد"</f>
        <v>ندارد</v>
      </c>
      <c r="U805" s="1" t="str">
        <f>"مظلوم فريبرز(1008ج89)"</f>
        <v>مظلوم فريبرز(1008ج89)</v>
      </c>
      <c r="V805" s="1">
        <v>961100005</v>
      </c>
      <c r="W805" s="1">
        <v>961100005</v>
      </c>
      <c r="X805" s="1" t="str">
        <f>"1396472725"</f>
        <v>1396472725</v>
      </c>
      <c r="Y805" s="1" t="str">
        <f>"96/01/27"</f>
        <v>96/01/27</v>
      </c>
      <c r="Z805" s="1" t="str">
        <f>"96-35327"</f>
        <v>96-35327</v>
      </c>
      <c r="AA805" s="1" t="str">
        <f>"شهرداريها"</f>
        <v>شهرداريها</v>
      </c>
      <c r="AB805" s="1" t="str">
        <f>"96/01/27"</f>
        <v>96/01/27</v>
      </c>
      <c r="AC805" s="1" t="str">
        <f>"استان چهارمحال بختياري"</f>
        <v>استان چهارمحال بختياري</v>
      </c>
      <c r="AD805" s="1" t="str">
        <f>"96/01/20"</f>
        <v>96/01/20</v>
      </c>
      <c r="AE805" s="1" t="str">
        <f>"اختتام"</f>
        <v>اختتام</v>
      </c>
      <c r="AF805" s="1" t="str">
        <f>""</f>
        <v/>
      </c>
      <c r="AG805" s="1" t="str">
        <f>""</f>
        <v/>
      </c>
      <c r="AH805" s="1" t="str">
        <f>""</f>
        <v/>
      </c>
      <c r="AI805" s="1" t="str">
        <f>""</f>
        <v/>
      </c>
      <c r="AJ805" s="1" t="str">
        <f>""</f>
        <v/>
      </c>
      <c r="AK805" s="1" t="str">
        <f>""</f>
        <v/>
      </c>
    </row>
    <row r="806" spans="1:37">
      <c r="A806" s="1">
        <v>500000</v>
      </c>
      <c r="B806" s="1">
        <v>961100017</v>
      </c>
      <c r="C806" s="1" t="str">
        <f>"تخليه -شهركرد-جاده دانشگاه آزادعراضي منصوريه -كارخانه آسفالت شهرداري شهركرد"</f>
        <v>تخليه -شهركرد-جاده دانشگاه آزادعراضي منصوريه -كارخانه آسفالت شهرداري شهركرد</v>
      </c>
      <c r="D806" s="1">
        <v>9068</v>
      </c>
      <c r="E806" s="1">
        <v>499900</v>
      </c>
      <c r="F806" s="1">
        <v>96</v>
      </c>
      <c r="G806" s="1">
        <v>100</v>
      </c>
      <c r="H806" s="1" t="str">
        <f>"96/02/26"</f>
        <v>96/02/26</v>
      </c>
      <c r="I806" s="1" t="str">
        <f>"كيلوگرم"</f>
        <v>كيلوگرم</v>
      </c>
      <c r="J806" s="1" t="str">
        <f>"0000000088"</f>
        <v>0000000088</v>
      </c>
      <c r="K806" s="1" t="str">
        <f>"قير  PG58-22"</f>
        <v>قير  PG58-22</v>
      </c>
      <c r="L806" s="1">
        <v>100</v>
      </c>
      <c r="M806" s="1" t="str">
        <f>"مخازن قير اصفهان"</f>
        <v>مخازن قير اصفهان</v>
      </c>
      <c r="N806" s="1">
        <v>7047</v>
      </c>
      <c r="O806" s="1">
        <v>50034837</v>
      </c>
      <c r="P806" s="1" t="str">
        <f>"  شهرداري شهركرد"</f>
        <v xml:space="preserve">  شهرداري شهركرد</v>
      </c>
      <c r="Q806" s="1">
        <v>11</v>
      </c>
      <c r="R806" s="1" t="str">
        <f>"فروش داخلي تهران - بورس"</f>
        <v>فروش داخلي تهران - بورس</v>
      </c>
      <c r="S806" s="1" t="str">
        <f>"قرارداد فروش"</f>
        <v>قرارداد فروش</v>
      </c>
      <c r="T806" s="1" t="str">
        <f>"ندارد"</f>
        <v>ندارد</v>
      </c>
      <c r="U806" s="1" t="str">
        <f>"مظلوم فريبرز(1008ج89)"</f>
        <v>مظلوم فريبرز(1008ج89)</v>
      </c>
      <c r="V806" s="1">
        <v>961100017</v>
      </c>
      <c r="W806" s="1">
        <v>961100017</v>
      </c>
      <c r="X806" s="1" t="str">
        <f>"1396480287"</f>
        <v>1396480287</v>
      </c>
      <c r="Y806" s="1" t="str">
        <f>"96/02/25"</f>
        <v>96/02/25</v>
      </c>
      <c r="Z806" s="1" t="str">
        <f>"96-35489"</f>
        <v>96-35489</v>
      </c>
      <c r="AA806" s="1" t="str">
        <f>"شهرداريها"</f>
        <v>شهرداريها</v>
      </c>
      <c r="AB806" s="1" t="str">
        <f>"96/02/25"</f>
        <v>96/02/25</v>
      </c>
      <c r="AC806" s="1" t="str">
        <f>"استان چهارمحال بختياري"</f>
        <v>استان چهارمحال بختياري</v>
      </c>
      <c r="AD806" s="1" t="str">
        <f>"96/02/20"</f>
        <v>96/02/20</v>
      </c>
      <c r="AE806" s="1" t="str">
        <f>"اختتام"</f>
        <v>اختتام</v>
      </c>
      <c r="AF806" s="1" t="str">
        <f>""</f>
        <v/>
      </c>
      <c r="AG806" s="1" t="str">
        <f>""</f>
        <v/>
      </c>
      <c r="AH806" s="1" t="str">
        <f>""</f>
        <v/>
      </c>
      <c r="AI806" s="1" t="str">
        <f>""</f>
        <v/>
      </c>
      <c r="AJ806" s="1" t="str">
        <f>""</f>
        <v/>
      </c>
      <c r="AK806" s="1" t="str">
        <f>""</f>
        <v/>
      </c>
    </row>
    <row r="807" spans="1:37">
      <c r="A807" s="1">
        <v>94000</v>
      </c>
      <c r="B807" s="1">
        <v>961700069</v>
      </c>
      <c r="C807" s="1" t="str">
        <f>"تخليه -چهارمحال بختياري -شهركردهفشجان نوآبادكارخانه آسفالت سازمان همياري شهرداريها"</f>
        <v>تخليه -چهارمحال بختياري -شهركردهفشجان نوآبادكارخانه آسفالت سازمان همياري شهرداريها</v>
      </c>
      <c r="D807" s="1">
        <v>9363</v>
      </c>
      <c r="E807" s="1">
        <v>93560</v>
      </c>
      <c r="F807" s="1">
        <v>96</v>
      </c>
      <c r="G807" s="1">
        <v>440</v>
      </c>
      <c r="H807" s="1" t="str">
        <f>"96/05/28"</f>
        <v>96/05/28</v>
      </c>
      <c r="I807" s="1" t="str">
        <f>"كيلوگرم"</f>
        <v>كيلوگرم</v>
      </c>
      <c r="J807" s="1" t="str">
        <f>"0000000088"</f>
        <v>0000000088</v>
      </c>
      <c r="K807" s="1" t="str">
        <f>"قير  PG58-22"</f>
        <v>قير  PG58-22</v>
      </c>
      <c r="L807" s="1">
        <v>100</v>
      </c>
      <c r="M807" s="1" t="str">
        <f>"مخازن قير اصفهان"</f>
        <v>مخازن قير اصفهان</v>
      </c>
      <c r="N807" s="1">
        <v>7190</v>
      </c>
      <c r="O807" s="1">
        <v>50035723</v>
      </c>
      <c r="P807" s="1" t="str">
        <f>"  اداره كل راه و شهرسازي چهارمحال وبختياري"</f>
        <v xml:space="preserve">  اداره كل راه و شهرسازي چهارمحال وبختياري</v>
      </c>
      <c r="Q807" s="1">
        <v>17</v>
      </c>
      <c r="R807" s="1" t="str">
        <f>"فروش داخلي تهران - وزارت راه - راه روستايي - روکش"</f>
        <v>فروش داخلي تهران - وزارت راه - راه روستايي - روکش</v>
      </c>
      <c r="S807" s="1" t="str">
        <f>"قرارداد فروش"</f>
        <v>قرارداد فروش</v>
      </c>
      <c r="T807" s="1" t="str">
        <f>"ندارد"</f>
        <v>ندارد</v>
      </c>
      <c r="U807" s="1" t="str">
        <f>"مظلوم فريبرز(1008ج89)"</f>
        <v>مظلوم فريبرز(1008ج89)</v>
      </c>
      <c r="V807" s="1">
        <v>961700069</v>
      </c>
      <c r="W807" s="1">
        <v>961700069</v>
      </c>
      <c r="X807" s="1" t="str">
        <f>"1396506334"</f>
        <v>1396506334</v>
      </c>
      <c r="Y807" s="1" t="str">
        <f>"96/05/28"</f>
        <v>96/05/28</v>
      </c>
      <c r="Z807" s="1" t="str">
        <f>"25346/710"</f>
        <v>25346/710</v>
      </c>
      <c r="AA807" s="1" t="str">
        <f>"راه روستائي -روكش"</f>
        <v>راه روستائي -روكش</v>
      </c>
      <c r="AB807" s="1" t="str">
        <f>"96/05/25"</f>
        <v>96/05/25</v>
      </c>
      <c r="AC807" s="1" t="str">
        <f>"استان چهارمحال بختياري"</f>
        <v>استان چهارمحال بختياري</v>
      </c>
      <c r="AD807" s="1" t="str">
        <f>"96/05/28"</f>
        <v>96/05/28</v>
      </c>
      <c r="AE807" s="1" t="str">
        <f>"اختتام"</f>
        <v>اختتام</v>
      </c>
      <c r="AF807" s="1" t="str">
        <f>""</f>
        <v/>
      </c>
      <c r="AG807" s="1" t="str">
        <f>""</f>
        <v/>
      </c>
      <c r="AH807" s="1" t="str">
        <f>""</f>
        <v/>
      </c>
      <c r="AI807" s="1" t="str">
        <f>""</f>
        <v/>
      </c>
      <c r="AJ807" s="1" t="str">
        <f>""</f>
        <v/>
      </c>
      <c r="AK807" s="1" t="str">
        <f>""</f>
        <v/>
      </c>
    </row>
    <row r="808" spans="1:37">
      <c r="A808" s="1">
        <v>100000</v>
      </c>
      <c r="B808" s="1">
        <v>961700071</v>
      </c>
      <c r="C808" s="1" t="str">
        <f>"تخليه -چهارمحال بختياري -شهركردهفشجان نوآبادكارخانه آسفالت سازمان همياري شهرداريها"</f>
        <v>تخليه -چهارمحال بختياري -شهركردهفشجان نوآبادكارخانه آسفالت سازمان همياري شهرداريها</v>
      </c>
      <c r="D808" s="1">
        <v>12970</v>
      </c>
      <c r="E808" s="1">
        <v>99240</v>
      </c>
      <c r="F808" s="1">
        <v>96</v>
      </c>
      <c r="G808" s="1">
        <v>760</v>
      </c>
      <c r="H808" s="1" t="str">
        <f>"96/05/28"</f>
        <v>96/05/28</v>
      </c>
      <c r="I808" s="1" t="str">
        <f>"كيلوگرم"</f>
        <v>كيلوگرم</v>
      </c>
      <c r="J808" s="1" t="str">
        <f>"0000000088"</f>
        <v>0000000088</v>
      </c>
      <c r="K808" s="1" t="str">
        <f>"قير  PG58-22"</f>
        <v>قير  PG58-22</v>
      </c>
      <c r="L808" s="1">
        <v>100</v>
      </c>
      <c r="M808" s="1" t="str">
        <f>"مخازن قير اصفهان"</f>
        <v>مخازن قير اصفهان</v>
      </c>
      <c r="N808" s="1">
        <v>7190</v>
      </c>
      <c r="O808" s="1">
        <v>50035725</v>
      </c>
      <c r="P808" s="1" t="str">
        <f>"  اداره كل راه و شهرسازي چهارمحال وبختياري"</f>
        <v xml:space="preserve">  اداره كل راه و شهرسازي چهارمحال وبختياري</v>
      </c>
      <c r="Q808" s="1">
        <v>17</v>
      </c>
      <c r="R808" s="1" t="str">
        <f>"فروش داخلي تهران - وزارت راه - راه روستايي - روکش"</f>
        <v>فروش داخلي تهران - وزارت راه - راه روستايي - روکش</v>
      </c>
      <c r="S808" s="1" t="str">
        <f>"قرارداد فروش"</f>
        <v>قرارداد فروش</v>
      </c>
      <c r="T808" s="1" t="str">
        <f>"ندارد"</f>
        <v>ندارد</v>
      </c>
      <c r="U808" s="1" t="str">
        <f>"مظلوم فريبرز(1008ج89)"</f>
        <v>مظلوم فريبرز(1008ج89)</v>
      </c>
      <c r="V808" s="1">
        <v>961700071</v>
      </c>
      <c r="W808" s="1">
        <v>961700071</v>
      </c>
      <c r="X808" s="1" t="str">
        <f>"1396506334"</f>
        <v>1396506334</v>
      </c>
      <c r="Y808" s="1" t="str">
        <f>"96/05/28"</f>
        <v>96/05/28</v>
      </c>
      <c r="Z808" s="1" t="str">
        <f>"25353/710"</f>
        <v>25353/710</v>
      </c>
      <c r="AA808" s="1" t="str">
        <f>"راه روستائي -روكش"</f>
        <v>راه روستائي -روكش</v>
      </c>
      <c r="AB808" s="1" t="str">
        <f>"96/05/25"</f>
        <v>96/05/25</v>
      </c>
      <c r="AC808" s="1" t="str">
        <f>"استان چهارمحال بختياري"</f>
        <v>استان چهارمحال بختياري</v>
      </c>
      <c r="AD808" s="1" t="str">
        <f>"96/05/28"</f>
        <v>96/05/28</v>
      </c>
      <c r="AE808" s="1" t="str">
        <f>"اختتام"</f>
        <v>اختتام</v>
      </c>
      <c r="AF808" s="1" t="str">
        <f>""</f>
        <v/>
      </c>
      <c r="AG808" s="1" t="str">
        <f>""</f>
        <v/>
      </c>
      <c r="AH808" s="1" t="str">
        <f>""</f>
        <v/>
      </c>
      <c r="AI808" s="1" t="str">
        <f>""</f>
        <v/>
      </c>
      <c r="AJ808" s="1" t="str">
        <f>""</f>
        <v/>
      </c>
      <c r="AK808" s="1" t="str">
        <f>""</f>
        <v/>
      </c>
    </row>
    <row r="809" spans="1:37">
      <c r="A809" s="1">
        <v>90000</v>
      </c>
      <c r="B809" s="1">
        <v>961700227</v>
      </c>
      <c r="C809" s="1" t="str">
        <f>"تخليه چهارمحال وبختياري آلوني لردگان آسفالت"</f>
        <v>تخليه چهارمحال وبختياري آلوني لردگان آسفالت</v>
      </c>
      <c r="D809" s="1">
        <v>13100</v>
      </c>
      <c r="E809" s="1">
        <v>88840</v>
      </c>
      <c r="F809" s="1">
        <v>96</v>
      </c>
      <c r="G809" s="1">
        <v>1160</v>
      </c>
      <c r="H809" s="1" t="str">
        <f>"96/12/24"</f>
        <v>96/12/24</v>
      </c>
      <c r="I809" s="1" t="str">
        <f>"كيلوگرم"</f>
        <v>كيلوگرم</v>
      </c>
      <c r="J809" s="1" t="str">
        <f>"0000000088"</f>
        <v>0000000088</v>
      </c>
      <c r="K809" s="1" t="str">
        <f>"قير  PG58-22"</f>
        <v>قير  PG58-22</v>
      </c>
      <c r="L809" s="1">
        <v>100</v>
      </c>
      <c r="M809" s="1" t="str">
        <f>"مخازن قير اصفهان"</f>
        <v>مخازن قير اصفهان</v>
      </c>
      <c r="N809" s="1">
        <v>7190</v>
      </c>
      <c r="O809" s="1">
        <v>50039008</v>
      </c>
      <c r="P809" s="1" t="str">
        <f>"  اداره كل راه و شهرسازي چهارمحال وبختياري"</f>
        <v xml:space="preserve">  اداره كل راه و شهرسازي چهارمحال وبختياري</v>
      </c>
      <c r="Q809" s="1">
        <v>17</v>
      </c>
      <c r="R809" s="1" t="str">
        <f>"فروش داخلي تهران - وزارت راه - راه روستايي - روکش"</f>
        <v>فروش داخلي تهران - وزارت راه - راه روستايي - روکش</v>
      </c>
      <c r="S809" s="1" t="str">
        <f>"قرارداد فروش"</f>
        <v>قرارداد فروش</v>
      </c>
      <c r="T809" s="1" t="str">
        <f>"ندارد"</f>
        <v>ندارد</v>
      </c>
      <c r="U809" s="1" t="str">
        <f>"قره باغي مجيد(1871065)"</f>
        <v>قره باغي مجيد(1871065)</v>
      </c>
      <c r="V809" s="1">
        <v>961700227</v>
      </c>
      <c r="W809" s="1">
        <v>961700227</v>
      </c>
      <c r="X809" s="1" t="str">
        <f>"1396553920"</f>
        <v>1396553920</v>
      </c>
      <c r="Y809" s="1" t="str">
        <f>"96/12/24"</f>
        <v>96/12/24</v>
      </c>
      <c r="Z809" s="1" t="str">
        <f>"48006/710"</f>
        <v>48006/710</v>
      </c>
      <c r="AA809" s="1" t="str">
        <f>"راه روستائي -روكش"</f>
        <v>راه روستائي -روكش</v>
      </c>
      <c r="AB809" s="1" t="str">
        <f>"96/09/19"</f>
        <v>96/09/19</v>
      </c>
      <c r="AC809" s="1" t="str">
        <f>"استان چهارمحال بختياري"</f>
        <v>استان چهارمحال بختياري</v>
      </c>
      <c r="AD809" s="1" t="str">
        <f>"96/12/20"</f>
        <v>96/12/20</v>
      </c>
      <c r="AE809" s="1" t="str">
        <f>"اختتام"</f>
        <v>اختتام</v>
      </c>
      <c r="AF809" s="1" t="str">
        <f>""</f>
        <v/>
      </c>
      <c r="AG809" s="1" t="str">
        <f>""</f>
        <v/>
      </c>
      <c r="AH809" s="1" t="str">
        <f>""</f>
        <v/>
      </c>
      <c r="AI809" s="1" t="str">
        <f>""</f>
        <v/>
      </c>
      <c r="AJ809" s="1" t="str">
        <f>""</f>
        <v/>
      </c>
      <c r="AK809" s="1" t="str">
        <f>""</f>
        <v/>
      </c>
    </row>
    <row r="810" spans="1:37">
      <c r="A810" s="1">
        <v>24000</v>
      </c>
      <c r="B810" s="1">
        <v>961700230</v>
      </c>
      <c r="C810" s="1" t="str">
        <f>"تخليه چهارمحال وبختياري شهرستان بن شركت نسيم سامان"</f>
        <v>تخليه چهارمحال وبختياري شهرستان بن شركت نسيم سامان</v>
      </c>
      <c r="D810" s="1">
        <v>15810</v>
      </c>
      <c r="E810" s="1">
        <v>24000</v>
      </c>
      <c r="F810" s="1">
        <v>96</v>
      </c>
      <c r="G810" s="1">
        <v>0</v>
      </c>
      <c r="H810" s="1" t="str">
        <f>"96/12/24"</f>
        <v>96/12/24</v>
      </c>
      <c r="I810" s="1" t="str">
        <f>"كيلوگرم"</f>
        <v>كيلوگرم</v>
      </c>
      <c r="J810" s="1" t="str">
        <f>"0000000088"</f>
        <v>0000000088</v>
      </c>
      <c r="K810" s="1" t="str">
        <f>"قير  PG58-22"</f>
        <v>قير  PG58-22</v>
      </c>
      <c r="L810" s="1">
        <v>100</v>
      </c>
      <c r="M810" s="1" t="str">
        <f>"مخازن قير اصفهان"</f>
        <v>مخازن قير اصفهان</v>
      </c>
      <c r="N810" s="1">
        <v>7190</v>
      </c>
      <c r="O810" s="1">
        <v>50039011</v>
      </c>
      <c r="P810" s="1" t="str">
        <f>"  اداره كل راه و شهرسازي چهارمحال وبختياري"</f>
        <v xml:space="preserve">  اداره كل راه و شهرسازي چهارمحال وبختياري</v>
      </c>
      <c r="Q810" s="1">
        <v>17</v>
      </c>
      <c r="R810" s="1" t="str">
        <f>"فروش داخلي تهران - وزارت راه - راه روستايي - روکش"</f>
        <v>فروش داخلي تهران - وزارت راه - راه روستايي - روکش</v>
      </c>
      <c r="S810" s="1" t="str">
        <f>"قرارداد فروش"</f>
        <v>قرارداد فروش</v>
      </c>
      <c r="T810" s="1" t="str">
        <f>"ندارد"</f>
        <v>ندارد</v>
      </c>
      <c r="U810" s="1" t="str">
        <f>"قره باغي مجيد(1871065)"</f>
        <v>قره باغي مجيد(1871065)</v>
      </c>
      <c r="V810" s="1">
        <v>961700230</v>
      </c>
      <c r="W810" s="1">
        <v>961700230</v>
      </c>
      <c r="X810" s="1" t="str">
        <f>"1396553920"</f>
        <v>1396553920</v>
      </c>
      <c r="Y810" s="1" t="str">
        <f>"96/12/24"</f>
        <v>96/12/24</v>
      </c>
      <c r="Z810" s="1" t="str">
        <f>"48024/710"</f>
        <v>48024/710</v>
      </c>
      <c r="AA810" s="1" t="str">
        <f>"راه روستائي -روكش"</f>
        <v>راه روستائي -روكش</v>
      </c>
      <c r="AB810" s="1" t="str">
        <f>"96/09/19"</f>
        <v>96/09/19</v>
      </c>
      <c r="AC810" s="1" t="str">
        <f>"استان چهارمحال بختياري"</f>
        <v>استان چهارمحال بختياري</v>
      </c>
      <c r="AD810" s="1" t="str">
        <f>"96/12/20"</f>
        <v>96/12/20</v>
      </c>
      <c r="AE810" s="1" t="str">
        <f>"اختتام"</f>
        <v>اختتام</v>
      </c>
      <c r="AF810" s="1" t="str">
        <f>""</f>
        <v/>
      </c>
      <c r="AG810" s="1" t="str">
        <f>""</f>
        <v/>
      </c>
      <c r="AH810" s="1" t="str">
        <f>""</f>
        <v/>
      </c>
      <c r="AI810" s="1" t="str">
        <f>""</f>
        <v/>
      </c>
      <c r="AJ810" s="1" t="str">
        <f>""</f>
        <v/>
      </c>
      <c r="AK810" s="1" t="str">
        <f>""</f>
        <v/>
      </c>
    </row>
    <row r="811" spans="1:37">
      <c r="A811" s="1">
        <v>140000</v>
      </c>
      <c r="B811" s="1">
        <v>961700235</v>
      </c>
      <c r="C811" s="1" t="str">
        <f>"تخليه -چهارومحال بختياري -شهرستان كيارشهرناغان -شركت اتحادناغان"</f>
        <v>تخليه -چهارومحال بختياري -شهرستان كيارشهرناغان -شركت اتحادناغان</v>
      </c>
      <c r="D811" s="1">
        <v>16350</v>
      </c>
      <c r="E811" s="1">
        <v>138660</v>
      </c>
      <c r="F811" s="1">
        <v>96</v>
      </c>
      <c r="G811" s="1">
        <v>1340</v>
      </c>
      <c r="H811" s="1" t="str">
        <f>"96/12/24"</f>
        <v>96/12/24</v>
      </c>
      <c r="I811" s="1" t="str">
        <f>"كيلوگرم"</f>
        <v>كيلوگرم</v>
      </c>
      <c r="J811" s="1" t="str">
        <f>"0000000088"</f>
        <v>0000000088</v>
      </c>
      <c r="K811" s="1" t="str">
        <f>"قير  PG58-22"</f>
        <v>قير  PG58-22</v>
      </c>
      <c r="L811" s="1">
        <v>100</v>
      </c>
      <c r="M811" s="1" t="str">
        <f>"مخازن قير اصفهان"</f>
        <v>مخازن قير اصفهان</v>
      </c>
      <c r="N811" s="1">
        <v>7190</v>
      </c>
      <c r="O811" s="1">
        <v>50039016</v>
      </c>
      <c r="P811" s="1" t="str">
        <f>"  اداره كل راه و شهرسازي چهارمحال وبختياري"</f>
        <v xml:space="preserve">  اداره كل راه و شهرسازي چهارمحال وبختياري</v>
      </c>
      <c r="Q811" s="1">
        <v>17</v>
      </c>
      <c r="R811" s="1" t="str">
        <f>"فروش داخلي تهران - وزارت راه - راه روستايي - روکش"</f>
        <v>فروش داخلي تهران - وزارت راه - راه روستايي - روکش</v>
      </c>
      <c r="S811" s="1" t="str">
        <f>"قرارداد فروش"</f>
        <v>قرارداد فروش</v>
      </c>
      <c r="T811" s="1" t="str">
        <f>"ندارد"</f>
        <v>ندارد</v>
      </c>
      <c r="U811" s="1" t="str">
        <f>"مظلوم فريبرز(1008ج89)"</f>
        <v>مظلوم فريبرز(1008ج89)</v>
      </c>
      <c r="V811" s="1">
        <v>961700235</v>
      </c>
      <c r="W811" s="1">
        <v>961700235</v>
      </c>
      <c r="X811" s="1" t="str">
        <f>"1396553920"</f>
        <v>1396553920</v>
      </c>
      <c r="Y811" s="1" t="str">
        <f>"96/12/24"</f>
        <v>96/12/24</v>
      </c>
      <c r="Z811" s="1" t="str">
        <f>"48022/710"</f>
        <v>48022/710</v>
      </c>
      <c r="AA811" s="1" t="str">
        <f>"راه روستائي -روكش"</f>
        <v>راه روستائي -روكش</v>
      </c>
      <c r="AB811" s="1" t="str">
        <f>"96/09/19"</f>
        <v>96/09/19</v>
      </c>
      <c r="AC811" s="1" t="str">
        <f>"استان چهارمحال بختياري"</f>
        <v>استان چهارمحال بختياري</v>
      </c>
      <c r="AD811" s="1" t="str">
        <f>"96/12/20"</f>
        <v>96/12/20</v>
      </c>
      <c r="AE811" s="1" t="str">
        <f>"اختتام"</f>
        <v>اختتام</v>
      </c>
      <c r="AF811" s="1" t="str">
        <f>""</f>
        <v/>
      </c>
      <c r="AG811" s="1" t="str">
        <f>""</f>
        <v/>
      </c>
      <c r="AH811" s="1" t="str">
        <f>""</f>
        <v/>
      </c>
      <c r="AI811" s="1" t="str">
        <f>""</f>
        <v/>
      </c>
      <c r="AJ811" s="1" t="str">
        <f>""</f>
        <v/>
      </c>
      <c r="AK811" s="1" t="str">
        <f>""</f>
        <v/>
      </c>
    </row>
    <row r="812" spans="1:37">
      <c r="A812" s="1">
        <v>100983</v>
      </c>
      <c r="B812" s="1">
        <v>962000052</v>
      </c>
      <c r="C812" s="1" t="str">
        <f>"تخليه-اصفهان -کيلومتر 19 جاده کاشان قم - كارخانه آسفالت درم"</f>
        <v>تخليه-اصفهان -کيلومتر 19 جاده کاشان قم - كارخانه آسفالت درم</v>
      </c>
      <c r="D812" s="1">
        <v>9113</v>
      </c>
      <c r="E812" s="1">
        <v>100983</v>
      </c>
      <c r="F812" s="1">
        <v>96</v>
      </c>
      <c r="G812" s="1">
        <v>0</v>
      </c>
      <c r="H812" s="1" t="str">
        <f>"96/07/03"</f>
        <v>96/07/03</v>
      </c>
      <c r="I812" s="1" t="str">
        <f>"كيلوگرم"</f>
        <v>كيلوگرم</v>
      </c>
      <c r="J812" s="1" t="str">
        <f>"0000000076"</f>
        <v>0000000076</v>
      </c>
      <c r="K812" s="1" t="str">
        <f>"قير 60/70 - فله"</f>
        <v>قير 60/70 - فله</v>
      </c>
      <c r="L812" s="1">
        <v>100</v>
      </c>
      <c r="M812" s="1" t="str">
        <f>"مخازن قير اصفهان"</f>
        <v>مخازن قير اصفهان</v>
      </c>
      <c r="N812" s="1">
        <v>10061</v>
      </c>
      <c r="O812" s="1">
        <v>50036200</v>
      </c>
      <c r="P812" s="1" t="str">
        <f>"  شهرداري سفيدشهر"</f>
        <v xml:space="preserve">  شهرداري سفيدشهر</v>
      </c>
      <c r="Q812" s="1">
        <v>20</v>
      </c>
      <c r="R812" s="1" t="str">
        <f>"فروش داخلي - سازمان شهرداري ها و دهياري هاي كشور"</f>
        <v>فروش داخلي - سازمان شهرداري ها و دهياري هاي كشور</v>
      </c>
      <c r="S812" s="1" t="str">
        <f>"قرارداد فروش"</f>
        <v>قرارداد فروش</v>
      </c>
      <c r="T812" s="1" t="str">
        <f>"ندارد"</f>
        <v>ندارد</v>
      </c>
      <c r="U812" s="1" t="str">
        <f>"تعاوني جم گستر (1001 ج 89)"</f>
        <v>تعاوني جم گستر (1001 ج 89)</v>
      </c>
      <c r="V812" s="1">
        <v>962000052</v>
      </c>
      <c r="W812" s="1">
        <v>962000052</v>
      </c>
      <c r="X812" s="1" t="str">
        <f>"1396514467"</f>
        <v>1396514467</v>
      </c>
      <c r="Y812" s="1" t="str">
        <f>"96/07/03"</f>
        <v>96/07/03</v>
      </c>
      <c r="Z812" s="1" t="str">
        <f>"26771مرحله اول"</f>
        <v>26771مرحله اول</v>
      </c>
      <c r="AA812" s="1" t="str">
        <f>"شهرداريها"</f>
        <v>شهرداريها</v>
      </c>
      <c r="AB812" s="1" t="str">
        <f>"96/06/29"</f>
        <v>96/06/29</v>
      </c>
      <c r="AC812" s="1" t="str">
        <f>"استان اصفهان"</f>
        <v>استان اصفهان</v>
      </c>
      <c r="AD812" s="1" t="str">
        <f>"96/07/03"</f>
        <v>96/07/03</v>
      </c>
      <c r="AE812" s="1" t="str">
        <f>"اختتام"</f>
        <v>اختتام</v>
      </c>
      <c r="AF812" s="1" t="str">
        <f>""</f>
        <v/>
      </c>
      <c r="AG812" s="1" t="str">
        <f>""</f>
        <v/>
      </c>
      <c r="AH812" s="1" t="str">
        <f>""</f>
        <v/>
      </c>
      <c r="AI812" s="1" t="str">
        <f>""</f>
        <v/>
      </c>
      <c r="AJ812" s="1" t="str">
        <f>""</f>
        <v/>
      </c>
      <c r="AK812" s="1" t="str">
        <f>""</f>
        <v/>
      </c>
    </row>
    <row r="813" spans="1:37">
      <c r="A813" s="1">
        <v>35891</v>
      </c>
      <c r="B813" s="1">
        <v>962000395</v>
      </c>
      <c r="C813" s="1" t="str">
        <f>"تخليه-اصفهان -کيلومتر 19 جاده کاشان قم - كارخانه آسفالت درم"</f>
        <v>تخليه-اصفهان -کيلومتر 19 جاده کاشان قم - كارخانه آسفالت درم</v>
      </c>
      <c r="D813" s="1">
        <v>12820</v>
      </c>
      <c r="E813" s="1">
        <v>35757</v>
      </c>
      <c r="F813" s="1">
        <v>96</v>
      </c>
      <c r="G813" s="1">
        <v>134</v>
      </c>
      <c r="H813" s="1" t="str">
        <f>"96/09/20"</f>
        <v>96/09/20</v>
      </c>
      <c r="I813" s="1" t="str">
        <f>"كيلوگرم"</f>
        <v>كيلوگرم</v>
      </c>
      <c r="J813" s="1" t="str">
        <f>"0000000076"</f>
        <v>0000000076</v>
      </c>
      <c r="K813" s="1" t="str">
        <f>"قير 60/70 - فله"</f>
        <v>قير 60/70 - فله</v>
      </c>
      <c r="L813" s="1">
        <v>100</v>
      </c>
      <c r="M813" s="1" t="str">
        <f>"مخازن قير اصفهان"</f>
        <v>مخازن قير اصفهان</v>
      </c>
      <c r="N813" s="1">
        <v>10061</v>
      </c>
      <c r="O813" s="1">
        <v>50037707</v>
      </c>
      <c r="P813" s="1" t="str">
        <f>"  شهرداري سفيدشهر"</f>
        <v xml:space="preserve">  شهرداري سفيدشهر</v>
      </c>
      <c r="Q813" s="1">
        <v>20</v>
      </c>
      <c r="R813" s="1" t="str">
        <f>"فروش داخلي - سازمان شهرداري ها و دهياري هاي كشور"</f>
        <v>فروش داخلي - سازمان شهرداري ها و دهياري هاي كشور</v>
      </c>
      <c r="S813" s="1" t="str">
        <f>"قرارداد فروش"</f>
        <v>قرارداد فروش</v>
      </c>
      <c r="T813" s="1" t="str">
        <f>"ندارد"</f>
        <v>ندارد</v>
      </c>
      <c r="U813" s="1" t="str">
        <f>"تعاوني جم گستر (1001 ج 89)"</f>
        <v>تعاوني جم گستر (1001 ج 89)</v>
      </c>
      <c r="V813" s="1">
        <v>962000395</v>
      </c>
      <c r="W813" s="1">
        <v>962000395</v>
      </c>
      <c r="X813" s="1" t="str">
        <f>"1396529711"</f>
        <v>1396529711</v>
      </c>
      <c r="Y813" s="1" t="str">
        <f>"96/09/20"</f>
        <v>96/09/20</v>
      </c>
      <c r="Z813" s="1" t="str">
        <f>"37175مرحله دوم"</f>
        <v>37175مرحله دوم</v>
      </c>
      <c r="AA813" s="1" t="str">
        <f>"شهرداريها"</f>
        <v>شهرداريها</v>
      </c>
      <c r="AB813" s="1" t="str">
        <f>"96/09/05"</f>
        <v>96/09/05</v>
      </c>
      <c r="AC813" s="1" t="str">
        <f>"استان اصفهان"</f>
        <v>استان اصفهان</v>
      </c>
      <c r="AD813" s="1" t="str">
        <f>"96/09/13"</f>
        <v>96/09/13</v>
      </c>
      <c r="AE813" s="1" t="str">
        <f>"تاييدشده"</f>
        <v>تاييدشده</v>
      </c>
      <c r="AF813" s="1" t="str">
        <f>""</f>
        <v/>
      </c>
      <c r="AG813" s="1" t="str">
        <f>""</f>
        <v/>
      </c>
      <c r="AH813" s="1" t="str">
        <f>""</f>
        <v/>
      </c>
      <c r="AI813" s="1" t="str">
        <f>""</f>
        <v/>
      </c>
      <c r="AJ813" s="1" t="str">
        <f>""</f>
        <v/>
      </c>
      <c r="AK813" s="1" t="str">
        <f>""</f>
        <v/>
      </c>
    </row>
    <row r="814" spans="1:37">
      <c r="A814" s="1">
        <v>37587</v>
      </c>
      <c r="B814" s="1">
        <v>962000422</v>
      </c>
      <c r="C814" s="1" t="str">
        <f>"تخليه - اصفهان - شهرک صنعتي مبارکه-جنب پلي اکريل کارخانه آسفالت غفراني شرکت محکم بناسازان"</f>
        <v>تخليه - اصفهان - شهرک صنعتي مبارکه-جنب پلي اکريل کارخانه آسفالت غفراني شرکت محکم بناسازان</v>
      </c>
      <c r="D814" s="1">
        <v>12820</v>
      </c>
      <c r="E814" s="1">
        <v>37587</v>
      </c>
      <c r="F814" s="1">
        <v>96</v>
      </c>
      <c r="G814" s="1">
        <v>0</v>
      </c>
      <c r="H814" s="1" t="str">
        <f>"96/09/20"</f>
        <v>96/09/20</v>
      </c>
      <c r="I814" s="1" t="str">
        <f>"كيلوگرم"</f>
        <v>كيلوگرم</v>
      </c>
      <c r="J814" s="1" t="str">
        <f>"0000000076"</f>
        <v>0000000076</v>
      </c>
      <c r="K814" s="1" t="str">
        <f>"قير 60/70 - فله"</f>
        <v>قير 60/70 - فله</v>
      </c>
      <c r="L814" s="1">
        <v>100</v>
      </c>
      <c r="M814" s="1" t="str">
        <f>"مخازن قير اصفهان"</f>
        <v>مخازن قير اصفهان</v>
      </c>
      <c r="N814" s="1">
        <v>10065</v>
      </c>
      <c r="O814" s="1">
        <v>50037735</v>
      </c>
      <c r="P814" s="1" t="str">
        <f>"  شهرداري عسگران"</f>
        <v xml:space="preserve">  شهرداري عسگران</v>
      </c>
      <c r="Q814" s="1">
        <v>20</v>
      </c>
      <c r="R814" s="1" t="str">
        <f>"فروش داخلي - سازمان شهرداري ها و دهياري هاي كشور"</f>
        <v>فروش داخلي - سازمان شهرداري ها و دهياري هاي كشور</v>
      </c>
      <c r="S814" s="1" t="str">
        <f>"قرارداد فروش"</f>
        <v>قرارداد فروش</v>
      </c>
      <c r="T814" s="1" t="str">
        <f>"ندارد"</f>
        <v>ندارد</v>
      </c>
      <c r="U814" s="1" t="str">
        <f>"تعاوني جم گستر (1001 ج 89)"</f>
        <v>تعاوني جم گستر (1001 ج 89)</v>
      </c>
      <c r="V814" s="1">
        <v>962000422</v>
      </c>
      <c r="W814" s="1">
        <v>962000422</v>
      </c>
      <c r="X814" s="1" t="str">
        <f>"1396529711"</f>
        <v>1396529711</v>
      </c>
      <c r="Y814" s="1" t="str">
        <f>"96/09/20"</f>
        <v>96/09/20</v>
      </c>
      <c r="Z814" s="1" t="str">
        <f>"37182مرحله دوم"</f>
        <v>37182مرحله دوم</v>
      </c>
      <c r="AA814" s="1" t="str">
        <f>"شهرداريها"</f>
        <v>شهرداريها</v>
      </c>
      <c r="AB814" s="1" t="str">
        <f>"96/09/05"</f>
        <v>96/09/05</v>
      </c>
      <c r="AC814" s="1" t="str">
        <f>"استان اصفهان"</f>
        <v>استان اصفهان</v>
      </c>
      <c r="AD814" s="1" t="str">
        <f>"96/09/13"</f>
        <v>96/09/13</v>
      </c>
      <c r="AE814" s="1" t="str">
        <f>"اختتام"</f>
        <v>اختتام</v>
      </c>
      <c r="AF814" s="1" t="str">
        <f>""</f>
        <v/>
      </c>
      <c r="AG814" s="1" t="str">
        <f>""</f>
        <v/>
      </c>
      <c r="AH814" s="1" t="str">
        <f>""</f>
        <v/>
      </c>
      <c r="AI814" s="1" t="str">
        <f>""</f>
        <v/>
      </c>
      <c r="AJ814" s="1" t="str">
        <f>""</f>
        <v/>
      </c>
      <c r="AK814" s="1" t="str">
        <f>""</f>
        <v/>
      </c>
    </row>
    <row r="815" spans="1:37">
      <c r="A815" s="1">
        <v>520000</v>
      </c>
      <c r="B815" s="1">
        <v>961400015</v>
      </c>
      <c r="C815" s="1" t="str">
        <f>"تخليه يزدكارخانه آسفالت شركت زاويه سازيزد"</f>
        <v>تخليه يزدكارخانه آسفالت شركت زاويه سازيزد</v>
      </c>
      <c r="D815" s="1">
        <v>9204</v>
      </c>
      <c r="E815" s="1">
        <v>519360</v>
      </c>
      <c r="F815" s="1">
        <v>96</v>
      </c>
      <c r="G815" s="1">
        <v>640</v>
      </c>
      <c r="H815" s="1" t="str">
        <f>"96/05/04"</f>
        <v>96/05/04</v>
      </c>
      <c r="I815" s="1" t="str">
        <f>"كيلوگرم"</f>
        <v>كيلوگرم</v>
      </c>
      <c r="J815" s="1" t="str">
        <f>"0000000091"</f>
        <v>0000000091</v>
      </c>
      <c r="K815" s="1" t="str">
        <f>"قير  PG64-22"</f>
        <v>قير  PG64-22</v>
      </c>
      <c r="L815" s="1">
        <v>100</v>
      </c>
      <c r="M815" s="1" t="str">
        <f>"مخازن قير اصفهان"</f>
        <v>مخازن قير اصفهان</v>
      </c>
      <c r="N815" s="1">
        <v>1602</v>
      </c>
      <c r="O815" s="1">
        <v>50035356</v>
      </c>
      <c r="P815" s="1" t="str">
        <f>"  اداره كل راه و شهرسازي يزد"</f>
        <v xml:space="preserve">  اداره كل راه و شهرسازي يزد</v>
      </c>
      <c r="Q815" s="1">
        <v>14</v>
      </c>
      <c r="R815" s="1" t="str">
        <f>"فروش داخلي - وزارت راه - حوزه راه روستايي ساخت"</f>
        <v>فروش داخلي - وزارت راه - حوزه راه روستايي ساخت</v>
      </c>
      <c r="S815" s="1" t="str">
        <f>"قرارداد فروش"</f>
        <v>قرارداد فروش</v>
      </c>
      <c r="T815" s="1" t="str">
        <f>"ندارد"</f>
        <v>ندارد</v>
      </c>
      <c r="U815" s="1" t="str">
        <f>"قانعي محمدرضا(1011ج89)"</f>
        <v>قانعي محمدرضا(1011ج89)</v>
      </c>
      <c r="V815" s="1">
        <v>961400015</v>
      </c>
      <c r="W815" s="1">
        <v>961400015</v>
      </c>
      <c r="X815" s="1" t="str">
        <f>"1396500363"</f>
        <v>1396500363</v>
      </c>
      <c r="Y815" s="1" t="str">
        <f>"96/05/04"</f>
        <v>96/05/04</v>
      </c>
      <c r="Z815" s="1" t="str">
        <f>"20849/710"</f>
        <v>20849/710</v>
      </c>
      <c r="AA815" s="1" t="str">
        <f>"راه وروستايي -ساخت"</f>
        <v>راه وروستايي -ساخت</v>
      </c>
      <c r="AB815" s="1" t="str">
        <f>"96/05/03"</f>
        <v>96/05/03</v>
      </c>
      <c r="AC815" s="1" t="str">
        <f>"استان يزد"</f>
        <v>استان يزد</v>
      </c>
      <c r="AD815" s="1" t="str">
        <f>"96/05/04"</f>
        <v>96/05/04</v>
      </c>
      <c r="AE815" s="1" t="str">
        <f>"اختتام"</f>
        <v>اختتام</v>
      </c>
      <c r="AF815" s="1" t="str">
        <f>""</f>
        <v/>
      </c>
      <c r="AG815" s="1" t="str">
        <f>""</f>
        <v/>
      </c>
      <c r="AH815" s="1" t="str">
        <f>""</f>
        <v/>
      </c>
      <c r="AI815" s="1" t="str">
        <f>""</f>
        <v/>
      </c>
      <c r="AJ815" s="1" t="str">
        <f>""</f>
        <v/>
      </c>
      <c r="AK815" s="1" t="str">
        <f>""</f>
        <v/>
      </c>
    </row>
    <row r="816" spans="1:37">
      <c r="A816" s="1">
        <v>700000</v>
      </c>
      <c r="B816" s="1">
        <v>961700043</v>
      </c>
      <c r="C816" s="1" t="str">
        <f>"تخليه يزدشهرستان بافق كارخانه آسفالت فرش راه"</f>
        <v>تخليه يزدشهرستان بافق كارخانه آسفالت فرش راه</v>
      </c>
      <c r="D816" s="1">
        <v>9204</v>
      </c>
      <c r="E816" s="1">
        <v>699780</v>
      </c>
      <c r="F816" s="1">
        <v>96</v>
      </c>
      <c r="G816" s="1">
        <v>220</v>
      </c>
      <c r="H816" s="1" t="str">
        <f>"96/05/11"</f>
        <v>96/05/11</v>
      </c>
      <c r="I816" s="1" t="str">
        <f>"كيلوگرم"</f>
        <v>كيلوگرم</v>
      </c>
      <c r="J816" s="1" t="str">
        <f>"0000000091"</f>
        <v>0000000091</v>
      </c>
      <c r="K816" s="1" t="str">
        <f>"قير  PG64-22"</f>
        <v>قير  PG64-22</v>
      </c>
      <c r="L816" s="1">
        <v>100</v>
      </c>
      <c r="M816" s="1" t="str">
        <f>"مخازن قير اصفهان"</f>
        <v>مخازن قير اصفهان</v>
      </c>
      <c r="N816" s="1">
        <v>1602</v>
      </c>
      <c r="O816" s="1">
        <v>50035486</v>
      </c>
      <c r="P816" s="1" t="str">
        <f>"  اداره كل راه و شهرسازي يزد"</f>
        <v xml:space="preserve">  اداره كل راه و شهرسازي يزد</v>
      </c>
      <c r="Q816" s="1">
        <v>17</v>
      </c>
      <c r="R816" s="1" t="str">
        <f>"فروش داخلي تهران - وزارت راه - راه روستايي - روکش"</f>
        <v>فروش داخلي تهران - وزارت راه - راه روستايي - روکش</v>
      </c>
      <c r="S816" s="1" t="str">
        <f>"قرارداد فروش"</f>
        <v>قرارداد فروش</v>
      </c>
      <c r="T816" s="1" t="str">
        <f>"ندارد"</f>
        <v>ندارد</v>
      </c>
      <c r="U816" s="1" t="str">
        <f>"قانعي محمدرضا(1011ج89)"</f>
        <v>قانعي محمدرضا(1011ج89)</v>
      </c>
      <c r="V816" s="1">
        <v>961700043</v>
      </c>
      <c r="W816" s="1">
        <v>961700043</v>
      </c>
      <c r="X816" s="1" t="str">
        <f>"1396502539"</f>
        <v>1396502539</v>
      </c>
      <c r="Y816" s="1" t="str">
        <f>"96/05/11"</f>
        <v>96/05/11</v>
      </c>
      <c r="Z816" s="1" t="str">
        <f>"22145/710"</f>
        <v>22145/710</v>
      </c>
      <c r="AA816" s="1" t="str">
        <f>"راه روستائي -روكش"</f>
        <v>راه روستائي -روكش</v>
      </c>
      <c r="AB816" s="1" t="str">
        <f>"96/05/09"</f>
        <v>96/05/09</v>
      </c>
      <c r="AC816" s="1" t="str">
        <f>"استان يزد"</f>
        <v>استان يزد</v>
      </c>
      <c r="AD816" s="1" t="str">
        <f>"96/05/11"</f>
        <v>96/05/11</v>
      </c>
      <c r="AE816" s="1" t="str">
        <f>"اختتام"</f>
        <v>اختتام</v>
      </c>
      <c r="AF816" s="1" t="str">
        <f>""</f>
        <v/>
      </c>
      <c r="AG816" s="1" t="str">
        <f>""</f>
        <v/>
      </c>
      <c r="AH816" s="1" t="str">
        <f>""</f>
        <v/>
      </c>
      <c r="AI816" s="1" t="str">
        <f>""</f>
        <v/>
      </c>
      <c r="AJ816" s="1" t="str">
        <f>""</f>
        <v/>
      </c>
      <c r="AK816" s="1" t="str">
        <f>""</f>
        <v/>
      </c>
    </row>
    <row r="817" spans="1:37">
      <c r="A817" s="1">
        <v>1200000</v>
      </c>
      <c r="B817" s="1">
        <v>961800044</v>
      </c>
      <c r="C817" s="1" t="str">
        <f>"تخليه-خراسان جنوبي-کيلومتر 3 جاده آرين شهر به بيرجند-کارخانه آسفالت حميد دليلي"</f>
        <v>تخليه-خراسان جنوبي-کيلومتر 3 جاده آرين شهر به بيرجند-کارخانه آسفالت حميد دليلي</v>
      </c>
      <c r="D817" s="1">
        <v>13100</v>
      </c>
      <c r="E817" s="1">
        <v>1197600</v>
      </c>
      <c r="F817" s="1">
        <v>96</v>
      </c>
      <c r="G817" s="1">
        <v>2400</v>
      </c>
      <c r="H817" s="1" t="str">
        <f>"96/06/26"</f>
        <v>96/06/26</v>
      </c>
      <c r="I817" s="1" t="str">
        <f>"كيلوگرم"</f>
        <v>كيلوگرم</v>
      </c>
      <c r="J817" s="1" t="str">
        <f>"0000000091"</f>
        <v>0000000091</v>
      </c>
      <c r="K817" s="1" t="str">
        <f>"قير  PG64-22"</f>
        <v>قير  PG64-22</v>
      </c>
      <c r="L817" s="1">
        <v>100</v>
      </c>
      <c r="M817" s="1" t="str">
        <f>"مخازن قير اصفهان"</f>
        <v>مخازن قير اصفهان</v>
      </c>
      <c r="N817" s="1">
        <v>1665</v>
      </c>
      <c r="O817" s="1">
        <v>50036064</v>
      </c>
      <c r="P817" s="1" t="str">
        <f>"  جهاد نصر يزد"</f>
        <v xml:space="preserve">  جهاد نصر يزد</v>
      </c>
      <c r="Q817" s="1">
        <v>18</v>
      </c>
      <c r="R817" s="1" t="str">
        <f>"فروش داخلي تهران - وزارت راه - شرکت ساخت و توسعه راهها"</f>
        <v>فروش داخلي تهران - وزارت راه - شرکت ساخت و توسعه راهها</v>
      </c>
      <c r="S817" s="1" t="str">
        <f>"قرارداد فروش"</f>
        <v>قرارداد فروش</v>
      </c>
      <c r="T817" s="1" t="str">
        <f>"ندارد"</f>
        <v>ندارد</v>
      </c>
      <c r="U817" s="1" t="str">
        <f>"غلام نجفي سيامك‌‌‌‌‌‌(1881082)"</f>
        <v>غلام نجفي سيامك‌‌‌‌‌‌(1881082)</v>
      </c>
      <c r="V817" s="1">
        <v>961800044</v>
      </c>
      <c r="W817" s="1">
        <v>961800044</v>
      </c>
      <c r="X817" s="1" t="str">
        <f>"1396512880"</f>
        <v>1396512880</v>
      </c>
      <c r="Y817" s="1" t="str">
        <f>"96/06/26"</f>
        <v>96/06/26</v>
      </c>
      <c r="Z817" s="1" t="str">
        <f>"29923/710"</f>
        <v>29923/710</v>
      </c>
      <c r="AA817" s="1" t="str">
        <f>"شركت  ساخت وتوسعه راهها"</f>
        <v>شركت  ساخت وتوسعه راهها</v>
      </c>
      <c r="AB817" s="1" t="str">
        <f>"96/06/19"</f>
        <v>96/06/19</v>
      </c>
      <c r="AC817" s="1" t="str">
        <f>"خراسان جنوبي"</f>
        <v>خراسان جنوبي</v>
      </c>
      <c r="AD817" s="1" t="str">
        <f>"96/06/26"</f>
        <v>96/06/26</v>
      </c>
      <c r="AE817" s="1" t="str">
        <f>"اختتام"</f>
        <v>اختتام</v>
      </c>
      <c r="AF817" s="1" t="str">
        <f>""</f>
        <v/>
      </c>
      <c r="AG817" s="1" t="str">
        <f>""</f>
        <v/>
      </c>
      <c r="AH817" s="1" t="str">
        <f>""</f>
        <v/>
      </c>
      <c r="AI817" s="1" t="str">
        <f>""</f>
        <v/>
      </c>
      <c r="AJ817" s="1" t="str">
        <f>""</f>
        <v/>
      </c>
      <c r="AK817" s="1" t="str">
        <f>""</f>
        <v/>
      </c>
    </row>
    <row r="818" spans="1:37">
      <c r="A818" s="1">
        <v>59111</v>
      </c>
      <c r="B818" s="1">
        <v>962000489</v>
      </c>
      <c r="C818" s="1" t="str">
        <f>"تخليه كهگيلويه وبويراحمدباشت سرآبيزكارخانه آسفالت حسيني"</f>
        <v>تخليه كهگيلويه وبويراحمدباشت سرآبيزكارخانه آسفالت حسيني</v>
      </c>
      <c r="D818" s="1">
        <v>12820</v>
      </c>
      <c r="E818" s="1">
        <v>59111</v>
      </c>
      <c r="F818" s="1">
        <v>96</v>
      </c>
      <c r="G818" s="1">
        <v>0</v>
      </c>
      <c r="H818" s="1" t="str">
        <f>"96/09/20"</f>
        <v>96/09/20</v>
      </c>
      <c r="I818" s="1" t="str">
        <f>"كيلوگرم"</f>
        <v>كيلوگرم</v>
      </c>
      <c r="J818" s="1" t="str">
        <f>"0000000076"</f>
        <v>0000000076</v>
      </c>
      <c r="K818" s="1" t="str">
        <f>"قير 60/70 - فله"</f>
        <v>قير 60/70 - فله</v>
      </c>
      <c r="L818" s="1">
        <v>100</v>
      </c>
      <c r="M818" s="1" t="str">
        <f>"مخازن قير اصفهان"</f>
        <v>مخازن قير اصفهان</v>
      </c>
      <c r="N818" s="1">
        <v>10071</v>
      </c>
      <c r="O818" s="1">
        <v>50037864</v>
      </c>
      <c r="P818" s="1" t="str">
        <f>"  شهرداري باشت"</f>
        <v xml:space="preserve">  شهرداري باشت</v>
      </c>
      <c r="Q818" s="1">
        <v>20</v>
      </c>
      <c r="R818" s="1" t="str">
        <f>"فروش داخلي - سازمان شهرداري ها و دهياري هاي كشور"</f>
        <v>فروش داخلي - سازمان شهرداري ها و دهياري هاي كشور</v>
      </c>
      <c r="S818" s="1" t="str">
        <f>"قرارداد فروش"</f>
        <v>قرارداد فروش</v>
      </c>
      <c r="T818" s="1" t="str">
        <f>"ندارد"</f>
        <v>ندارد</v>
      </c>
      <c r="U818" s="1" t="str">
        <f>"تعاوني جم گستر (1001 ج 89)"</f>
        <v>تعاوني جم گستر (1001 ج 89)</v>
      </c>
      <c r="V818" s="1">
        <v>962000489</v>
      </c>
      <c r="W818" s="1">
        <v>962000489</v>
      </c>
      <c r="X818" s="1" t="str">
        <f>"1396529711"</f>
        <v>1396529711</v>
      </c>
      <c r="Y818" s="1" t="str">
        <f>"96/09/20"</f>
        <v>96/09/20</v>
      </c>
      <c r="Z818" s="1" t="str">
        <f>"38279مرحله دوم"</f>
        <v>38279مرحله دوم</v>
      </c>
      <c r="AA818" s="1" t="str">
        <f>"شهرداريها"</f>
        <v>شهرداريها</v>
      </c>
      <c r="AB818" s="1" t="str">
        <f>"96/09/11"</f>
        <v>96/09/11</v>
      </c>
      <c r="AC818" s="1" t="str">
        <f>"كهكيلويه و بوير احمد"</f>
        <v>كهكيلويه و بوير احمد</v>
      </c>
      <c r="AD818" s="1" t="str">
        <f>"96/09/13"</f>
        <v>96/09/13</v>
      </c>
      <c r="AE818" s="1" t="str">
        <f>"تاييدشده"</f>
        <v>تاييدشده</v>
      </c>
      <c r="AF818" s="1" t="str">
        <f>""</f>
        <v/>
      </c>
      <c r="AG818" s="1" t="str">
        <f>""</f>
        <v/>
      </c>
      <c r="AH818" s="1" t="str">
        <f>""</f>
        <v/>
      </c>
      <c r="AI818" s="1" t="str">
        <f>""</f>
        <v/>
      </c>
      <c r="AJ818" s="1" t="str">
        <f>""</f>
        <v/>
      </c>
      <c r="AK818" s="1" t="str">
        <f>""</f>
        <v/>
      </c>
    </row>
    <row r="819" spans="1:37">
      <c r="A819" s="1">
        <v>103795</v>
      </c>
      <c r="B819" s="1">
        <v>962000084</v>
      </c>
      <c r="C819" s="1" t="str">
        <f>"تخليه -اصفهان -كاشان -كيلومتر20محوركاشان -قم -درم"</f>
        <v>تخليه -اصفهان -كاشان -كيلومتر20محوركاشان -قم -درم</v>
      </c>
      <c r="D819" s="1">
        <v>9113</v>
      </c>
      <c r="E819" s="1">
        <v>103795</v>
      </c>
      <c r="F819" s="1">
        <v>96</v>
      </c>
      <c r="G819" s="1">
        <v>0</v>
      </c>
      <c r="H819" s="1" t="str">
        <f>"96/07/03"</f>
        <v>96/07/03</v>
      </c>
      <c r="I819" s="1" t="str">
        <f>"كيلوگرم"</f>
        <v>كيلوگرم</v>
      </c>
      <c r="J819" s="1" t="str">
        <f>"0000000076"</f>
        <v>0000000076</v>
      </c>
      <c r="K819" s="1" t="str">
        <f>"قير 60/70 - فله"</f>
        <v>قير 60/70 - فله</v>
      </c>
      <c r="L819" s="1">
        <v>100</v>
      </c>
      <c r="M819" s="1" t="str">
        <f>"مخازن قير اصفهان"</f>
        <v>مخازن قير اصفهان</v>
      </c>
      <c r="N819" s="1">
        <v>10083</v>
      </c>
      <c r="O819" s="1">
        <v>50036238</v>
      </c>
      <c r="P819" s="1" t="str">
        <f>"  شهرداري مشكات"</f>
        <v xml:space="preserve">  شهرداري مشكات</v>
      </c>
      <c r="Q819" s="1">
        <v>20</v>
      </c>
      <c r="R819" s="1" t="str">
        <f>"فروش داخلي - سازمان شهرداري ها و دهياري هاي كشور"</f>
        <v>فروش داخلي - سازمان شهرداري ها و دهياري هاي كشور</v>
      </c>
      <c r="S819" s="1" t="str">
        <f>"قرارداد فروش"</f>
        <v>قرارداد فروش</v>
      </c>
      <c r="T819" s="1" t="str">
        <f>"ندارد"</f>
        <v>ندارد</v>
      </c>
      <c r="U819" s="1" t="str">
        <f>"تعاوني جم گستر (1001 ج 89)"</f>
        <v>تعاوني جم گستر (1001 ج 89)</v>
      </c>
      <c r="V819" s="1">
        <v>962000084</v>
      </c>
      <c r="W819" s="1">
        <v>962000084</v>
      </c>
      <c r="X819" s="1" t="str">
        <f>"1396514467"</f>
        <v>1396514467</v>
      </c>
      <c r="Y819" s="1" t="str">
        <f>"96/07/03"</f>
        <v>96/07/03</v>
      </c>
      <c r="Z819" s="1" t="str">
        <f>"26651مرحله اول"</f>
        <v>26651مرحله اول</v>
      </c>
      <c r="AA819" s="1" t="str">
        <f>"شهرداريها"</f>
        <v>شهرداريها</v>
      </c>
      <c r="AB819" s="1" t="str">
        <f>"96/06/29"</f>
        <v>96/06/29</v>
      </c>
      <c r="AC819" s="1" t="str">
        <f>"استان اصفهان"</f>
        <v>استان اصفهان</v>
      </c>
      <c r="AD819" s="1" t="str">
        <f>"96/07/03"</f>
        <v>96/07/03</v>
      </c>
      <c r="AE819" s="1" t="str">
        <f>"اختتام"</f>
        <v>اختتام</v>
      </c>
      <c r="AF819" s="1" t="str">
        <f>""</f>
        <v/>
      </c>
      <c r="AG819" s="1" t="str">
        <f>""</f>
        <v/>
      </c>
      <c r="AH819" s="1" t="str">
        <f>""</f>
        <v/>
      </c>
      <c r="AI819" s="1" t="str">
        <f>""</f>
        <v/>
      </c>
      <c r="AJ819" s="1" t="str">
        <f>""</f>
        <v/>
      </c>
      <c r="AK819" s="1" t="str">
        <f>""</f>
        <v/>
      </c>
    </row>
    <row r="820" spans="1:37">
      <c r="A820" s="1">
        <v>104699</v>
      </c>
      <c r="B820" s="1">
        <v>962000091</v>
      </c>
      <c r="C820" s="1" t="str">
        <f>"تخليه -اصفهان -كاشان كيلومتر17جاده قمصر-شركت بتن آسفالت مهر"</f>
        <v>تخليه -اصفهان -كاشان كيلومتر17جاده قمصر-شركت بتن آسفالت مهر</v>
      </c>
      <c r="D820" s="1">
        <v>9113</v>
      </c>
      <c r="E820" s="1">
        <v>104699</v>
      </c>
      <c r="F820" s="1">
        <v>96</v>
      </c>
      <c r="G820" s="1">
        <v>0</v>
      </c>
      <c r="H820" s="1" t="str">
        <f>"96/07/03"</f>
        <v>96/07/03</v>
      </c>
      <c r="I820" s="1" t="str">
        <f>"كيلوگرم"</f>
        <v>كيلوگرم</v>
      </c>
      <c r="J820" s="1" t="str">
        <f>"0000000076"</f>
        <v>0000000076</v>
      </c>
      <c r="K820" s="1" t="str">
        <f>"قير 60/70 - فله"</f>
        <v>قير 60/70 - فله</v>
      </c>
      <c r="L820" s="1">
        <v>100</v>
      </c>
      <c r="M820" s="1" t="str">
        <f>"مخازن قير اصفهان"</f>
        <v>مخازن قير اصفهان</v>
      </c>
      <c r="N820" s="1">
        <v>10084</v>
      </c>
      <c r="O820" s="1">
        <v>50036245</v>
      </c>
      <c r="P820" s="1" t="str">
        <f>"  شهرداري نوش آباد"</f>
        <v xml:space="preserve">  شهرداري نوش آباد</v>
      </c>
      <c r="Q820" s="1">
        <v>20</v>
      </c>
      <c r="R820" s="1" t="str">
        <f>"فروش داخلي - سازمان شهرداري ها و دهياري هاي كشور"</f>
        <v>فروش داخلي - سازمان شهرداري ها و دهياري هاي كشور</v>
      </c>
      <c r="S820" s="1" t="str">
        <f>"قرارداد فروش"</f>
        <v>قرارداد فروش</v>
      </c>
      <c r="T820" s="1" t="str">
        <f>"ندارد"</f>
        <v>ندارد</v>
      </c>
      <c r="U820" s="1" t="str">
        <f>"تعاوني جم گستر (1001 ج 89)"</f>
        <v>تعاوني جم گستر (1001 ج 89)</v>
      </c>
      <c r="V820" s="1">
        <v>962000091</v>
      </c>
      <c r="W820" s="1">
        <v>962000091</v>
      </c>
      <c r="X820" s="1" t="str">
        <f>"1396514467"</f>
        <v>1396514467</v>
      </c>
      <c r="Y820" s="1" t="str">
        <f>"96/07/03"</f>
        <v>96/07/03</v>
      </c>
      <c r="Z820" s="1" t="str">
        <f>"26624مرحله اول"</f>
        <v>26624مرحله اول</v>
      </c>
      <c r="AA820" s="1" t="str">
        <f>"شهرداريها"</f>
        <v>شهرداريها</v>
      </c>
      <c r="AB820" s="1" t="str">
        <f>"96/06/29"</f>
        <v>96/06/29</v>
      </c>
      <c r="AC820" s="1" t="str">
        <f>"استان اصفهان"</f>
        <v>استان اصفهان</v>
      </c>
      <c r="AD820" s="1" t="str">
        <f>"96/07/03"</f>
        <v>96/07/03</v>
      </c>
      <c r="AE820" s="1" t="str">
        <f>"اختتام"</f>
        <v>اختتام</v>
      </c>
      <c r="AF820" s="1" t="str">
        <f>""</f>
        <v/>
      </c>
      <c r="AG820" s="1" t="str">
        <f>""</f>
        <v/>
      </c>
      <c r="AH820" s="1" t="str">
        <f>""</f>
        <v/>
      </c>
      <c r="AI820" s="1" t="str">
        <f>""</f>
        <v/>
      </c>
      <c r="AJ820" s="1" t="str">
        <f>""</f>
        <v/>
      </c>
      <c r="AK820" s="1" t="str">
        <f>""</f>
        <v/>
      </c>
    </row>
    <row r="821" spans="1:37">
      <c r="A821" s="1">
        <v>400000</v>
      </c>
      <c r="B821" s="1">
        <v>961400009</v>
      </c>
      <c r="C821" s="1" t="str">
        <f>"تخليه -كيلومتر15محوراردكان -هامانه كارخانه آسفالت هامون اردکان"</f>
        <v>تخليه -كيلومتر15محوراردكان -هامانه كارخانه آسفالت هامون اردکان</v>
      </c>
      <c r="D821" s="1">
        <v>8904</v>
      </c>
      <c r="E821" s="1">
        <v>386220</v>
      </c>
      <c r="F821" s="1">
        <v>96</v>
      </c>
      <c r="G821" s="1">
        <v>13780</v>
      </c>
      <c r="H821" s="1" t="str">
        <f>"96/03/22"</f>
        <v>96/03/22</v>
      </c>
      <c r="I821" s="1" t="str">
        <f>"كيلوگرم"</f>
        <v>كيلوگرم</v>
      </c>
      <c r="J821" s="1" t="str">
        <f>"0000000091"</f>
        <v>0000000091</v>
      </c>
      <c r="K821" s="1" t="str">
        <f>"قير  PG64-22"</f>
        <v>قير  PG64-22</v>
      </c>
      <c r="L821" s="1">
        <v>100</v>
      </c>
      <c r="M821" s="1" t="str">
        <f>"مخازن قير اصفهان"</f>
        <v>مخازن قير اصفهان</v>
      </c>
      <c r="N821" s="1">
        <v>1602</v>
      </c>
      <c r="O821" s="1">
        <v>50034993</v>
      </c>
      <c r="P821" s="1" t="str">
        <f>"  اداره كل راه و شهرسازي يزد"</f>
        <v xml:space="preserve">  اداره كل راه و شهرسازي يزد</v>
      </c>
      <c r="Q821" s="1">
        <v>14</v>
      </c>
      <c r="R821" s="1" t="str">
        <f>"فروش داخلي - وزارت راه - حوزه راه روستايي ساخت"</f>
        <v>فروش داخلي - وزارت راه - حوزه راه روستايي ساخت</v>
      </c>
      <c r="S821" s="1" t="str">
        <f>"قرارداد فروش"</f>
        <v>قرارداد فروش</v>
      </c>
      <c r="T821" s="1" t="str">
        <f>"ندارد"</f>
        <v>ندارد</v>
      </c>
      <c r="U821" s="1" t="str">
        <f>"قانعي محمدرضا(1011ج89)"</f>
        <v>قانعي محمدرضا(1011ج89)</v>
      </c>
      <c r="V821" s="1">
        <v>961400009</v>
      </c>
      <c r="W821" s="1">
        <v>961400009</v>
      </c>
      <c r="X821" s="1" t="str">
        <f>"1396487037"</f>
        <v>1396487037</v>
      </c>
      <c r="Y821" s="1" t="str">
        <f>"96/03/22"</f>
        <v>96/03/22</v>
      </c>
      <c r="Z821" s="1" t="str">
        <f>"12145/710"</f>
        <v>12145/710</v>
      </c>
      <c r="AA821" s="1" t="str">
        <f>"راه وروستايي -ساخت"</f>
        <v>راه وروستايي -ساخت</v>
      </c>
      <c r="AB821" s="1" t="str">
        <f>"96/03/20"</f>
        <v>96/03/20</v>
      </c>
      <c r="AC821" s="1" t="str">
        <f>"استان يزد"</f>
        <v>استان يزد</v>
      </c>
      <c r="AD821" s="1" t="str">
        <f>"96/03/22"</f>
        <v>96/03/22</v>
      </c>
      <c r="AE821" s="1" t="str">
        <f>"اختتام"</f>
        <v>اختتام</v>
      </c>
      <c r="AF821" s="1" t="str">
        <f>""</f>
        <v/>
      </c>
      <c r="AG821" s="1" t="str">
        <f>""</f>
        <v/>
      </c>
      <c r="AH821" s="1" t="str">
        <f>""</f>
        <v/>
      </c>
      <c r="AI821" s="1" t="str">
        <f>""</f>
        <v/>
      </c>
      <c r="AJ821" s="1" t="str">
        <f>""</f>
        <v/>
      </c>
      <c r="AK821" s="1" t="str">
        <f>""</f>
        <v/>
      </c>
    </row>
    <row r="822" spans="1:37">
      <c r="A822" s="1">
        <v>250000</v>
      </c>
      <c r="B822" s="1">
        <v>961400010</v>
      </c>
      <c r="C822" s="1" t="str">
        <f>"تخليه يزدشهرستان بافق كارخانه آسفالت فرش راه"</f>
        <v>تخليه يزدشهرستان بافق كارخانه آسفالت فرش راه</v>
      </c>
      <c r="D822" s="1">
        <v>9204</v>
      </c>
      <c r="E822" s="1">
        <v>249020</v>
      </c>
      <c r="F822" s="1">
        <v>96</v>
      </c>
      <c r="G822" s="1">
        <v>980</v>
      </c>
      <c r="H822" s="1" t="str">
        <f>"96/03/22"</f>
        <v>96/03/22</v>
      </c>
      <c r="I822" s="1" t="str">
        <f>"كيلوگرم"</f>
        <v>كيلوگرم</v>
      </c>
      <c r="J822" s="1" t="str">
        <f>"0000000091"</f>
        <v>0000000091</v>
      </c>
      <c r="K822" s="1" t="str">
        <f>"قير  PG64-22"</f>
        <v>قير  PG64-22</v>
      </c>
      <c r="L822" s="1">
        <v>100</v>
      </c>
      <c r="M822" s="1" t="str">
        <f>"مخازن قير اصفهان"</f>
        <v>مخازن قير اصفهان</v>
      </c>
      <c r="N822" s="1">
        <v>1602</v>
      </c>
      <c r="O822" s="1">
        <v>50034994</v>
      </c>
      <c r="P822" s="1" t="str">
        <f>"  اداره كل راه و شهرسازي يزد"</f>
        <v xml:space="preserve">  اداره كل راه و شهرسازي يزد</v>
      </c>
      <c r="Q822" s="1">
        <v>14</v>
      </c>
      <c r="R822" s="1" t="str">
        <f>"فروش داخلي - وزارت راه - حوزه راه روستايي ساخت"</f>
        <v>فروش داخلي - وزارت راه - حوزه راه روستايي ساخت</v>
      </c>
      <c r="S822" s="1" t="str">
        <f>"قرارداد فروش"</f>
        <v>قرارداد فروش</v>
      </c>
      <c r="T822" s="1" t="str">
        <f>"ندارد"</f>
        <v>ندارد</v>
      </c>
      <c r="U822" s="1" t="str">
        <f>"قانعي محمدرضا(1011ج89)"</f>
        <v>قانعي محمدرضا(1011ج89)</v>
      </c>
      <c r="V822" s="1">
        <v>961400010</v>
      </c>
      <c r="W822" s="1">
        <v>961400010</v>
      </c>
      <c r="X822" s="1" t="str">
        <f>"1396487037"</f>
        <v>1396487037</v>
      </c>
      <c r="Y822" s="1" t="str">
        <f>"96/03/22"</f>
        <v>96/03/22</v>
      </c>
      <c r="Z822" s="1" t="str">
        <f>"12150/710"</f>
        <v>12150/710</v>
      </c>
      <c r="AA822" s="1" t="str">
        <f>"راه وروستايي -ساخت"</f>
        <v>راه وروستايي -ساخت</v>
      </c>
      <c r="AB822" s="1" t="str">
        <f>"96/03/20"</f>
        <v>96/03/20</v>
      </c>
      <c r="AC822" s="1" t="str">
        <f>"استان يزد"</f>
        <v>استان يزد</v>
      </c>
      <c r="AD822" s="1" t="str">
        <f>"96/03/22"</f>
        <v>96/03/22</v>
      </c>
      <c r="AE822" s="1" t="str">
        <f>"اختتام"</f>
        <v>اختتام</v>
      </c>
      <c r="AF822" s="1" t="str">
        <f>""</f>
        <v/>
      </c>
      <c r="AG822" s="1" t="str">
        <f>""</f>
        <v/>
      </c>
      <c r="AH822" s="1" t="str">
        <f>""</f>
        <v/>
      </c>
      <c r="AI822" s="1" t="str">
        <f>""</f>
        <v/>
      </c>
      <c r="AJ822" s="1" t="str">
        <f>""</f>
        <v/>
      </c>
      <c r="AK822" s="1" t="str">
        <f>""</f>
        <v/>
      </c>
    </row>
    <row r="823" spans="1:37">
      <c r="A823" s="1">
        <v>259000</v>
      </c>
      <c r="B823" s="1">
        <v>961700034</v>
      </c>
      <c r="C823" s="1" t="str">
        <f>"تخليه يزدكارخانه آسفالت شركت زاويه سازيزد"</f>
        <v>تخليه يزدكارخانه آسفالت شركت زاويه سازيزد</v>
      </c>
      <c r="D823" s="1">
        <v>9204</v>
      </c>
      <c r="E823" s="1">
        <v>258000</v>
      </c>
      <c r="F823" s="1">
        <v>96</v>
      </c>
      <c r="G823" s="1">
        <v>1000</v>
      </c>
      <c r="H823" s="1" t="str">
        <f>"96/05/04"</f>
        <v>96/05/04</v>
      </c>
      <c r="I823" s="1" t="str">
        <f>"كيلوگرم"</f>
        <v>كيلوگرم</v>
      </c>
      <c r="J823" s="1" t="str">
        <f>"0000000091"</f>
        <v>0000000091</v>
      </c>
      <c r="K823" s="1" t="str">
        <f>"قير  PG64-22"</f>
        <v>قير  PG64-22</v>
      </c>
      <c r="L823" s="1">
        <v>100</v>
      </c>
      <c r="M823" s="1" t="str">
        <f>"مخازن قير اصفهان"</f>
        <v>مخازن قير اصفهان</v>
      </c>
      <c r="N823" s="1">
        <v>1602</v>
      </c>
      <c r="O823" s="1">
        <v>50035355</v>
      </c>
      <c r="P823" s="1" t="str">
        <f>"  اداره كل راه و شهرسازي يزد"</f>
        <v xml:space="preserve">  اداره كل راه و شهرسازي يزد</v>
      </c>
      <c r="Q823" s="1">
        <v>17</v>
      </c>
      <c r="R823" s="1" t="str">
        <f>"فروش داخلي تهران - وزارت راه - راه روستايي - روکش"</f>
        <v>فروش داخلي تهران - وزارت راه - راه روستايي - روکش</v>
      </c>
      <c r="S823" s="1" t="str">
        <f>"قرارداد فروش"</f>
        <v>قرارداد فروش</v>
      </c>
      <c r="T823" s="1" t="str">
        <f>"ندارد"</f>
        <v>ندارد</v>
      </c>
      <c r="U823" s="1" t="str">
        <f>"قانعي محمدرضا(1011ج89)"</f>
        <v>قانعي محمدرضا(1011ج89)</v>
      </c>
      <c r="V823" s="1">
        <v>961700034</v>
      </c>
      <c r="W823" s="1">
        <v>961700034</v>
      </c>
      <c r="X823" s="1" t="str">
        <f>"1396500407"</f>
        <v>1396500407</v>
      </c>
      <c r="Y823" s="1" t="str">
        <f>"96/05/04"</f>
        <v>96/05/04</v>
      </c>
      <c r="Z823" s="1" t="str">
        <f>"20847/710"</f>
        <v>20847/710</v>
      </c>
      <c r="AA823" s="1" t="str">
        <f>"راه روستائي -روكش"</f>
        <v>راه روستائي -روكش</v>
      </c>
      <c r="AB823" s="1" t="str">
        <f>"96/05/03"</f>
        <v>96/05/03</v>
      </c>
      <c r="AC823" s="1" t="str">
        <f>"استان يزد"</f>
        <v>استان يزد</v>
      </c>
      <c r="AD823" s="1" t="str">
        <f>"96/05/04"</f>
        <v>96/05/04</v>
      </c>
      <c r="AE823" s="1" t="str">
        <f>"اختتام"</f>
        <v>اختتام</v>
      </c>
      <c r="AF823" s="1" t="str">
        <f>""</f>
        <v/>
      </c>
      <c r="AG823" s="1" t="str">
        <f>""</f>
        <v/>
      </c>
      <c r="AH823" s="1" t="str">
        <f>""</f>
        <v/>
      </c>
      <c r="AI823" s="1" t="str">
        <f>""</f>
        <v/>
      </c>
      <c r="AJ823" s="1" t="str">
        <f>""</f>
        <v/>
      </c>
      <c r="AK823" s="1" t="str">
        <f>""</f>
        <v/>
      </c>
    </row>
    <row r="824" spans="1:37">
      <c r="A824" s="1">
        <v>300000</v>
      </c>
      <c r="B824" s="1">
        <v>961700049</v>
      </c>
      <c r="C824" s="1" t="str">
        <f>"تخليه -كيلومتر15محوراردكان -هامانه كارخانه آسفالت هامون اردکان"</f>
        <v>تخليه -كيلومتر15محوراردكان -هامانه كارخانه آسفالت هامون اردکان</v>
      </c>
      <c r="D824" s="1">
        <v>12970</v>
      </c>
      <c r="E824" s="1">
        <v>299500</v>
      </c>
      <c r="F824" s="1">
        <v>96</v>
      </c>
      <c r="G824" s="1">
        <v>500</v>
      </c>
      <c r="H824" s="1" t="str">
        <f>"96/05/21"</f>
        <v>96/05/21</v>
      </c>
      <c r="I824" s="1" t="str">
        <f>"كيلوگرم"</f>
        <v>كيلوگرم</v>
      </c>
      <c r="J824" s="1" t="str">
        <f>"0000000091"</f>
        <v>0000000091</v>
      </c>
      <c r="K824" s="1" t="str">
        <f>"قير  PG64-22"</f>
        <v>قير  PG64-22</v>
      </c>
      <c r="L824" s="1">
        <v>100</v>
      </c>
      <c r="M824" s="1" t="str">
        <f>"مخازن قير اصفهان"</f>
        <v>مخازن قير اصفهان</v>
      </c>
      <c r="N824" s="1">
        <v>1602</v>
      </c>
      <c r="O824" s="1">
        <v>50035609</v>
      </c>
      <c r="P824" s="1" t="str">
        <f>"  اداره كل راه و شهرسازي يزد"</f>
        <v xml:space="preserve">  اداره كل راه و شهرسازي يزد</v>
      </c>
      <c r="Q824" s="1">
        <v>17</v>
      </c>
      <c r="R824" s="1" t="str">
        <f>"فروش داخلي تهران - وزارت راه - راه روستايي - روکش"</f>
        <v>فروش داخلي تهران - وزارت راه - راه روستايي - روکش</v>
      </c>
      <c r="S824" s="1" t="str">
        <f>"قرارداد فروش"</f>
        <v>قرارداد فروش</v>
      </c>
      <c r="T824" s="1" t="str">
        <f>"ندارد"</f>
        <v>ندارد</v>
      </c>
      <c r="U824" s="1" t="str">
        <f>"قانعي محمدرضا(1011ج89)"</f>
        <v>قانعي محمدرضا(1011ج89)</v>
      </c>
      <c r="V824" s="1">
        <v>961700049</v>
      </c>
      <c r="W824" s="1">
        <v>961700049</v>
      </c>
      <c r="X824" s="1" t="str">
        <f>"1396504610"</f>
        <v>1396504610</v>
      </c>
      <c r="Y824" s="1" t="str">
        <f>"96/05/21"</f>
        <v>96/05/21</v>
      </c>
      <c r="Z824" s="1" t="str">
        <f>"23726/710"</f>
        <v>23726/710</v>
      </c>
      <c r="AA824" s="1" t="str">
        <f>"راه روستائي -روكش"</f>
        <v>راه روستائي -روكش</v>
      </c>
      <c r="AB824" s="1" t="str">
        <f>"96/05/18"</f>
        <v>96/05/18</v>
      </c>
      <c r="AC824" s="1" t="str">
        <f>"استان يزد"</f>
        <v>استان يزد</v>
      </c>
      <c r="AD824" s="1" t="str">
        <f>"96/05/21"</f>
        <v>96/05/21</v>
      </c>
      <c r="AE824" s="1" t="str">
        <f>"اختتام"</f>
        <v>اختتام</v>
      </c>
      <c r="AF824" s="1" t="str">
        <f>""</f>
        <v/>
      </c>
      <c r="AG824" s="1" t="str">
        <f>""</f>
        <v/>
      </c>
      <c r="AH824" s="1" t="str">
        <f>""</f>
        <v/>
      </c>
      <c r="AI824" s="1" t="str">
        <f>""</f>
        <v/>
      </c>
      <c r="AJ824" s="1" t="str">
        <f>""</f>
        <v/>
      </c>
      <c r="AK824" s="1" t="str">
        <f>""</f>
        <v/>
      </c>
    </row>
    <row r="825" spans="1:37">
      <c r="A825" s="1">
        <v>250000</v>
      </c>
      <c r="B825" s="1">
        <v>961700050</v>
      </c>
      <c r="C825" s="1" t="str">
        <f>"تخليه يزدشهرستان بافق كارخانه آسفالت فرش راه"</f>
        <v>تخليه يزدشهرستان بافق كارخانه آسفالت فرش راه</v>
      </c>
      <c r="D825" s="1">
        <v>12970</v>
      </c>
      <c r="E825" s="1">
        <v>249020</v>
      </c>
      <c r="F825" s="1">
        <v>96</v>
      </c>
      <c r="G825" s="1">
        <v>980</v>
      </c>
      <c r="H825" s="1" t="str">
        <f>"96/05/21"</f>
        <v>96/05/21</v>
      </c>
      <c r="I825" s="1" t="str">
        <f>"كيلوگرم"</f>
        <v>كيلوگرم</v>
      </c>
      <c r="J825" s="1" t="str">
        <f>"0000000091"</f>
        <v>0000000091</v>
      </c>
      <c r="K825" s="1" t="str">
        <f>"قير  PG64-22"</f>
        <v>قير  PG64-22</v>
      </c>
      <c r="L825" s="1">
        <v>100</v>
      </c>
      <c r="M825" s="1" t="str">
        <f>"مخازن قير اصفهان"</f>
        <v>مخازن قير اصفهان</v>
      </c>
      <c r="N825" s="1">
        <v>1602</v>
      </c>
      <c r="O825" s="1">
        <v>50035610</v>
      </c>
      <c r="P825" s="1" t="str">
        <f>"  اداره كل راه و شهرسازي يزد"</f>
        <v xml:space="preserve">  اداره كل راه و شهرسازي يزد</v>
      </c>
      <c r="Q825" s="1">
        <v>17</v>
      </c>
      <c r="R825" s="1" t="str">
        <f>"فروش داخلي تهران - وزارت راه - راه روستايي - روکش"</f>
        <v>فروش داخلي تهران - وزارت راه - راه روستايي - روکش</v>
      </c>
      <c r="S825" s="1" t="str">
        <f>"قرارداد فروش"</f>
        <v>قرارداد فروش</v>
      </c>
      <c r="T825" s="1" t="str">
        <f>"ندارد"</f>
        <v>ندارد</v>
      </c>
      <c r="U825" s="1" t="str">
        <f>"قانعي محمدرضا(1011ج89)"</f>
        <v>قانعي محمدرضا(1011ج89)</v>
      </c>
      <c r="V825" s="1">
        <v>961700050</v>
      </c>
      <c r="W825" s="1">
        <v>961700050</v>
      </c>
      <c r="X825" s="1" t="str">
        <f>"1396504610"</f>
        <v>1396504610</v>
      </c>
      <c r="Y825" s="1" t="str">
        <f>"96/05/21"</f>
        <v>96/05/21</v>
      </c>
      <c r="Z825" s="1" t="str">
        <f>"23717/710"</f>
        <v>23717/710</v>
      </c>
      <c r="AA825" s="1" t="str">
        <f>"راه روستائي -روكش"</f>
        <v>راه روستائي -روكش</v>
      </c>
      <c r="AB825" s="1" t="str">
        <f>"96/05/18"</f>
        <v>96/05/18</v>
      </c>
      <c r="AC825" s="1" t="str">
        <f>"استان يزد"</f>
        <v>استان يزد</v>
      </c>
      <c r="AD825" s="1" t="str">
        <f>"96/05/21"</f>
        <v>96/05/21</v>
      </c>
      <c r="AE825" s="1" t="str">
        <f>"اختتام"</f>
        <v>اختتام</v>
      </c>
      <c r="AF825" s="1" t="str">
        <f>""</f>
        <v/>
      </c>
      <c r="AG825" s="1" t="str">
        <f>""</f>
        <v/>
      </c>
      <c r="AH825" s="1" t="str">
        <f>""</f>
        <v/>
      </c>
      <c r="AI825" s="1" t="str">
        <f>""</f>
        <v/>
      </c>
      <c r="AJ825" s="1" t="str">
        <f>""</f>
        <v/>
      </c>
      <c r="AK825" s="1" t="str">
        <f>""</f>
        <v/>
      </c>
    </row>
    <row r="826" spans="1:37">
      <c r="A826" s="1">
        <v>325000</v>
      </c>
      <c r="B826" s="1">
        <v>961700155</v>
      </c>
      <c r="C826" s="1" t="str">
        <f>"تخليه يزدكارخانه آسفالت شركت زاويه سازيزد"</f>
        <v>تخليه يزدكارخانه آسفالت شركت زاويه سازيزد</v>
      </c>
      <c r="D826" s="1">
        <v>14000</v>
      </c>
      <c r="E826" s="1">
        <v>322540</v>
      </c>
      <c r="F826" s="1">
        <v>96</v>
      </c>
      <c r="G826" s="1">
        <v>2460</v>
      </c>
      <c r="H826" s="1" t="str">
        <f>"96/08/08"</f>
        <v>96/08/08</v>
      </c>
      <c r="I826" s="1" t="str">
        <f>"كيلوگرم"</f>
        <v>كيلوگرم</v>
      </c>
      <c r="J826" s="1" t="str">
        <f>"0000000091"</f>
        <v>0000000091</v>
      </c>
      <c r="K826" s="1" t="str">
        <f>"قير  PG64-22"</f>
        <v>قير  PG64-22</v>
      </c>
      <c r="L826" s="1">
        <v>100</v>
      </c>
      <c r="M826" s="1" t="str">
        <f>"مخازن قير اصفهان"</f>
        <v>مخازن قير اصفهان</v>
      </c>
      <c r="N826" s="1">
        <v>1602</v>
      </c>
      <c r="O826" s="1">
        <v>50036954</v>
      </c>
      <c r="P826" s="1" t="str">
        <f>"  اداره كل راه و شهرسازي يزد"</f>
        <v xml:space="preserve">  اداره كل راه و شهرسازي يزد</v>
      </c>
      <c r="Q826" s="1">
        <v>17</v>
      </c>
      <c r="R826" s="1" t="str">
        <f>"فروش داخلي تهران - وزارت راه - راه روستايي - روکش"</f>
        <v>فروش داخلي تهران - وزارت راه - راه روستايي - روکش</v>
      </c>
      <c r="S826" s="1" t="str">
        <f>"قرارداد فروش"</f>
        <v>قرارداد فروش</v>
      </c>
      <c r="T826" s="1" t="str">
        <f>"ندارد"</f>
        <v>ندارد</v>
      </c>
      <c r="U826" s="1" t="str">
        <f>"قانعي محمدرضا(1011ج89)"</f>
        <v>قانعي محمدرضا(1011ج89)</v>
      </c>
      <c r="V826" s="1">
        <v>961700155</v>
      </c>
      <c r="W826" s="1">
        <v>961700155</v>
      </c>
      <c r="X826" s="1" t="str">
        <f>"1396522092"</f>
        <v>1396522092</v>
      </c>
      <c r="Y826" s="1" t="str">
        <f>"96/08/08"</f>
        <v>96/08/08</v>
      </c>
      <c r="Z826" s="1" t="str">
        <f>"38690/710"</f>
        <v>38690/710</v>
      </c>
      <c r="AA826" s="1" t="str">
        <f>"راه روستائي -روكش"</f>
        <v>راه روستائي -روكش</v>
      </c>
      <c r="AB826" s="1" t="str">
        <f>"96/08/03"</f>
        <v>96/08/03</v>
      </c>
      <c r="AC826" s="1" t="str">
        <f>"استان يزد"</f>
        <v>استان يزد</v>
      </c>
      <c r="AD826" s="1" t="str">
        <f>"96/08/08"</f>
        <v>96/08/08</v>
      </c>
      <c r="AE826" s="1" t="str">
        <f>"اختتام"</f>
        <v>اختتام</v>
      </c>
      <c r="AF826" s="1" t="str">
        <f>""</f>
        <v/>
      </c>
      <c r="AG826" s="1" t="str">
        <f>""</f>
        <v/>
      </c>
      <c r="AH826" s="1" t="str">
        <f>""</f>
        <v/>
      </c>
      <c r="AI826" s="1" t="str">
        <f>""</f>
        <v/>
      </c>
      <c r="AJ826" s="1" t="str">
        <f>""</f>
        <v/>
      </c>
      <c r="AK826" s="1" t="str">
        <f>""</f>
        <v/>
      </c>
    </row>
    <row r="827" spans="1:37">
      <c r="A827" s="1">
        <v>230000</v>
      </c>
      <c r="B827" s="1">
        <v>961700164</v>
      </c>
      <c r="C827" s="1" t="str">
        <f>"تخليه - يزد-کارخانه آسفالت شرکت هموار راه کوير"</f>
        <v>تخليه - يزد-کارخانه آسفالت شرکت هموار راه کوير</v>
      </c>
      <c r="D827" s="1">
        <v>13100</v>
      </c>
      <c r="E827" s="1">
        <v>229480</v>
      </c>
      <c r="F827" s="1">
        <v>96</v>
      </c>
      <c r="G827" s="1">
        <v>520</v>
      </c>
      <c r="H827" s="1" t="str">
        <f>"96/09/19"</f>
        <v>96/09/19</v>
      </c>
      <c r="I827" s="1" t="str">
        <f>"كيلوگرم"</f>
        <v>كيلوگرم</v>
      </c>
      <c r="J827" s="1" t="str">
        <f>"0000000091"</f>
        <v>0000000091</v>
      </c>
      <c r="K827" s="1" t="str">
        <f>"قير  PG64-22"</f>
        <v>قير  PG64-22</v>
      </c>
      <c r="L827" s="1">
        <v>100</v>
      </c>
      <c r="M827" s="1" t="str">
        <f>"مخازن قير اصفهان"</f>
        <v>مخازن قير اصفهان</v>
      </c>
      <c r="N827" s="1">
        <v>1602</v>
      </c>
      <c r="O827" s="1">
        <v>50037573</v>
      </c>
      <c r="P827" s="1" t="str">
        <f>"  اداره كل راه و شهرسازي يزد"</f>
        <v xml:space="preserve">  اداره كل راه و شهرسازي يزد</v>
      </c>
      <c r="Q827" s="1">
        <v>17</v>
      </c>
      <c r="R827" s="1" t="str">
        <f>"فروش داخلي تهران - وزارت راه - راه روستايي - روکش"</f>
        <v>فروش داخلي تهران - وزارت راه - راه روستايي - روکش</v>
      </c>
      <c r="S827" s="1" t="str">
        <f>"قرارداد فروش"</f>
        <v>قرارداد فروش</v>
      </c>
      <c r="T827" s="1" t="str">
        <f>"ندارد"</f>
        <v>ندارد</v>
      </c>
      <c r="U827" s="1" t="str">
        <f>"قانعي محمدرضا(1011ج89)"</f>
        <v>قانعي محمدرضا(1011ج89)</v>
      </c>
      <c r="V827" s="1">
        <v>961700164</v>
      </c>
      <c r="W827" s="1">
        <v>961700164</v>
      </c>
      <c r="X827" s="1" t="str">
        <f>"1396531056"</f>
        <v>1396531056</v>
      </c>
      <c r="Y827" s="1" t="str">
        <f>"96/09/19"</f>
        <v>96/09/19</v>
      </c>
      <c r="Z827" s="1" t="str">
        <f>"46822/710"</f>
        <v>46822/710</v>
      </c>
      <c r="AA827" s="1" t="str">
        <f>"راه روستائي -روكش"</f>
        <v>راه روستائي -روكش</v>
      </c>
      <c r="AB827" s="1" t="str">
        <f>"96/09/13"</f>
        <v>96/09/13</v>
      </c>
      <c r="AC827" s="1" t="str">
        <f>"استان يزد"</f>
        <v>استان يزد</v>
      </c>
      <c r="AD827" s="1" t="str">
        <f>"96/09/18"</f>
        <v>96/09/18</v>
      </c>
      <c r="AE827" s="1" t="str">
        <f>"اختتام"</f>
        <v>اختتام</v>
      </c>
      <c r="AF827" s="1" t="str">
        <f>""</f>
        <v/>
      </c>
      <c r="AG827" s="1" t="str">
        <f>""</f>
        <v/>
      </c>
      <c r="AH827" s="1" t="str">
        <f>""</f>
        <v/>
      </c>
      <c r="AI827" s="1" t="str">
        <f>""</f>
        <v/>
      </c>
      <c r="AJ827" s="1" t="str">
        <f>""</f>
        <v/>
      </c>
      <c r="AK827" s="1" t="str">
        <f>""</f>
        <v/>
      </c>
    </row>
    <row r="828" spans="1:37">
      <c r="A828" s="1">
        <v>1000000</v>
      </c>
      <c r="B828" s="1">
        <v>961800055</v>
      </c>
      <c r="C828" s="1" t="str">
        <f>"تخليه اصفهان قطعه 3آزادراه اصفهان شيرازآباده 5كيلومتربعدازسده كارگاه شركت راهسازي وعمران ايران"</f>
        <v>تخليه اصفهان قطعه 3آزادراه اصفهان شيرازآباده 5كيلومتربعدازسده كارگاه شركت راهسازي وعمران ايران</v>
      </c>
      <c r="D828" s="1">
        <v>15810</v>
      </c>
      <c r="E828" s="1">
        <v>89400</v>
      </c>
      <c r="F828" s="1">
        <v>96</v>
      </c>
      <c r="G828" s="1">
        <v>910600</v>
      </c>
      <c r="H828" s="1" t="str">
        <f>"96/07/06"</f>
        <v>96/07/06</v>
      </c>
      <c r="I828" s="1" t="str">
        <f>"كيلوگرم"</f>
        <v>كيلوگرم</v>
      </c>
      <c r="J828" s="1" t="str">
        <f>"0000000091"</f>
        <v>0000000091</v>
      </c>
      <c r="K828" s="1" t="str">
        <f>"قير  PG64-22"</f>
        <v>قير  PG64-22</v>
      </c>
      <c r="L828" s="1">
        <v>100</v>
      </c>
      <c r="M828" s="1" t="str">
        <f>"مخازن قير اصفهان"</f>
        <v>مخازن قير اصفهان</v>
      </c>
      <c r="N828" s="1">
        <v>1726</v>
      </c>
      <c r="O828" s="1">
        <v>50036410</v>
      </c>
      <c r="P828" s="1" t="str">
        <f>"  راهسازي و عمران ايران"</f>
        <v xml:space="preserve">  راهسازي و عمران ايران</v>
      </c>
      <c r="Q828" s="1">
        <v>18</v>
      </c>
      <c r="R828" s="1" t="str">
        <f>"فروش داخلي تهران - وزارت راه - شرکت ساخت و توسعه راهها"</f>
        <v>فروش داخلي تهران - وزارت راه - شرکت ساخت و توسعه راهها</v>
      </c>
      <c r="S828" s="1" t="str">
        <f>"قرارداد فروش"</f>
        <v>قرارداد فروش</v>
      </c>
      <c r="T828" s="1" t="str">
        <f>"ندارد"</f>
        <v>ندارد</v>
      </c>
      <c r="U828" s="1" t="str">
        <f>"عظيمي محمد(2842015)"</f>
        <v>عظيمي محمد(2842015)</v>
      </c>
      <c r="V828" s="1">
        <v>961800055</v>
      </c>
      <c r="W828" s="1">
        <v>961800055</v>
      </c>
      <c r="X828" s="1" t="str">
        <f>"1396515519"</f>
        <v>1396515519</v>
      </c>
      <c r="Y828" s="1" t="str">
        <f>"96/07/06"</f>
        <v>96/07/06</v>
      </c>
      <c r="Z828" s="1" t="str">
        <f>"32511/710"</f>
        <v>32511/710</v>
      </c>
      <c r="AA828" s="1" t="str">
        <f>"شركت  ساخت وتوسعه راهها"</f>
        <v>شركت  ساخت وتوسعه راهها</v>
      </c>
      <c r="AB828" s="1" t="str">
        <f>"96/07/01"</f>
        <v>96/07/01</v>
      </c>
      <c r="AC828" s="1" t="str">
        <f>"استان اصفهان"</f>
        <v>استان اصفهان</v>
      </c>
      <c r="AD828" s="1" t="str">
        <f>"96/07/05"</f>
        <v>96/07/05</v>
      </c>
      <c r="AE828" s="1" t="str">
        <f>"اختتام"</f>
        <v>اختتام</v>
      </c>
      <c r="AF828" s="1" t="str">
        <f>""</f>
        <v/>
      </c>
      <c r="AG828" s="1" t="str">
        <f>""</f>
        <v/>
      </c>
      <c r="AH828" s="1" t="str">
        <f>""</f>
        <v/>
      </c>
      <c r="AI828" s="1" t="str">
        <f>""</f>
        <v/>
      </c>
      <c r="AJ828" s="1" t="str">
        <f>""</f>
        <v/>
      </c>
      <c r="AK828" s="1" t="str">
        <f>""</f>
        <v/>
      </c>
    </row>
    <row r="829" spans="1:37">
      <c r="A829" s="1">
        <v>326000</v>
      </c>
      <c r="B829" s="1">
        <v>961700007</v>
      </c>
      <c r="C829" s="1" t="str">
        <f>"تخليه -كرمان محوررفسنجان -يزدشركت پ بل"</f>
        <v>تخليه -كرمان محوررفسنجان -يزدشركت پ بل</v>
      </c>
      <c r="D829" s="1">
        <v>9068</v>
      </c>
      <c r="E829" s="1">
        <v>322600</v>
      </c>
      <c r="F829" s="1">
        <v>96</v>
      </c>
      <c r="G829" s="1">
        <v>3400</v>
      </c>
      <c r="H829" s="1" t="str">
        <f>"96/01/16"</f>
        <v>96/01/16</v>
      </c>
      <c r="I829" s="1" t="str">
        <f>"كيلوگرم"</f>
        <v>كيلوگرم</v>
      </c>
      <c r="J829" s="1" t="str">
        <f>"0000000091"</f>
        <v>0000000091</v>
      </c>
      <c r="K829" s="1" t="str">
        <f>"قير  PG64-22"</f>
        <v>قير  PG64-22</v>
      </c>
      <c r="L829" s="1">
        <v>100</v>
      </c>
      <c r="M829" s="1" t="str">
        <f>"مخازن قير اصفهان"</f>
        <v>مخازن قير اصفهان</v>
      </c>
      <c r="N829" s="1">
        <v>7034</v>
      </c>
      <c r="O829" s="1">
        <v>50034405</v>
      </c>
      <c r="P829" s="1" t="str">
        <f>"  اداره كل راه وشهرسازي كرمان"</f>
        <v xml:space="preserve">  اداره كل راه وشهرسازي كرمان</v>
      </c>
      <c r="Q829" s="1">
        <v>17</v>
      </c>
      <c r="R829" s="1" t="str">
        <f>"فروش داخلي تهران - وزارت راه - راه روستايي - روکش"</f>
        <v>فروش داخلي تهران - وزارت راه - راه روستايي - روکش</v>
      </c>
      <c r="S829" s="1" t="str">
        <f>"قرارداد فروش"</f>
        <v>قرارداد فروش</v>
      </c>
      <c r="T829" s="1" t="str">
        <f>"ندارد"</f>
        <v>ندارد</v>
      </c>
      <c r="U829" s="1" t="str">
        <f>"خضرائي فريدون(4844003)"</f>
        <v>خضرائي فريدون(4844003)</v>
      </c>
      <c r="V829" s="1">
        <v>961700007</v>
      </c>
      <c r="W829" s="1">
        <v>961700007</v>
      </c>
      <c r="X829" s="1" t="str">
        <f>"1395470943"</f>
        <v>1395470943</v>
      </c>
      <c r="Y829" s="1" t="str">
        <f>"96/01/16"</f>
        <v>96/01/16</v>
      </c>
      <c r="Z829" s="1" t="str">
        <f>"65855/710"</f>
        <v>65855/710</v>
      </c>
      <c r="AA829" s="1" t="str">
        <f>"راه روستائي -روكش"</f>
        <v>راه روستائي -روكش</v>
      </c>
      <c r="AB829" s="1" t="str">
        <f>"95/12/22"</f>
        <v>95/12/22</v>
      </c>
      <c r="AC829" s="1" t="str">
        <f>"استان كرمان"</f>
        <v>استان كرمان</v>
      </c>
      <c r="AD829" s="1" t="str">
        <f>"95/12/24"</f>
        <v>95/12/24</v>
      </c>
      <c r="AE829" s="1" t="str">
        <f>"اختتام"</f>
        <v>اختتام</v>
      </c>
      <c r="AF829" s="1" t="str">
        <f>""</f>
        <v/>
      </c>
      <c r="AG829" s="1" t="str">
        <f>""</f>
        <v/>
      </c>
      <c r="AH829" s="1" t="str">
        <f>""</f>
        <v/>
      </c>
      <c r="AI829" s="1" t="str">
        <f>""</f>
        <v/>
      </c>
      <c r="AJ829" s="1" t="str">
        <f>""</f>
        <v/>
      </c>
      <c r="AK829" s="1" t="str">
        <f>""</f>
        <v/>
      </c>
    </row>
    <row r="830" spans="1:37">
      <c r="A830" s="1">
        <v>897160</v>
      </c>
      <c r="B830" s="1">
        <v>961700159</v>
      </c>
      <c r="C830" s="1" t="str">
        <f>"تخليه-کهگيلويه و بويراحمد-باشت-کارخانه رزمان"</f>
        <v>تخليه-کهگيلويه و بويراحمد-باشت-کارخانه رزمان</v>
      </c>
      <c r="D830" s="1">
        <v>13600</v>
      </c>
      <c r="E830" s="1">
        <v>896480</v>
      </c>
      <c r="F830" s="1">
        <v>96</v>
      </c>
      <c r="G830" s="1">
        <v>680</v>
      </c>
      <c r="H830" s="1" t="str">
        <f>"96/09/18"</f>
        <v>96/09/18</v>
      </c>
      <c r="I830" s="1" t="str">
        <f>"كيلوگرم"</f>
        <v>كيلوگرم</v>
      </c>
      <c r="J830" s="1" t="str">
        <f>"0000000091"</f>
        <v>0000000091</v>
      </c>
      <c r="K830" s="1" t="str">
        <f>"قير  PG64-22"</f>
        <v>قير  PG64-22</v>
      </c>
      <c r="L830" s="1">
        <v>100</v>
      </c>
      <c r="M830" s="1" t="str">
        <f>"مخازن قير اصفهان"</f>
        <v>مخازن قير اصفهان</v>
      </c>
      <c r="N830" s="1">
        <v>10527</v>
      </c>
      <c r="O830" s="1">
        <v>50037547</v>
      </c>
      <c r="P830" s="1" t="str">
        <f>"  كوه دشت پارسيان"</f>
        <v xml:space="preserve">  كوه دشت پارسيان</v>
      </c>
      <c r="Q830" s="1">
        <v>17</v>
      </c>
      <c r="R830" s="1" t="str">
        <f>"فروش داخلي تهران - وزارت راه - راه روستايي - روکش"</f>
        <v>فروش داخلي تهران - وزارت راه - راه روستايي - روکش</v>
      </c>
      <c r="S830" s="1" t="str">
        <f>"قرارداد فروش"</f>
        <v>قرارداد فروش</v>
      </c>
      <c r="T830" s="1" t="str">
        <f>"ندارد"</f>
        <v>ندارد</v>
      </c>
      <c r="U830" s="1" t="str">
        <f>"قره باغي مجيد(1871065)"</f>
        <v>قره باغي مجيد(1871065)</v>
      </c>
      <c r="V830" s="1">
        <v>961700159</v>
      </c>
      <c r="W830" s="1">
        <v>961700159</v>
      </c>
      <c r="X830" s="1" t="str">
        <f>"1396529175"</f>
        <v>1396529175</v>
      </c>
      <c r="Y830" s="1" t="str">
        <f>"96/09/18"</f>
        <v>96/09/18</v>
      </c>
      <c r="Z830" s="1" t="str">
        <f>"45385/710"</f>
        <v>45385/710</v>
      </c>
      <c r="AA830" s="1" t="str">
        <f>"راه روستائي -روكش"</f>
        <v>راه روستائي -روكش</v>
      </c>
      <c r="AB830" s="1" t="str">
        <f>"96/09/05"</f>
        <v>96/09/05</v>
      </c>
      <c r="AC830" s="1" t="str">
        <f>"كهكيلويه و بوير احمد"</f>
        <v>كهكيلويه و بوير احمد</v>
      </c>
      <c r="AD830" s="1" t="str">
        <f>"96/09/08"</f>
        <v>96/09/08</v>
      </c>
      <c r="AE830" s="1" t="str">
        <f>"اختتام"</f>
        <v>اختتام</v>
      </c>
      <c r="AF830" s="1" t="str">
        <f>""</f>
        <v/>
      </c>
      <c r="AG830" s="1" t="str">
        <f>""</f>
        <v/>
      </c>
      <c r="AH830" s="1" t="str">
        <f>""</f>
        <v/>
      </c>
      <c r="AI830" s="1" t="str">
        <f>""</f>
        <v/>
      </c>
      <c r="AJ830" s="1" t="str">
        <f>""</f>
        <v/>
      </c>
      <c r="AK830" s="1" t="str">
        <f>""</f>
        <v/>
      </c>
    </row>
    <row r="831" spans="1:37">
      <c r="A831" s="1">
        <v>278000</v>
      </c>
      <c r="B831" s="1">
        <v>961700127</v>
      </c>
      <c r="C831" s="1" t="str">
        <f>"تخليه - خراسان جنوبي-شرکت توسعه گلشن طبس"</f>
        <v>تخليه - خراسان جنوبي-شرکت توسعه گلشن طبس</v>
      </c>
      <c r="D831" s="1">
        <v>13600</v>
      </c>
      <c r="E831" s="1">
        <v>277160</v>
      </c>
      <c r="F831" s="1">
        <v>96</v>
      </c>
      <c r="G831" s="1">
        <v>840</v>
      </c>
      <c r="H831" s="1" t="str">
        <f>"96/07/17"</f>
        <v>96/07/17</v>
      </c>
      <c r="I831" s="1" t="str">
        <f>"كيلوگرم"</f>
        <v>كيلوگرم</v>
      </c>
      <c r="J831" s="1" t="str">
        <f>"0000000091"</f>
        <v>0000000091</v>
      </c>
      <c r="K831" s="1" t="str">
        <f>"قير  PG64-22"</f>
        <v>قير  PG64-22</v>
      </c>
      <c r="L831" s="1">
        <v>100</v>
      </c>
      <c r="M831" s="1" t="str">
        <f>"مخازن قير اصفهان"</f>
        <v>مخازن قير اصفهان</v>
      </c>
      <c r="N831" s="1">
        <v>4012</v>
      </c>
      <c r="O831" s="1">
        <v>50036640</v>
      </c>
      <c r="P831" s="1" t="str">
        <f>"  اداره كل راه و شهرسازي خراسان جنوبي"</f>
        <v xml:space="preserve">  اداره كل راه و شهرسازي خراسان جنوبي</v>
      </c>
      <c r="Q831" s="1">
        <v>17</v>
      </c>
      <c r="R831" s="1" t="str">
        <f>"فروش داخلي تهران - وزارت راه - راه روستايي - روکش"</f>
        <v>فروش داخلي تهران - وزارت راه - راه روستايي - روکش</v>
      </c>
      <c r="S831" s="1" t="str">
        <f>"قرارداد فروش"</f>
        <v>قرارداد فروش</v>
      </c>
      <c r="T831" s="1" t="str">
        <f>"ندارد"</f>
        <v>ندارد</v>
      </c>
      <c r="U831" s="1" t="str">
        <f>"قانعي محمدرضا(1011ج89)"</f>
        <v>قانعي محمدرضا(1011ج89)</v>
      </c>
      <c r="V831" s="1">
        <v>961700127</v>
      </c>
      <c r="W831" s="1">
        <v>961700127</v>
      </c>
      <c r="X831" s="1" t="str">
        <f>"1396517390"</f>
        <v>1396517390</v>
      </c>
      <c r="Y831" s="1" t="str">
        <f>"96/07/17"</f>
        <v>96/07/17</v>
      </c>
      <c r="Z831" s="1" t="str">
        <f>"34622/710"</f>
        <v>34622/710</v>
      </c>
      <c r="AA831" s="1" t="str">
        <f>"راه روستائي -روكش"</f>
        <v>راه روستائي -روكش</v>
      </c>
      <c r="AB831" s="1" t="str">
        <f>"96/07/15"</f>
        <v>96/07/15</v>
      </c>
      <c r="AC831" s="1" t="str">
        <f>"خراسان جنوبي"</f>
        <v>خراسان جنوبي</v>
      </c>
      <c r="AD831" s="1" t="str">
        <f>"96/07/17"</f>
        <v>96/07/17</v>
      </c>
      <c r="AE831" s="1" t="str">
        <f>"اختتام"</f>
        <v>اختتام</v>
      </c>
      <c r="AF831" s="1" t="str">
        <f>""</f>
        <v/>
      </c>
      <c r="AG831" s="1" t="str">
        <f>""</f>
        <v/>
      </c>
      <c r="AH831" s="1" t="str">
        <f>""</f>
        <v/>
      </c>
      <c r="AI831" s="1" t="str">
        <f>""</f>
        <v/>
      </c>
      <c r="AJ831" s="1" t="str">
        <f>""</f>
        <v/>
      </c>
      <c r="AK831" s="1" t="str">
        <f>""</f>
        <v/>
      </c>
    </row>
    <row r="832" spans="1:37">
      <c r="A832" s="1">
        <v>336780</v>
      </c>
      <c r="B832" s="1">
        <v>961400013</v>
      </c>
      <c r="C832" s="1" t="str">
        <f>"تخليه -خراسان جنوبي -بيرجند-كارخانه آسفالت شماره 2"</f>
        <v>تخليه -خراسان جنوبي -بيرجند-كارخانه آسفالت شماره 2</v>
      </c>
      <c r="D832" s="1">
        <v>8854</v>
      </c>
      <c r="E832" s="1">
        <v>332900</v>
      </c>
      <c r="F832" s="1">
        <v>96</v>
      </c>
      <c r="G832" s="1">
        <v>3880</v>
      </c>
      <c r="H832" s="1" t="str">
        <f>"96/03/24"</f>
        <v>96/03/24</v>
      </c>
      <c r="I832" s="1" t="str">
        <f>"كيلوگرم"</f>
        <v>كيلوگرم</v>
      </c>
      <c r="J832" s="1" t="str">
        <f>"0000000091"</f>
        <v>0000000091</v>
      </c>
      <c r="K832" s="1" t="str">
        <f>"قير  PG64-22"</f>
        <v>قير  PG64-22</v>
      </c>
      <c r="L832" s="1">
        <v>100</v>
      </c>
      <c r="M832" s="1" t="str">
        <f>"مخازن قير اصفهان"</f>
        <v>مخازن قير اصفهان</v>
      </c>
      <c r="N832" s="1">
        <v>4012</v>
      </c>
      <c r="O832" s="1">
        <v>50035011</v>
      </c>
      <c r="P832" s="1" t="str">
        <f>"  اداره كل راه و شهرسازي خراسان جنوبي"</f>
        <v xml:space="preserve">  اداره كل راه و شهرسازي خراسان جنوبي</v>
      </c>
      <c r="Q832" s="1">
        <v>14</v>
      </c>
      <c r="R832" s="1" t="str">
        <f>"فروش داخلي - وزارت راه - حوزه راه روستايي ساخت"</f>
        <v>فروش داخلي - وزارت راه - حوزه راه روستايي ساخت</v>
      </c>
      <c r="S832" s="1" t="str">
        <f>"قرارداد فروش"</f>
        <v>قرارداد فروش</v>
      </c>
      <c r="T832" s="1" t="str">
        <f>"ندارد"</f>
        <v>ندارد</v>
      </c>
      <c r="U832" s="1" t="str">
        <f>"شيخي خيراله (1841012)"</f>
        <v>شيخي خيراله (1841012)</v>
      </c>
      <c r="V832" s="1">
        <v>961400013</v>
      </c>
      <c r="W832" s="1">
        <v>961400013</v>
      </c>
      <c r="X832" s="1" t="str">
        <f>"1395456363"</f>
        <v>1395456363</v>
      </c>
      <c r="Y832" s="1" t="str">
        <f>"96/03/24"</f>
        <v>96/03/24</v>
      </c>
      <c r="Z832" s="1" t="str">
        <f>"49485/710"</f>
        <v>49485/710</v>
      </c>
      <c r="AA832" s="1" t="str">
        <f>"راه وروستايي -ساخت"</f>
        <v>راه وروستايي -ساخت</v>
      </c>
      <c r="AB832" s="1" t="str">
        <f>"95/10/08"</f>
        <v>95/10/08</v>
      </c>
      <c r="AC832" s="1" t="str">
        <f>"خراسان جنوبي"</f>
        <v>خراسان جنوبي</v>
      </c>
      <c r="AD832" s="1" t="str">
        <f>"95/10/13"</f>
        <v>95/10/13</v>
      </c>
      <c r="AE832" s="1" t="str">
        <f>"اختتام"</f>
        <v>اختتام</v>
      </c>
      <c r="AF832" s="1" t="str">
        <f>""</f>
        <v/>
      </c>
      <c r="AG832" s="1" t="str">
        <f>""</f>
        <v/>
      </c>
      <c r="AH832" s="1" t="str">
        <f>""</f>
        <v/>
      </c>
      <c r="AI832" s="1" t="str">
        <f>""</f>
        <v/>
      </c>
      <c r="AJ832" s="1" t="str">
        <f>""</f>
        <v/>
      </c>
      <c r="AK832" s="1" t="str">
        <f>""</f>
        <v/>
      </c>
    </row>
    <row r="833" spans="1:37">
      <c r="A833" s="1">
        <v>170000</v>
      </c>
      <c r="B833" s="1">
        <v>961700179</v>
      </c>
      <c r="C833" s="1" t="str">
        <f>"تخليه - کرمان-شرکت سيرجان بتن راه"</f>
        <v>تخليه - کرمان-شرکت سيرجان بتن راه</v>
      </c>
      <c r="D833" s="1">
        <v>15810</v>
      </c>
      <c r="E833" s="1">
        <v>167020</v>
      </c>
      <c r="F833" s="1">
        <v>96</v>
      </c>
      <c r="G833" s="1">
        <v>2980</v>
      </c>
      <c r="H833" s="1" t="str">
        <f>"96/12/20"</f>
        <v>96/12/20</v>
      </c>
      <c r="I833" s="1" t="str">
        <f>"كيلوگرم"</f>
        <v>كيلوگرم</v>
      </c>
      <c r="J833" s="1" t="str">
        <f>"0000000091"</f>
        <v>0000000091</v>
      </c>
      <c r="K833" s="1" t="str">
        <f>"قير  PG64-22"</f>
        <v>قير  PG64-22</v>
      </c>
      <c r="L833" s="1">
        <v>100</v>
      </c>
      <c r="M833" s="1" t="str">
        <f>"مخازن قير اصفهان"</f>
        <v>مخازن قير اصفهان</v>
      </c>
      <c r="N833" s="1">
        <v>7034</v>
      </c>
      <c r="O833" s="1">
        <v>50038890</v>
      </c>
      <c r="P833" s="1" t="str">
        <f>"  اداره كل راه وشهرسازي كرمان"</f>
        <v xml:space="preserve">  اداره كل راه وشهرسازي كرمان</v>
      </c>
      <c r="Q833" s="1">
        <v>17</v>
      </c>
      <c r="R833" s="1" t="str">
        <f>"فروش داخلي تهران - وزارت راه - راه روستايي - روکش"</f>
        <v>فروش داخلي تهران - وزارت راه - راه روستايي - روکش</v>
      </c>
      <c r="S833" s="1" t="str">
        <f>"قرارداد فروش"</f>
        <v>قرارداد فروش</v>
      </c>
      <c r="T833" s="1" t="str">
        <f>"ندارد"</f>
        <v>ندارد</v>
      </c>
      <c r="U833" s="1" t="str">
        <f>"حاصليان ترابرجنوب مرتضي حاصلي (4844006)"</f>
        <v>حاصليان ترابرجنوب مرتضي حاصلي (4844006)</v>
      </c>
      <c r="V833" s="1">
        <v>961700179</v>
      </c>
      <c r="W833" s="1">
        <v>961700179</v>
      </c>
      <c r="X833" s="1" t="str">
        <f>"1396553916"</f>
        <v>1396553916</v>
      </c>
      <c r="Y833" s="1" t="str">
        <f>"96/12/20"</f>
        <v>96/12/20</v>
      </c>
      <c r="Z833" s="1" t="str">
        <f>"52793/710"</f>
        <v>52793/710</v>
      </c>
      <c r="AA833" s="1" t="str">
        <f>"راه روستائي -روكش"</f>
        <v>راه روستائي -روكش</v>
      </c>
      <c r="AB833" s="1" t="str">
        <f>"96/10/12"</f>
        <v>96/10/12</v>
      </c>
      <c r="AC833" s="1" t="str">
        <f>"استان كرمان"</f>
        <v>استان كرمان</v>
      </c>
      <c r="AD833" s="1" t="str">
        <f>"96/12/20"</f>
        <v>96/12/20</v>
      </c>
      <c r="AE833" s="1" t="str">
        <f>"اختتام"</f>
        <v>اختتام</v>
      </c>
      <c r="AF833" s="1" t="str">
        <f>""</f>
        <v/>
      </c>
      <c r="AG833" s="1" t="str">
        <f>""</f>
        <v/>
      </c>
      <c r="AH833" s="1" t="str">
        <f>""</f>
        <v/>
      </c>
      <c r="AI833" s="1" t="str">
        <f>""</f>
        <v/>
      </c>
      <c r="AJ833" s="1" t="str">
        <f>""</f>
        <v/>
      </c>
      <c r="AK833" s="1" t="str">
        <f>""</f>
        <v/>
      </c>
    </row>
    <row r="834" spans="1:37">
      <c r="A834" s="1">
        <v>95000</v>
      </c>
      <c r="B834" s="1">
        <v>961700180</v>
      </c>
      <c r="C834" s="1" t="str">
        <f>"تخليه- کيلومتر 5محور رابر-جيرفت کارخانه شهرداري رابر"</f>
        <v>تخليه- کيلومتر 5محور رابر-جيرفت کارخانه شهرداري رابر</v>
      </c>
      <c r="D834" s="1">
        <v>15810</v>
      </c>
      <c r="E834" s="1">
        <v>95000</v>
      </c>
      <c r="F834" s="1">
        <v>96</v>
      </c>
      <c r="G834" s="1">
        <v>0</v>
      </c>
      <c r="H834" s="1" t="str">
        <f>"96/12/20"</f>
        <v>96/12/20</v>
      </c>
      <c r="I834" s="1" t="str">
        <f>"كيلوگرم"</f>
        <v>كيلوگرم</v>
      </c>
      <c r="J834" s="1" t="str">
        <f>"0000000091"</f>
        <v>0000000091</v>
      </c>
      <c r="K834" s="1" t="str">
        <f>"قير  PG64-22"</f>
        <v>قير  PG64-22</v>
      </c>
      <c r="L834" s="1">
        <v>100</v>
      </c>
      <c r="M834" s="1" t="str">
        <f>"مخازن قير اصفهان"</f>
        <v>مخازن قير اصفهان</v>
      </c>
      <c r="N834" s="1">
        <v>7034</v>
      </c>
      <c r="O834" s="1">
        <v>50038891</v>
      </c>
      <c r="P834" s="1" t="str">
        <f>"  اداره كل راه وشهرسازي كرمان"</f>
        <v xml:space="preserve">  اداره كل راه وشهرسازي كرمان</v>
      </c>
      <c r="Q834" s="1">
        <v>17</v>
      </c>
      <c r="R834" s="1" t="str">
        <f>"فروش داخلي تهران - وزارت راه - راه روستايي - روکش"</f>
        <v>فروش داخلي تهران - وزارت راه - راه روستايي - روکش</v>
      </c>
      <c r="S834" s="1" t="str">
        <f>"قرارداد فروش"</f>
        <v>قرارداد فروش</v>
      </c>
      <c r="T834" s="1" t="str">
        <f>"ندارد"</f>
        <v>ندارد</v>
      </c>
      <c r="U834" s="1" t="str">
        <f>"پورباقري حسين(4844001)"</f>
        <v>پورباقري حسين(4844001)</v>
      </c>
      <c r="V834" s="1">
        <v>961700180</v>
      </c>
      <c r="W834" s="1">
        <v>961700180</v>
      </c>
      <c r="X834" s="1" t="str">
        <f>"1396553916"</f>
        <v>1396553916</v>
      </c>
      <c r="Y834" s="1" t="str">
        <f>"96/12/20"</f>
        <v>96/12/20</v>
      </c>
      <c r="Z834" s="1" t="str">
        <f>"52794/710"</f>
        <v>52794/710</v>
      </c>
      <c r="AA834" s="1" t="str">
        <f>"راه روستائي -روكش"</f>
        <v>راه روستائي -روكش</v>
      </c>
      <c r="AB834" s="1" t="str">
        <f>"96/10/12"</f>
        <v>96/10/12</v>
      </c>
      <c r="AC834" s="1" t="str">
        <f>"استان كرمان"</f>
        <v>استان كرمان</v>
      </c>
      <c r="AD834" s="1" t="str">
        <f>"96/12/20"</f>
        <v>96/12/20</v>
      </c>
      <c r="AE834" s="1" t="str">
        <f>"اختتام"</f>
        <v>اختتام</v>
      </c>
      <c r="AF834" s="1" t="str">
        <f>""</f>
        <v/>
      </c>
      <c r="AG834" s="1" t="str">
        <f>""</f>
        <v/>
      </c>
      <c r="AH834" s="1" t="str">
        <f>""</f>
        <v/>
      </c>
      <c r="AI834" s="1" t="str">
        <f>""</f>
        <v/>
      </c>
      <c r="AJ834" s="1" t="str">
        <f>""</f>
        <v/>
      </c>
      <c r="AK834" s="1" t="str">
        <f>""</f>
        <v/>
      </c>
    </row>
    <row r="835" spans="1:37">
      <c r="A835" s="1">
        <v>500000</v>
      </c>
      <c r="B835" s="1">
        <v>961600026</v>
      </c>
      <c r="C835" s="1" t="str">
        <f>"تخليه -يزد-بافق كارخانه آسفالت سازمان همياري شهرداريهاي يزد"</f>
        <v>تخليه -يزد-بافق كارخانه آسفالت سازمان همياري شهرداريهاي يزد</v>
      </c>
      <c r="D835" s="1">
        <v>13100</v>
      </c>
      <c r="E835" s="1">
        <v>498600</v>
      </c>
      <c r="F835" s="1">
        <v>96</v>
      </c>
      <c r="G835" s="1">
        <v>1400</v>
      </c>
      <c r="H835" s="1" t="str">
        <f>"96/12/21"</f>
        <v>96/12/21</v>
      </c>
      <c r="I835" s="1" t="str">
        <f>"كيلوگرم"</f>
        <v>كيلوگرم</v>
      </c>
      <c r="J835" s="1" t="str">
        <f>"0000000091"</f>
        <v>0000000091</v>
      </c>
      <c r="K835" s="1" t="str">
        <f>"قير  PG64-22"</f>
        <v>قير  PG64-22</v>
      </c>
      <c r="L835" s="1">
        <v>100</v>
      </c>
      <c r="M835" s="1" t="str">
        <f>"مخازن قير اصفهان"</f>
        <v>مخازن قير اصفهان</v>
      </c>
      <c r="N835" s="1">
        <v>7035</v>
      </c>
      <c r="O835" s="1">
        <v>50038897</v>
      </c>
      <c r="P835" s="1" t="str">
        <f>"  سازمان همياري شهرداريهاي يزد"</f>
        <v xml:space="preserve">  سازمان همياري شهرداريهاي يزد</v>
      </c>
      <c r="Q835" s="1">
        <v>16</v>
      </c>
      <c r="R835" s="1" t="str">
        <f>"فروش داخلي تهران - وزارت راه - معاونت اقتصاد"</f>
        <v>فروش داخلي تهران - وزارت راه - معاونت اقتصاد</v>
      </c>
      <c r="S835" s="1" t="str">
        <f>"قرارداد فروش"</f>
        <v>قرارداد فروش</v>
      </c>
      <c r="T835" s="1" t="str">
        <f>"ندارد"</f>
        <v>ندارد</v>
      </c>
      <c r="U835" s="1" t="str">
        <f>"شيخي خيراله (1841012)"</f>
        <v>شيخي خيراله (1841012)</v>
      </c>
      <c r="V835" s="1">
        <v>961600026</v>
      </c>
      <c r="W835" s="1">
        <v>961600026</v>
      </c>
      <c r="X835" s="1" t="str">
        <f>"1396553918"</f>
        <v>1396553918</v>
      </c>
      <c r="Y835" s="1" t="str">
        <f>"96/12/21"</f>
        <v>96/12/21</v>
      </c>
      <c r="Z835" s="1" t="str">
        <f>"50591/710"</f>
        <v>50591/710</v>
      </c>
      <c r="AA835" s="1" t="str">
        <f>"معاونت اقتصادوزارت راه وشهرسازي"</f>
        <v>معاونت اقتصادوزارت راه وشهرسازي</v>
      </c>
      <c r="AB835" s="1" t="str">
        <f>"96/10/02"</f>
        <v>96/10/02</v>
      </c>
      <c r="AC835" s="1" t="str">
        <f>"استان يزد"</f>
        <v>استان يزد</v>
      </c>
      <c r="AD835" s="1" t="str">
        <f>"96/12/20"</f>
        <v>96/12/20</v>
      </c>
      <c r="AE835" s="1" t="str">
        <f>"اختتام"</f>
        <v>اختتام</v>
      </c>
      <c r="AF835" s="1" t="str">
        <f>""</f>
        <v/>
      </c>
      <c r="AG835" s="1" t="str">
        <f>""</f>
        <v/>
      </c>
      <c r="AH835" s="1" t="str">
        <f>""</f>
        <v/>
      </c>
      <c r="AI835" s="1" t="str">
        <f>""</f>
        <v/>
      </c>
      <c r="AJ835" s="1" t="str">
        <f>""</f>
        <v/>
      </c>
      <c r="AK835" s="1" t="str">
        <f>""</f>
        <v/>
      </c>
    </row>
    <row r="836" spans="1:37">
      <c r="A836" s="1">
        <v>1000000</v>
      </c>
      <c r="B836" s="1">
        <v>961900093</v>
      </c>
      <c r="C836" s="1" t="str">
        <f>"تخليه -مشهد-كارخانه آسفالت پروژه آزادراه مشهد-باغچه"</f>
        <v>تخليه -مشهد-كارخانه آسفالت پروژه آزادراه مشهد-باغچه</v>
      </c>
      <c r="D836" s="1">
        <v>12970</v>
      </c>
      <c r="E836" s="1">
        <v>998540</v>
      </c>
      <c r="F836" s="1">
        <v>96</v>
      </c>
      <c r="G836" s="1">
        <v>1460</v>
      </c>
      <c r="H836" s="1" t="str">
        <f>"96/05/10"</f>
        <v>96/05/10</v>
      </c>
      <c r="I836" s="1" t="str">
        <f>"كيلوگرم"</f>
        <v>كيلوگرم</v>
      </c>
      <c r="J836" s="1" t="str">
        <f>"0000000091"</f>
        <v>0000000091</v>
      </c>
      <c r="K836" s="1" t="str">
        <f>"قير  PG64-22"</f>
        <v>قير  PG64-22</v>
      </c>
      <c r="L836" s="1">
        <v>100</v>
      </c>
      <c r="M836" s="1" t="str">
        <f>"مخازن قير اصفهان"</f>
        <v>مخازن قير اصفهان</v>
      </c>
      <c r="N836" s="1">
        <v>7091</v>
      </c>
      <c r="O836" s="1">
        <v>50035440</v>
      </c>
      <c r="P836" s="1" t="str">
        <f>"  مسكن وعمران قدس رضوي"</f>
        <v xml:space="preserve">  مسكن وعمران قدس رضوي</v>
      </c>
      <c r="Q836" s="1">
        <v>19</v>
      </c>
      <c r="R83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836" s="1" t="str">
        <f>"قرارداد فروش"</f>
        <v>قرارداد فروش</v>
      </c>
      <c r="T836" s="1" t="str">
        <f>"ندارد"</f>
        <v>ندارد</v>
      </c>
      <c r="U836" s="1" t="str">
        <f>"عابدي محمود(1018ج89)"</f>
        <v>عابدي محمود(1018ج89)</v>
      </c>
      <c r="V836" s="1">
        <v>961900093</v>
      </c>
      <c r="W836" s="1">
        <v>961900093</v>
      </c>
      <c r="X836" s="1" t="str">
        <f>"1396501689"</f>
        <v>1396501689</v>
      </c>
      <c r="Y836" s="1" t="str">
        <f>"96/05/10"</f>
        <v>96/05/10</v>
      </c>
      <c r="Z836" s="1" t="str">
        <f>"21911/710"</f>
        <v>21911/710</v>
      </c>
      <c r="AA836" s="1" t="str">
        <f>"سازمان راهداري وحمل نقل جاده اي"</f>
        <v>سازمان راهداري وحمل نقل جاده اي</v>
      </c>
      <c r="AB836" s="1" t="str">
        <f>"96/05/08"</f>
        <v>96/05/08</v>
      </c>
      <c r="AC836" s="1" t="str">
        <f>"خراسان رضوي"</f>
        <v>خراسان رضوي</v>
      </c>
      <c r="AD836" s="1" t="str">
        <f>"96/05/10"</f>
        <v>96/05/10</v>
      </c>
      <c r="AE836" s="1" t="str">
        <f>"اختتام"</f>
        <v>اختتام</v>
      </c>
      <c r="AF836" s="1" t="str">
        <f>""</f>
        <v/>
      </c>
      <c r="AG836" s="1" t="str">
        <f>""</f>
        <v/>
      </c>
      <c r="AH836" s="1" t="str">
        <f>""</f>
        <v/>
      </c>
      <c r="AI836" s="1" t="str">
        <f>""</f>
        <v/>
      </c>
      <c r="AJ836" s="1" t="str">
        <f>""</f>
        <v/>
      </c>
      <c r="AK836" s="1" t="str">
        <f>""</f>
        <v/>
      </c>
    </row>
    <row r="837" spans="1:37">
      <c r="A837" s="1">
        <v>500000</v>
      </c>
      <c r="B837" s="1">
        <v>961900134</v>
      </c>
      <c r="C837" s="1" t="str">
        <f>"تخليه-اصفهان-کيلومتر 35 جاده ميمه به دليجان-دوراهي کاشان گلپايگان-کارخانه آسفالت ساخت راه سپاهان"</f>
        <v>تخليه-اصفهان-کيلومتر 35 جاده ميمه به دليجان-دوراهي کاشان گلپايگان-کارخانه آسفالت ساخت راه سپاهان</v>
      </c>
      <c r="D837" s="1">
        <v>9363</v>
      </c>
      <c r="E837" s="1">
        <v>498920</v>
      </c>
      <c r="F837" s="1">
        <v>96</v>
      </c>
      <c r="G837" s="1">
        <v>1080</v>
      </c>
      <c r="H837" s="1" t="str">
        <f>"96/06/05"</f>
        <v>96/06/05</v>
      </c>
      <c r="I837" s="1" t="str">
        <f>"كيلوگرم"</f>
        <v>كيلوگرم</v>
      </c>
      <c r="J837" s="1" t="str">
        <f>"0000000091"</f>
        <v>0000000091</v>
      </c>
      <c r="K837" s="1" t="str">
        <f>"قير  PG64-22"</f>
        <v>قير  PG64-22</v>
      </c>
      <c r="L837" s="1">
        <v>100</v>
      </c>
      <c r="M837" s="1" t="str">
        <f>"مخازن قير اصفهان"</f>
        <v>مخازن قير اصفهان</v>
      </c>
      <c r="N837" s="1">
        <v>7311</v>
      </c>
      <c r="O837" s="1">
        <v>50035810</v>
      </c>
      <c r="P837" s="1" t="str">
        <f>"  ساخت راه سپاهان"</f>
        <v xml:space="preserve">  ساخت راه سپاهان</v>
      </c>
      <c r="Q837" s="1">
        <v>19</v>
      </c>
      <c r="R83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837" s="1" t="str">
        <f>"قرارداد فروش"</f>
        <v>قرارداد فروش</v>
      </c>
      <c r="T837" s="1" t="str">
        <f>"ندارد"</f>
        <v>ندارد</v>
      </c>
      <c r="U837" s="1" t="str">
        <f>"شهبازي محمدرضا(1029ج89)"</f>
        <v>شهبازي محمدرضا(1029ج89)</v>
      </c>
      <c r="V837" s="1">
        <v>961900134</v>
      </c>
      <c r="W837" s="1">
        <v>961900134</v>
      </c>
      <c r="X837" s="1" t="str">
        <f>"1396508162"</f>
        <v>1396508162</v>
      </c>
      <c r="Y837" s="1" t="str">
        <f>"96/06/05"</f>
        <v>96/06/05</v>
      </c>
      <c r="Z837" s="1" t="str">
        <f>"17679/710"</f>
        <v>17679/710</v>
      </c>
      <c r="AA837" s="1" t="str">
        <f>"سازمان راهداري وحمل نقل جاده اي"</f>
        <v>سازمان راهداري وحمل نقل جاده اي</v>
      </c>
      <c r="AB837" s="1" t="str">
        <f>"96/04/20"</f>
        <v>96/04/20</v>
      </c>
      <c r="AC837" s="1" t="str">
        <f>"استان اصفهان"</f>
        <v>استان اصفهان</v>
      </c>
      <c r="AD837" s="1" t="str">
        <f>"96/06/05"</f>
        <v>96/06/05</v>
      </c>
      <c r="AE837" s="1" t="str">
        <f>"اختتام"</f>
        <v>اختتام</v>
      </c>
      <c r="AF837" s="1" t="str">
        <f>""</f>
        <v/>
      </c>
      <c r="AG837" s="1" t="str">
        <f>""</f>
        <v/>
      </c>
      <c r="AH837" s="1" t="str">
        <f>""</f>
        <v/>
      </c>
      <c r="AI837" s="1" t="str">
        <f>""</f>
        <v/>
      </c>
      <c r="AJ837" s="1" t="str">
        <f>""</f>
        <v/>
      </c>
      <c r="AK837" s="1" t="str">
        <f>""</f>
        <v/>
      </c>
    </row>
    <row r="838" spans="1:37">
      <c r="A838" s="1">
        <v>102000</v>
      </c>
      <c r="B838" s="1">
        <v>961700151</v>
      </c>
      <c r="C838" s="1" t="str">
        <f>"تخليه - خراسان جنوبي - کارخانه آسفلت دليلي"</f>
        <v>تخليه - خراسان جنوبي - کارخانه آسفلت دليلي</v>
      </c>
      <c r="D838" s="1">
        <v>13600</v>
      </c>
      <c r="E838" s="1">
        <v>100900</v>
      </c>
      <c r="F838" s="1">
        <v>96</v>
      </c>
      <c r="G838" s="1">
        <v>1100</v>
      </c>
      <c r="H838" s="1" t="str">
        <f>"96/08/06"</f>
        <v>96/08/06</v>
      </c>
      <c r="I838" s="1" t="str">
        <f>"كيلوگرم"</f>
        <v>كيلوگرم</v>
      </c>
      <c r="J838" s="1" t="str">
        <f>"0000000091"</f>
        <v>0000000091</v>
      </c>
      <c r="K838" s="1" t="str">
        <f>"قير  PG64-22"</f>
        <v>قير  PG64-22</v>
      </c>
      <c r="L838" s="1">
        <v>100</v>
      </c>
      <c r="M838" s="1" t="str">
        <f>"مخازن قير اصفهان"</f>
        <v>مخازن قير اصفهان</v>
      </c>
      <c r="N838" s="1">
        <v>4012</v>
      </c>
      <c r="O838" s="1">
        <v>50036930</v>
      </c>
      <c r="P838" s="1" t="str">
        <f>"  اداره كل راه و شهرسازي خراسان جنوبي"</f>
        <v xml:space="preserve">  اداره كل راه و شهرسازي خراسان جنوبي</v>
      </c>
      <c r="Q838" s="1">
        <v>17</v>
      </c>
      <c r="R838" s="1" t="str">
        <f>"فروش داخلي تهران - وزارت راه - راه روستايي - روکش"</f>
        <v>فروش داخلي تهران - وزارت راه - راه روستايي - روکش</v>
      </c>
      <c r="S838" s="1" t="str">
        <f>"قرارداد فروش"</f>
        <v>قرارداد فروش</v>
      </c>
      <c r="T838" s="1" t="str">
        <f>"ندارد"</f>
        <v>ندارد</v>
      </c>
      <c r="U838" s="1" t="str">
        <f>"بابامحمدي عنايت اله(4844000)"</f>
        <v>بابامحمدي عنايت اله(4844000)</v>
      </c>
      <c r="V838" s="1">
        <v>961700151</v>
      </c>
      <c r="W838" s="1">
        <v>961700151</v>
      </c>
      <c r="X838" s="1" t="str">
        <f>"1396521772"</f>
        <v>1396521772</v>
      </c>
      <c r="Y838" s="1" t="str">
        <f>"96/08/06"</f>
        <v>96/08/06</v>
      </c>
      <c r="Z838" s="1" t="str">
        <f>"38229/710"</f>
        <v>38229/710</v>
      </c>
      <c r="AA838" s="1" t="str">
        <f>"راه روستائي -روكش"</f>
        <v>راه روستائي -روكش</v>
      </c>
      <c r="AB838" s="1" t="str">
        <f>"96/08/01"</f>
        <v>96/08/01</v>
      </c>
      <c r="AC838" s="1" t="str">
        <f>"خراسان جنوبي"</f>
        <v>خراسان جنوبي</v>
      </c>
      <c r="AD838" s="1" t="str">
        <f>"96/08/06"</f>
        <v>96/08/06</v>
      </c>
      <c r="AE838" s="1" t="str">
        <f>"اختتام"</f>
        <v>اختتام</v>
      </c>
      <c r="AF838" s="1" t="str">
        <f>""</f>
        <v/>
      </c>
      <c r="AG838" s="1" t="str">
        <f>""</f>
        <v/>
      </c>
      <c r="AH838" s="1" t="str">
        <f>""</f>
        <v/>
      </c>
      <c r="AI838" s="1" t="str">
        <f>""</f>
        <v/>
      </c>
      <c r="AJ838" s="1" t="str">
        <f>""</f>
        <v/>
      </c>
      <c r="AK838" s="1" t="str">
        <f>""</f>
        <v/>
      </c>
    </row>
    <row r="839" spans="1:37">
      <c r="A839" s="1">
        <v>46000</v>
      </c>
      <c r="B839" s="1">
        <v>961700175</v>
      </c>
      <c r="C839" s="1" t="str">
        <f>"تخليه - خراسان جنوبي- اسديه-کارخانه شهرداري اسديه"</f>
        <v>تخليه - خراسان جنوبي- اسديه-کارخانه شهرداري اسديه</v>
      </c>
      <c r="D839" s="1">
        <v>13600</v>
      </c>
      <c r="E839" s="1">
        <v>45240</v>
      </c>
      <c r="F839" s="1">
        <v>96</v>
      </c>
      <c r="G839" s="1">
        <v>760</v>
      </c>
      <c r="H839" s="1" t="str">
        <f>"96/12/16"</f>
        <v>96/12/16</v>
      </c>
      <c r="I839" s="1" t="str">
        <f>"كيلوگرم"</f>
        <v>كيلوگرم</v>
      </c>
      <c r="J839" s="1" t="str">
        <f>"0000000091"</f>
        <v>0000000091</v>
      </c>
      <c r="K839" s="1" t="str">
        <f>"قير  PG64-22"</f>
        <v>قير  PG64-22</v>
      </c>
      <c r="L839" s="1">
        <v>100</v>
      </c>
      <c r="M839" s="1" t="str">
        <f>"مخازن قير اصفهان"</f>
        <v>مخازن قير اصفهان</v>
      </c>
      <c r="N839" s="1">
        <v>4012</v>
      </c>
      <c r="O839" s="1">
        <v>50038814</v>
      </c>
      <c r="P839" s="1" t="str">
        <f>"  اداره كل راه و شهرسازي خراسان جنوبي"</f>
        <v xml:space="preserve">  اداره كل راه و شهرسازي خراسان جنوبي</v>
      </c>
      <c r="Q839" s="1">
        <v>17</v>
      </c>
      <c r="R839" s="1" t="str">
        <f>"فروش داخلي تهران - وزارت راه - راه روستايي - روکش"</f>
        <v>فروش داخلي تهران - وزارت راه - راه روستايي - روکش</v>
      </c>
      <c r="S839" s="1" t="str">
        <f>"قرارداد فروش"</f>
        <v>قرارداد فروش</v>
      </c>
      <c r="T839" s="1" t="str">
        <f>"ندارد"</f>
        <v>ندارد</v>
      </c>
      <c r="U839" s="1" t="str">
        <f>"عزيزي صفر(1006ج 89)"</f>
        <v>عزيزي صفر(1006ج 89)</v>
      </c>
      <c r="V839" s="1">
        <v>961700175</v>
      </c>
      <c r="W839" s="1">
        <v>961700175</v>
      </c>
      <c r="X839" s="1" t="str">
        <f>"1396553448"</f>
        <v>1396553448</v>
      </c>
      <c r="Y839" s="1" t="str">
        <f>"96/12/16"</f>
        <v>96/12/16</v>
      </c>
      <c r="Z839" s="1" t="str">
        <f>"295713/710"</f>
        <v>295713/710</v>
      </c>
      <c r="AA839" s="1" t="str">
        <f>"راه روستائي -روكش"</f>
        <v>راه روستائي -روكش</v>
      </c>
      <c r="AB839" s="1" t="str">
        <f>"96/12/14"</f>
        <v>96/12/14</v>
      </c>
      <c r="AC839" s="1" t="str">
        <f>"خراسان جنوبي"</f>
        <v>خراسان جنوبي</v>
      </c>
      <c r="AD839" s="1" t="str">
        <f>"96/12/16"</f>
        <v>96/12/16</v>
      </c>
      <c r="AE839" s="1" t="str">
        <f>"اختتام"</f>
        <v>اختتام</v>
      </c>
      <c r="AF839" s="1" t="str">
        <f>""</f>
        <v/>
      </c>
      <c r="AG839" s="1" t="str">
        <f>""</f>
        <v/>
      </c>
      <c r="AH839" s="1" t="str">
        <f>""</f>
        <v/>
      </c>
      <c r="AI839" s="1" t="str">
        <f>""</f>
        <v/>
      </c>
      <c r="AJ839" s="1" t="str">
        <f>""</f>
        <v/>
      </c>
      <c r="AK839" s="1" t="str">
        <f>""</f>
        <v/>
      </c>
    </row>
    <row r="840" spans="1:37">
      <c r="A840" s="1">
        <v>104749</v>
      </c>
      <c r="B840" s="1">
        <v>962000061</v>
      </c>
      <c r="C840" s="1" t="str">
        <f>"تخليه -اصفهان -شهرستان خوروبيابانك -کارخانه آسفالت رحيمي"</f>
        <v>تخليه -اصفهان -شهرستان خوروبيابانك -کارخانه آسفالت رحيمي</v>
      </c>
      <c r="D840" s="1">
        <v>9113</v>
      </c>
      <c r="E840" s="1">
        <v>104749</v>
      </c>
      <c r="F840" s="1">
        <v>96</v>
      </c>
      <c r="G840" s="1">
        <v>0</v>
      </c>
      <c r="H840" s="1" t="str">
        <f>"96/07/03"</f>
        <v>96/07/03</v>
      </c>
      <c r="I840" s="1" t="str">
        <f>"كيلوگرم"</f>
        <v>كيلوگرم</v>
      </c>
      <c r="J840" s="1" t="str">
        <f>"0000000076"</f>
        <v>0000000076</v>
      </c>
      <c r="K840" s="1" t="str">
        <f>"قير 60/70 - فله"</f>
        <v>قير 60/70 - فله</v>
      </c>
      <c r="L840" s="1">
        <v>100</v>
      </c>
      <c r="M840" s="1" t="str">
        <f>"مخازن قير اصفهان"</f>
        <v>مخازن قير اصفهان</v>
      </c>
      <c r="N840" s="1">
        <v>10122</v>
      </c>
      <c r="O840" s="1">
        <v>50036209</v>
      </c>
      <c r="P840" s="1" t="str">
        <f>"  شهرداري فرخي"</f>
        <v xml:space="preserve">  شهرداري فرخي</v>
      </c>
      <c r="Q840" s="1">
        <v>20</v>
      </c>
      <c r="R840" s="1" t="str">
        <f>"فروش داخلي - سازمان شهرداري ها و دهياري هاي كشور"</f>
        <v>فروش داخلي - سازمان شهرداري ها و دهياري هاي كشور</v>
      </c>
      <c r="S840" s="1" t="str">
        <f>"قرارداد فروش"</f>
        <v>قرارداد فروش</v>
      </c>
      <c r="T840" s="1" t="str">
        <f>"ندارد"</f>
        <v>ندارد</v>
      </c>
      <c r="U840" s="1" t="str">
        <f>"تعاوني جم گستر (1001 ج 89)"</f>
        <v>تعاوني جم گستر (1001 ج 89)</v>
      </c>
      <c r="V840" s="1">
        <v>962000061</v>
      </c>
      <c r="W840" s="1">
        <v>962000061</v>
      </c>
      <c r="X840" s="1" t="str">
        <f>"1396514467"</f>
        <v>1396514467</v>
      </c>
      <c r="Y840" s="1" t="str">
        <f>"96/07/03"</f>
        <v>96/07/03</v>
      </c>
      <c r="Z840" s="1" t="str">
        <f>"26706مرحله اول"</f>
        <v>26706مرحله اول</v>
      </c>
      <c r="AA840" s="1" t="str">
        <f>"شهرداريها"</f>
        <v>شهرداريها</v>
      </c>
      <c r="AB840" s="1" t="str">
        <f>"96/06/29"</f>
        <v>96/06/29</v>
      </c>
      <c r="AC840" s="1" t="str">
        <f>"استان اصفهان"</f>
        <v>استان اصفهان</v>
      </c>
      <c r="AD840" s="1" t="str">
        <f>"96/07/03"</f>
        <v>96/07/03</v>
      </c>
      <c r="AE840" s="1" t="str">
        <f>"اختتام"</f>
        <v>اختتام</v>
      </c>
      <c r="AF840" s="1" t="str">
        <f>""</f>
        <v/>
      </c>
      <c r="AG840" s="1" t="str">
        <f>""</f>
        <v/>
      </c>
      <c r="AH840" s="1" t="str">
        <f>""</f>
        <v/>
      </c>
      <c r="AI840" s="1" t="str">
        <f>""</f>
        <v/>
      </c>
      <c r="AJ840" s="1" t="str">
        <f>""</f>
        <v/>
      </c>
      <c r="AK840" s="1" t="str">
        <f>""</f>
        <v/>
      </c>
    </row>
    <row r="841" spans="1:37">
      <c r="A841" s="1">
        <v>170000</v>
      </c>
      <c r="B841" s="1">
        <v>961900156</v>
      </c>
      <c r="C841" s="1" t="str">
        <f>"تخليه-لرستان-الشتر-کيلومتر6جاده خرگوش ناب-دانه بندي سلسله"</f>
        <v>تخليه-لرستان-الشتر-کيلومتر6جاده خرگوش ناب-دانه بندي سلسله</v>
      </c>
      <c r="D841" s="1">
        <v>12970</v>
      </c>
      <c r="E841" s="1">
        <v>169460</v>
      </c>
      <c r="F841" s="1">
        <v>96</v>
      </c>
      <c r="G841" s="1">
        <v>540</v>
      </c>
      <c r="H841" s="1" t="str">
        <f>"96/07/06"</f>
        <v>96/07/06</v>
      </c>
      <c r="I841" s="1" t="str">
        <f>"كيلوگرم"</f>
        <v>كيلوگرم</v>
      </c>
      <c r="J841" s="1" t="str">
        <f>"0000000091"</f>
        <v>0000000091</v>
      </c>
      <c r="K841" s="1" t="str">
        <f>"قير  PG64-22"</f>
        <v>قير  PG64-22</v>
      </c>
      <c r="L841" s="1">
        <v>100</v>
      </c>
      <c r="M841" s="1" t="str">
        <f>"مخازن قير اصفهان"</f>
        <v>مخازن قير اصفهان</v>
      </c>
      <c r="N841" s="1">
        <v>11148</v>
      </c>
      <c r="O841" s="1">
        <v>50036414</v>
      </c>
      <c r="P841" s="1" t="str">
        <f>"  شن و ماسه دانه بندي سلسله"</f>
        <v xml:space="preserve">  شن و ماسه دانه بندي سلسله</v>
      </c>
      <c r="Q841" s="1">
        <v>19</v>
      </c>
      <c r="R84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841" s="1" t="str">
        <f>"قرارداد فروش"</f>
        <v>قرارداد فروش</v>
      </c>
      <c r="T841" s="1" t="str">
        <f>"ندارد"</f>
        <v>ندارد</v>
      </c>
      <c r="U841" s="1" t="str">
        <f>"ريسماني حسن(1007ج89)"</f>
        <v>ريسماني حسن(1007ج89)</v>
      </c>
      <c r="V841" s="1">
        <v>961900156</v>
      </c>
      <c r="W841" s="1">
        <v>961900156</v>
      </c>
      <c r="X841" s="1" t="str">
        <f>"1396514728"</f>
        <v>1396514728</v>
      </c>
      <c r="Y841" s="1" t="str">
        <f>"96/07/06"</f>
        <v>96/07/06</v>
      </c>
      <c r="Z841" s="1" t="str">
        <f>"31967/710"</f>
        <v>31967/710</v>
      </c>
      <c r="AA841" s="1" t="str">
        <f>"سازمان راهداري وحمل نقل جاده اي"</f>
        <v>سازمان راهداري وحمل نقل جاده اي</v>
      </c>
      <c r="AB841" s="1" t="str">
        <f>"96/06/28"</f>
        <v>96/06/28</v>
      </c>
      <c r="AC841" s="1" t="str">
        <f>"لرستان"</f>
        <v>لرستان</v>
      </c>
      <c r="AD841" s="1" t="str">
        <f>"96/07/04"</f>
        <v>96/07/04</v>
      </c>
      <c r="AE841" s="1" t="str">
        <f>"اختتام"</f>
        <v>اختتام</v>
      </c>
      <c r="AF841" s="1" t="str">
        <f>""</f>
        <v/>
      </c>
      <c r="AG841" s="1" t="str">
        <f>""</f>
        <v/>
      </c>
      <c r="AH841" s="1" t="str">
        <f>""</f>
        <v/>
      </c>
      <c r="AI841" s="1" t="str">
        <f>""</f>
        <v/>
      </c>
      <c r="AJ841" s="1" t="str">
        <f>""</f>
        <v/>
      </c>
      <c r="AK841" s="1" t="str">
        <f>""</f>
        <v/>
      </c>
    </row>
    <row r="842" spans="1:37">
      <c r="A842" s="1">
        <v>300000</v>
      </c>
      <c r="B842" s="1">
        <v>961900107</v>
      </c>
      <c r="C842" s="1" t="str">
        <f>"تخليه - يزد-اردکان-کارخانه آسفالت سطح راهان"</f>
        <v>تخليه - يزد-اردکان-کارخانه آسفالت سطح راهان</v>
      </c>
      <c r="D842" s="1">
        <v>16350</v>
      </c>
      <c r="E842" s="1">
        <v>299720</v>
      </c>
      <c r="F842" s="1">
        <v>96</v>
      </c>
      <c r="G842" s="1">
        <v>280</v>
      </c>
      <c r="H842" s="1" t="str">
        <f>"96/05/10"</f>
        <v>96/05/10</v>
      </c>
      <c r="I842" s="1" t="str">
        <f>"كيلوگرم"</f>
        <v>كيلوگرم</v>
      </c>
      <c r="J842" s="1" t="str">
        <f>"0000000091"</f>
        <v>0000000091</v>
      </c>
      <c r="K842" s="1" t="str">
        <f>"قير  PG64-22"</f>
        <v>قير  PG64-22</v>
      </c>
      <c r="L842" s="1">
        <v>100</v>
      </c>
      <c r="M842" s="1" t="str">
        <f>"مخازن قير اصفهان"</f>
        <v>مخازن قير اصفهان</v>
      </c>
      <c r="N842" s="1">
        <v>11270</v>
      </c>
      <c r="O842" s="1">
        <v>50035466</v>
      </c>
      <c r="P842" s="1" t="str">
        <f>"  اداره كل راهداري وحمل ونقل جاده اي يزد"</f>
        <v xml:space="preserve">  اداره كل راهداري وحمل ونقل جاده اي يزد</v>
      </c>
      <c r="Q842" s="1">
        <v>19</v>
      </c>
      <c r="R84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842" s="1" t="str">
        <f>"قرارداد فروش"</f>
        <v>قرارداد فروش</v>
      </c>
      <c r="T842" s="1" t="str">
        <f>"ندارد"</f>
        <v>ندارد</v>
      </c>
      <c r="U842" s="1" t="str">
        <f>"قانعي محمدرضا(1011ج89)"</f>
        <v>قانعي محمدرضا(1011ج89)</v>
      </c>
      <c r="V842" s="1">
        <v>961900107</v>
      </c>
      <c r="W842" s="1">
        <v>961900107</v>
      </c>
      <c r="X842" s="1" t="str">
        <f>"1396501690"</f>
        <v>1396501690</v>
      </c>
      <c r="Y842" s="1" t="str">
        <f>"96/05/10"</f>
        <v>96/05/10</v>
      </c>
      <c r="Z842" s="1" t="str">
        <f>"22156/710"</f>
        <v>22156/710</v>
      </c>
      <c r="AA842" s="1" t="str">
        <f>"سازمان راهداري وحمل نقل جاده اي"</f>
        <v>سازمان راهداري وحمل نقل جاده اي</v>
      </c>
      <c r="AB842" s="1" t="str">
        <f>"96/05/09"</f>
        <v>96/05/09</v>
      </c>
      <c r="AC842" s="1" t="str">
        <f>"استان يزد"</f>
        <v>استان يزد</v>
      </c>
      <c r="AD842" s="1" t="str">
        <f>"96/05/10"</f>
        <v>96/05/10</v>
      </c>
      <c r="AE842" s="1" t="str">
        <f>"اختتام"</f>
        <v>اختتام</v>
      </c>
      <c r="AF842" s="1" t="str">
        <f>""</f>
        <v/>
      </c>
      <c r="AG842" s="1" t="str">
        <f>""</f>
        <v/>
      </c>
      <c r="AH842" s="1" t="str">
        <f>""</f>
        <v/>
      </c>
      <c r="AI842" s="1" t="str">
        <f>""</f>
        <v/>
      </c>
      <c r="AJ842" s="1" t="str">
        <f>""</f>
        <v/>
      </c>
      <c r="AK842" s="1" t="str">
        <f>""</f>
        <v/>
      </c>
    </row>
    <row r="843" spans="1:37">
      <c r="A843" s="1">
        <v>300000</v>
      </c>
      <c r="B843" s="1">
        <v>961900110</v>
      </c>
      <c r="C843" s="1" t="str">
        <f>"تخليه - يزد-اردکان-کارخانه آسفالت سطح راهان"</f>
        <v>تخليه - يزد-اردکان-کارخانه آسفالت سطح راهان</v>
      </c>
      <c r="D843" s="1">
        <v>15810</v>
      </c>
      <c r="E843" s="1">
        <v>299760</v>
      </c>
      <c r="F843" s="1">
        <v>96</v>
      </c>
      <c r="G843" s="1">
        <v>240</v>
      </c>
      <c r="H843" s="1" t="str">
        <f>"96/05/10"</f>
        <v>96/05/10</v>
      </c>
      <c r="I843" s="1" t="str">
        <f>"كيلوگرم"</f>
        <v>كيلوگرم</v>
      </c>
      <c r="J843" s="1" t="str">
        <f>"0000000091"</f>
        <v>0000000091</v>
      </c>
      <c r="K843" s="1" t="str">
        <f>"قير  PG64-22"</f>
        <v>قير  PG64-22</v>
      </c>
      <c r="L843" s="1">
        <v>100</v>
      </c>
      <c r="M843" s="1" t="str">
        <f>"مخازن قير اصفهان"</f>
        <v>مخازن قير اصفهان</v>
      </c>
      <c r="N843" s="1">
        <v>11270</v>
      </c>
      <c r="O843" s="1">
        <v>50035469</v>
      </c>
      <c r="P843" s="1" t="str">
        <f>"  اداره كل راهداري وحمل ونقل جاده اي يزد"</f>
        <v xml:space="preserve">  اداره كل راهداري وحمل ونقل جاده اي يزد</v>
      </c>
      <c r="Q843" s="1">
        <v>19</v>
      </c>
      <c r="R84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843" s="1" t="str">
        <f>"قرارداد فروش"</f>
        <v>قرارداد فروش</v>
      </c>
      <c r="T843" s="1" t="str">
        <f>"ندارد"</f>
        <v>ندارد</v>
      </c>
      <c r="U843" s="1" t="str">
        <f>"قانعي محمدرضا(1011ج89)"</f>
        <v>قانعي محمدرضا(1011ج89)</v>
      </c>
      <c r="V843" s="1">
        <v>961900110</v>
      </c>
      <c r="W843" s="1">
        <v>961900110</v>
      </c>
      <c r="X843" s="1" t="str">
        <f>"1396501690"</f>
        <v>1396501690</v>
      </c>
      <c r="Y843" s="1" t="str">
        <f>"96/05/10"</f>
        <v>96/05/10</v>
      </c>
      <c r="Z843" s="1" t="str">
        <f>"22153/710"</f>
        <v>22153/710</v>
      </c>
      <c r="AA843" s="1" t="str">
        <f>"سازمان راهداري وحمل نقل جاده اي"</f>
        <v>سازمان راهداري وحمل نقل جاده اي</v>
      </c>
      <c r="AB843" s="1" t="str">
        <f>"96/05/09"</f>
        <v>96/05/09</v>
      </c>
      <c r="AC843" s="1" t="str">
        <f>"استان يزد"</f>
        <v>استان يزد</v>
      </c>
      <c r="AD843" s="1" t="str">
        <f>"96/05/10"</f>
        <v>96/05/10</v>
      </c>
      <c r="AE843" s="1" t="str">
        <f>"اختتام"</f>
        <v>اختتام</v>
      </c>
      <c r="AF843" s="1" t="str">
        <f>""</f>
        <v/>
      </c>
      <c r="AG843" s="1" t="str">
        <f>""</f>
        <v/>
      </c>
      <c r="AH843" s="1" t="str">
        <f>""</f>
        <v/>
      </c>
      <c r="AI843" s="1" t="str">
        <f>""</f>
        <v/>
      </c>
      <c r="AJ843" s="1" t="str">
        <f>""</f>
        <v/>
      </c>
      <c r="AK843" s="1" t="str">
        <f>""</f>
        <v/>
      </c>
    </row>
    <row r="844" spans="1:37">
      <c r="A844" s="1">
        <v>500000</v>
      </c>
      <c r="B844" s="1">
        <v>961900121</v>
      </c>
      <c r="C844" s="1" t="str">
        <f>"تخليه يزد شهرستان بهابادكارخانه آسفالت شهرداري بهاباد"</f>
        <v>تخليه يزد شهرستان بهابادكارخانه آسفالت شهرداري بهاباد</v>
      </c>
      <c r="D844" s="1">
        <v>16350</v>
      </c>
      <c r="E844" s="1">
        <v>499160</v>
      </c>
      <c r="F844" s="1">
        <v>96</v>
      </c>
      <c r="G844" s="1">
        <v>840</v>
      </c>
      <c r="H844" s="1" t="str">
        <f>"96/05/15"</f>
        <v>96/05/15</v>
      </c>
      <c r="I844" s="1" t="str">
        <f>"كيلوگرم"</f>
        <v>كيلوگرم</v>
      </c>
      <c r="J844" s="1" t="str">
        <f>"0000000091"</f>
        <v>0000000091</v>
      </c>
      <c r="K844" s="1" t="str">
        <f>"قير  PG64-22"</f>
        <v>قير  PG64-22</v>
      </c>
      <c r="L844" s="1">
        <v>100</v>
      </c>
      <c r="M844" s="1" t="str">
        <f>"مخازن قير اصفهان"</f>
        <v>مخازن قير اصفهان</v>
      </c>
      <c r="N844" s="1">
        <v>11270</v>
      </c>
      <c r="O844" s="1">
        <v>50035539</v>
      </c>
      <c r="P844" s="1" t="str">
        <f>"  اداره كل راهداري وحمل ونقل جاده اي يزد"</f>
        <v xml:space="preserve">  اداره كل راهداري وحمل ونقل جاده اي يزد</v>
      </c>
      <c r="Q844" s="1">
        <v>19</v>
      </c>
      <c r="R84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844" s="1" t="str">
        <f>"قرارداد فروش"</f>
        <v>قرارداد فروش</v>
      </c>
      <c r="T844" s="1" t="str">
        <f>"ندارد"</f>
        <v>ندارد</v>
      </c>
      <c r="U844" s="1" t="str">
        <f>"قانعي محمدرضا(1011ج89)"</f>
        <v>قانعي محمدرضا(1011ج89)</v>
      </c>
      <c r="V844" s="1">
        <v>961900121</v>
      </c>
      <c r="W844" s="1">
        <v>961900121</v>
      </c>
      <c r="X844" s="1" t="str">
        <f>"1396502840"</f>
        <v>1396502840</v>
      </c>
      <c r="Y844" s="1" t="str">
        <f>"96/05/15"</f>
        <v>96/05/15</v>
      </c>
      <c r="Z844" s="1" t="str">
        <f>"22357/710"</f>
        <v>22357/710</v>
      </c>
      <c r="AA844" s="1" t="str">
        <f>"سازمان راهداري وحمل نقل جاده اي"</f>
        <v>سازمان راهداري وحمل نقل جاده اي</v>
      </c>
      <c r="AB844" s="1" t="str">
        <f>"96/05/10"</f>
        <v>96/05/10</v>
      </c>
      <c r="AC844" s="1" t="str">
        <f>"استان يزد"</f>
        <v>استان يزد</v>
      </c>
      <c r="AD844" s="1" t="str">
        <f>"96/05/15"</f>
        <v>96/05/15</v>
      </c>
      <c r="AE844" s="1" t="str">
        <f>"اختتام"</f>
        <v>اختتام</v>
      </c>
      <c r="AF844" s="1" t="str">
        <f>""</f>
        <v/>
      </c>
      <c r="AG844" s="1" t="str">
        <f>""</f>
        <v/>
      </c>
      <c r="AH844" s="1" t="str">
        <f>""</f>
        <v/>
      </c>
      <c r="AI844" s="1" t="str">
        <f>""</f>
        <v/>
      </c>
      <c r="AJ844" s="1" t="str">
        <f>""</f>
        <v/>
      </c>
      <c r="AK844" s="1" t="str">
        <f>""</f>
        <v/>
      </c>
    </row>
    <row r="845" spans="1:37">
      <c r="A845" s="1">
        <v>250000</v>
      </c>
      <c r="B845" s="1">
        <v>961900127</v>
      </c>
      <c r="C845" s="1" t="str">
        <f>"تخليه يزد دهشيركيلومتر5جاده تفت كارخانه آسفالت شماره 2ناوديس راه"</f>
        <v>تخليه يزد دهشيركيلومتر5جاده تفت كارخانه آسفالت شماره 2ناوديس راه</v>
      </c>
      <c r="D845" s="1">
        <v>16350</v>
      </c>
      <c r="E845" s="1">
        <v>249600</v>
      </c>
      <c r="F845" s="1">
        <v>96</v>
      </c>
      <c r="G845" s="1">
        <v>400</v>
      </c>
      <c r="H845" s="1" t="str">
        <f>"96/05/25"</f>
        <v>96/05/25</v>
      </c>
      <c r="I845" s="1" t="str">
        <f>"كيلوگرم"</f>
        <v>كيلوگرم</v>
      </c>
      <c r="J845" s="1" t="str">
        <f>"0000000091"</f>
        <v>0000000091</v>
      </c>
      <c r="K845" s="1" t="str">
        <f>"قير  PG64-22"</f>
        <v>قير  PG64-22</v>
      </c>
      <c r="L845" s="1">
        <v>100</v>
      </c>
      <c r="M845" s="1" t="str">
        <f>"مخازن قير اصفهان"</f>
        <v>مخازن قير اصفهان</v>
      </c>
      <c r="N845" s="1">
        <v>11270</v>
      </c>
      <c r="O845" s="1">
        <v>50035701</v>
      </c>
      <c r="P845" s="1" t="str">
        <f>"  اداره كل راهداري وحمل ونقل جاده اي يزد"</f>
        <v xml:space="preserve">  اداره كل راهداري وحمل ونقل جاده اي يزد</v>
      </c>
      <c r="Q845" s="1">
        <v>19</v>
      </c>
      <c r="R84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845" s="1" t="str">
        <f>"قرارداد فروش"</f>
        <v>قرارداد فروش</v>
      </c>
      <c r="T845" s="1" t="str">
        <f>"ندارد"</f>
        <v>ندارد</v>
      </c>
      <c r="U845" s="1" t="str">
        <f>"قانعي محمدرضا(1011ج89)"</f>
        <v>قانعي محمدرضا(1011ج89)</v>
      </c>
      <c r="V845" s="1">
        <v>961900127</v>
      </c>
      <c r="W845" s="1">
        <v>961900127</v>
      </c>
      <c r="X845" s="1" t="str">
        <f>"1396506145"</f>
        <v>1396506145</v>
      </c>
      <c r="Y845" s="1" t="str">
        <f>"96/05/25"</f>
        <v>96/05/25</v>
      </c>
      <c r="Z845" s="1" t="str">
        <f>"24829/710"</f>
        <v>24829/710</v>
      </c>
      <c r="AA845" s="1" t="str">
        <f>"سازمان راهداري وحمل نقل جاده اي"</f>
        <v>سازمان راهداري وحمل نقل جاده اي</v>
      </c>
      <c r="AB845" s="1" t="str">
        <f>"96/05/23"</f>
        <v>96/05/23</v>
      </c>
      <c r="AC845" s="1" t="str">
        <f>"استان يزد"</f>
        <v>استان يزد</v>
      </c>
      <c r="AD845" s="1" t="str">
        <f>"96/05/25"</f>
        <v>96/05/25</v>
      </c>
      <c r="AE845" s="1" t="str">
        <f>"اختتام"</f>
        <v>اختتام</v>
      </c>
      <c r="AF845" s="1" t="str">
        <f>""</f>
        <v/>
      </c>
      <c r="AG845" s="1" t="str">
        <f>""</f>
        <v/>
      </c>
      <c r="AH845" s="1" t="str">
        <f>""</f>
        <v/>
      </c>
      <c r="AI845" s="1" t="str">
        <f>""</f>
        <v/>
      </c>
      <c r="AJ845" s="1" t="str">
        <f>""</f>
        <v/>
      </c>
      <c r="AK845" s="1" t="str">
        <f>""</f>
        <v/>
      </c>
    </row>
    <row r="846" spans="1:37">
      <c r="A846" s="1">
        <v>86000</v>
      </c>
      <c r="B846" s="1">
        <v>966200667</v>
      </c>
      <c r="C846" s="1" t="str">
        <f>"تخليه - چهارمحال و بختياري-لردگان-سه راهي کوشکي-کيلومتر 7 جاده ياسوج-سه راهي سلح چين-شرکت کارخانه آسفالت کوثر خانميرزا"</f>
        <v>تخليه - چهارمحال و بختياري-لردگان-سه راهي کوشکي-کيلومتر 7 جاده ياسوج-سه راهي سلح چين-شرکت کارخانه آسفالت کوثر خانميرزا</v>
      </c>
      <c r="D846" s="1">
        <v>13600</v>
      </c>
      <c r="E846" s="1">
        <v>85040</v>
      </c>
      <c r="F846" s="1">
        <v>96</v>
      </c>
      <c r="G846" s="1">
        <v>960</v>
      </c>
      <c r="H846" s="1" t="str">
        <f>"96/12/16"</f>
        <v>96/12/16</v>
      </c>
      <c r="I846" s="1" t="str">
        <f>"كيلوگرم"</f>
        <v>كيلوگرم</v>
      </c>
      <c r="J846" s="1" t="str">
        <f>"0000000091"</f>
        <v>0000000091</v>
      </c>
      <c r="K846" s="1" t="str">
        <f>"قير  PG64-22"</f>
        <v>قير  PG64-22</v>
      </c>
      <c r="L846" s="1">
        <v>100</v>
      </c>
      <c r="M846" s="1" t="str">
        <f>"مخازن قير اصفهان"</f>
        <v>مخازن قير اصفهان</v>
      </c>
      <c r="N846" s="1">
        <v>11281</v>
      </c>
      <c r="O846" s="1">
        <v>50038819</v>
      </c>
      <c r="P846" s="1" t="str">
        <f>"  پوياسازه ارمند"</f>
        <v xml:space="preserve">  پوياسازه ارمند</v>
      </c>
      <c r="Q846" s="1">
        <v>62</v>
      </c>
      <c r="R846" s="1" t="str">
        <f>"فروش داخلي - سازمان بنيادمسكن انقلاب اسلامي"</f>
        <v>فروش داخلي - سازمان بنيادمسكن انقلاب اسلامي</v>
      </c>
      <c r="S846" s="1" t="str">
        <f>"قرارداد فروش"</f>
        <v>قرارداد فروش</v>
      </c>
      <c r="T846" s="1" t="str">
        <f>"ندارد"</f>
        <v>ندارد</v>
      </c>
      <c r="U846" s="1" t="str">
        <f>"ريسماني حسن(1007ج89)"</f>
        <v>ريسماني حسن(1007ج89)</v>
      </c>
      <c r="V846" s="1">
        <v>966200667</v>
      </c>
      <c r="W846" s="1">
        <v>966200667</v>
      </c>
      <c r="X846" s="1" t="str">
        <f>"1396553442"</f>
        <v>1396553442</v>
      </c>
      <c r="Y846" s="1" t="str">
        <f>"96/12/16"</f>
        <v>96/12/16</v>
      </c>
      <c r="Z846" s="1" t="str">
        <f>"57190/د"</f>
        <v>57190/د</v>
      </c>
      <c r="AA846" s="1" t="str">
        <f>"بنيادمسكن انقلاب اسلامي"</f>
        <v>بنيادمسكن انقلاب اسلامي</v>
      </c>
      <c r="AB846" s="1" t="str">
        <f>"96/12/15"</f>
        <v>96/12/15</v>
      </c>
      <c r="AC846" s="1" t="str">
        <f>"استان چهارمحال بختياري"</f>
        <v>استان چهارمحال بختياري</v>
      </c>
      <c r="AD846" s="1" t="str">
        <f>"96/12/16"</f>
        <v>96/12/16</v>
      </c>
      <c r="AE846" s="1" t="str">
        <f>"اختتام"</f>
        <v>اختتام</v>
      </c>
      <c r="AF846" s="1" t="str">
        <f>""</f>
        <v/>
      </c>
      <c r="AG846" s="1" t="str">
        <f>""</f>
        <v/>
      </c>
      <c r="AH846" s="1" t="str">
        <f>""</f>
        <v/>
      </c>
      <c r="AI846" s="1" t="str">
        <f>""</f>
        <v/>
      </c>
      <c r="AJ846" s="1" t="str">
        <f>""</f>
        <v/>
      </c>
      <c r="AK846" s="1" t="str">
        <f>""</f>
        <v/>
      </c>
    </row>
    <row r="847" spans="1:37">
      <c r="A847" s="1">
        <v>1300000</v>
      </c>
      <c r="B847" s="1">
        <v>961900007</v>
      </c>
      <c r="C847" s="1" t="str">
        <f>"تخليه -كرمانشاه -كيلومتر13جاده آسلام آباد-بعدازپليس راه -سمت راست تعاوني 196ايثارگران"</f>
        <v>تخليه -كرمانشاه -كيلومتر13جاده آسلام آباد-بعدازپليس راه -سمت راست تعاوني 196ايثارگران</v>
      </c>
      <c r="D847" s="1">
        <v>9354</v>
      </c>
      <c r="E847" s="1">
        <v>1299760</v>
      </c>
      <c r="F847" s="1">
        <v>96</v>
      </c>
      <c r="G847" s="1">
        <v>240</v>
      </c>
      <c r="H847" s="1" t="str">
        <f>"96/01/15"</f>
        <v>96/01/15</v>
      </c>
      <c r="I847" s="1" t="str">
        <f>"كيلوگرم"</f>
        <v>كيلوگرم</v>
      </c>
      <c r="J847" s="1" t="str">
        <f>"0000000091"</f>
        <v>0000000091</v>
      </c>
      <c r="K847" s="1" t="str">
        <f>"قير  PG64-22"</f>
        <v>قير  PG64-22</v>
      </c>
      <c r="L847" s="1">
        <v>100</v>
      </c>
      <c r="M847" s="1" t="str">
        <f>"مخازن قير اصفهان"</f>
        <v>مخازن قير اصفهان</v>
      </c>
      <c r="N847" s="1">
        <v>8072</v>
      </c>
      <c r="O847" s="1">
        <v>50034364</v>
      </c>
      <c r="P847" s="1" t="str">
        <f>"  بنادر"</f>
        <v xml:space="preserve">  بنادر</v>
      </c>
      <c r="Q847" s="1">
        <v>19</v>
      </c>
      <c r="R84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847" s="1" t="str">
        <f>"قرارداد فروش"</f>
        <v>قرارداد فروش</v>
      </c>
      <c r="T847" s="1" t="str">
        <f>"ندارد"</f>
        <v>ندارد</v>
      </c>
      <c r="U847" s="1" t="str">
        <f>"عزيزي صفر(1006ج 89)"</f>
        <v>عزيزي صفر(1006ج 89)</v>
      </c>
      <c r="V847" s="1">
        <v>961900007</v>
      </c>
      <c r="W847" s="1">
        <v>961900007</v>
      </c>
      <c r="X847" s="1" t="str">
        <f>"1395470946"</f>
        <v>1395470946</v>
      </c>
      <c r="Y847" s="1" t="str">
        <f>"96/01/15"</f>
        <v>96/01/15</v>
      </c>
      <c r="Z847" s="1" t="str">
        <f>"65945/710"</f>
        <v>65945/710</v>
      </c>
      <c r="AA847" s="1" t="str">
        <f>"سازمان راهداري وحمل نقل جاده اي"</f>
        <v>سازمان راهداري وحمل نقل جاده اي</v>
      </c>
      <c r="AB847" s="1" t="str">
        <f>"95/12/22"</f>
        <v>95/12/22</v>
      </c>
      <c r="AC847" s="1" t="str">
        <f>"استان كرمانشاه"</f>
        <v>استان كرمانشاه</v>
      </c>
      <c r="AD847" s="1" t="str">
        <f>"95/12/24"</f>
        <v>95/12/24</v>
      </c>
      <c r="AE847" s="1" t="str">
        <f>"اختتام"</f>
        <v>اختتام</v>
      </c>
      <c r="AF847" s="1" t="str">
        <f>""</f>
        <v/>
      </c>
      <c r="AG847" s="1" t="str">
        <f>""</f>
        <v/>
      </c>
      <c r="AH847" s="1" t="str">
        <f>""</f>
        <v/>
      </c>
      <c r="AI847" s="1" t="str">
        <f>""</f>
        <v/>
      </c>
      <c r="AJ847" s="1" t="str">
        <f>""</f>
        <v/>
      </c>
      <c r="AK847" s="1" t="str">
        <f>""</f>
        <v/>
      </c>
    </row>
    <row r="848" spans="1:37">
      <c r="A848" s="1">
        <v>200000</v>
      </c>
      <c r="B848" s="1">
        <v>961900008</v>
      </c>
      <c r="C848" s="1" t="str">
        <f>"تخليه -كرمانشاه -كيلومتر13جاده آسلام آباد-بعدازپليس راه -سمت راست تعاوني 196ايثارگران"</f>
        <v>تخليه -كرمانشاه -كيلومتر13جاده آسلام آباد-بعدازپليس راه -سمت راست تعاوني 196ايثارگران</v>
      </c>
      <c r="D848" s="1">
        <v>9068</v>
      </c>
      <c r="E848" s="1">
        <v>200000</v>
      </c>
      <c r="F848" s="1">
        <v>96</v>
      </c>
      <c r="G848" s="1">
        <v>0</v>
      </c>
      <c r="H848" s="1" t="str">
        <f>"96/01/15"</f>
        <v>96/01/15</v>
      </c>
      <c r="I848" s="1" t="str">
        <f>"كيلوگرم"</f>
        <v>كيلوگرم</v>
      </c>
      <c r="J848" s="1" t="str">
        <f>"0000000091"</f>
        <v>0000000091</v>
      </c>
      <c r="K848" s="1" t="str">
        <f>"قير  PG64-22"</f>
        <v>قير  PG64-22</v>
      </c>
      <c r="L848" s="1">
        <v>100</v>
      </c>
      <c r="M848" s="1" t="str">
        <f>"مخازن قير اصفهان"</f>
        <v>مخازن قير اصفهان</v>
      </c>
      <c r="N848" s="1">
        <v>8072</v>
      </c>
      <c r="O848" s="1">
        <v>50034365</v>
      </c>
      <c r="P848" s="1" t="str">
        <f>"  بنادر"</f>
        <v xml:space="preserve">  بنادر</v>
      </c>
      <c r="Q848" s="1">
        <v>19</v>
      </c>
      <c r="R84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848" s="1" t="str">
        <f>"قرارداد فروش"</f>
        <v>قرارداد فروش</v>
      </c>
      <c r="T848" s="1" t="str">
        <f>"ندارد"</f>
        <v>ندارد</v>
      </c>
      <c r="U848" s="1" t="str">
        <f>"عزيزي صفر(1006ج 89)"</f>
        <v>عزيزي صفر(1006ج 89)</v>
      </c>
      <c r="V848" s="1">
        <v>961900008</v>
      </c>
      <c r="W848" s="1">
        <v>961900008</v>
      </c>
      <c r="X848" s="1" t="str">
        <f>"1395471092"</f>
        <v>1395471092</v>
      </c>
      <c r="Y848" s="1" t="str">
        <f>"96/01/15"</f>
        <v>96/01/15</v>
      </c>
      <c r="Z848" s="1" t="str">
        <f>"65945/710"</f>
        <v>65945/710</v>
      </c>
      <c r="AA848" s="1" t="str">
        <f>"سازمان راهداري وحمل نقل جاده اي"</f>
        <v>سازمان راهداري وحمل نقل جاده اي</v>
      </c>
      <c r="AB848" s="1" t="str">
        <f>"95/12/22"</f>
        <v>95/12/22</v>
      </c>
      <c r="AC848" s="1" t="str">
        <f>"استان كرمانشاه"</f>
        <v>استان كرمانشاه</v>
      </c>
      <c r="AD848" s="1" t="str">
        <f>"95/12/28"</f>
        <v>95/12/28</v>
      </c>
      <c r="AE848" s="1" t="str">
        <f>"اختتام"</f>
        <v>اختتام</v>
      </c>
      <c r="AF848" s="1" t="str">
        <f>""</f>
        <v/>
      </c>
      <c r="AG848" s="1" t="str">
        <f>""</f>
        <v/>
      </c>
      <c r="AH848" s="1" t="str">
        <f>""</f>
        <v/>
      </c>
      <c r="AI848" s="1" t="str">
        <f>""</f>
        <v/>
      </c>
      <c r="AJ848" s="1" t="str">
        <f>""</f>
        <v/>
      </c>
      <c r="AK848" s="1" t="str">
        <f>""</f>
        <v/>
      </c>
    </row>
    <row r="849" spans="1:37">
      <c r="A849" s="1">
        <v>1500000</v>
      </c>
      <c r="B849" s="1">
        <v>961800008</v>
      </c>
      <c r="C849" s="1" t="str">
        <f>"تخليه -كرمانشاه -كيلومتر13جاده آسلام آباد-بعدازپليس راه -سمت راست تعاوني 196ايثارگران"</f>
        <v>تخليه -كرمانشاه -كيلومتر13جاده آسلام آباد-بعدازپليس راه -سمت راست تعاوني 196ايثارگران</v>
      </c>
      <c r="D849" s="1">
        <v>8904</v>
      </c>
      <c r="E849" s="1">
        <v>1498400</v>
      </c>
      <c r="F849" s="1">
        <v>96</v>
      </c>
      <c r="G849" s="1">
        <v>1600</v>
      </c>
      <c r="H849" s="1" t="str">
        <f>"96/04/17"</f>
        <v>96/04/17</v>
      </c>
      <c r="I849" s="1" t="str">
        <f>"كيلوگرم"</f>
        <v>كيلوگرم</v>
      </c>
      <c r="J849" s="1" t="str">
        <f>"0000000091"</f>
        <v>0000000091</v>
      </c>
      <c r="K849" s="1" t="str">
        <f>"قير  PG64-22"</f>
        <v>قير  PG64-22</v>
      </c>
      <c r="L849" s="1">
        <v>100</v>
      </c>
      <c r="M849" s="1" t="str">
        <f>"مخازن قير اصفهان"</f>
        <v>مخازن قير اصفهان</v>
      </c>
      <c r="N849" s="1">
        <v>8072</v>
      </c>
      <c r="O849" s="1">
        <v>50035122</v>
      </c>
      <c r="P849" s="1" t="str">
        <f>"  بنادر"</f>
        <v xml:space="preserve">  بنادر</v>
      </c>
      <c r="Q849" s="1">
        <v>18</v>
      </c>
      <c r="R849" s="1" t="str">
        <f>"فروش داخلي تهران - وزارت راه - شرکت ساخت و توسعه راهها"</f>
        <v>فروش داخلي تهران - وزارت راه - شرکت ساخت و توسعه راهها</v>
      </c>
      <c r="S849" s="1" t="str">
        <f>"قرارداد فروش"</f>
        <v>قرارداد فروش</v>
      </c>
      <c r="T849" s="1" t="str">
        <f>"ندارد"</f>
        <v>ندارد</v>
      </c>
      <c r="U849" s="1" t="str">
        <f>"عزيزي صفر(1006ج 89)"</f>
        <v>عزيزي صفر(1006ج 89)</v>
      </c>
      <c r="V849" s="1">
        <v>961800008</v>
      </c>
      <c r="W849" s="1">
        <v>961800008</v>
      </c>
      <c r="X849" s="1" t="str">
        <f>"1396494229"</f>
        <v>1396494229</v>
      </c>
      <c r="Y849" s="1" t="str">
        <f>"96/04/17"</f>
        <v>96/04/17</v>
      </c>
      <c r="Z849" s="1" t="str">
        <f>"16732/710"</f>
        <v>16732/710</v>
      </c>
      <c r="AA849" s="1" t="str">
        <f>"شركت  ساخت وتوسعه راهها"</f>
        <v>شركت  ساخت وتوسعه راهها</v>
      </c>
      <c r="AB849" s="1" t="str">
        <f>"96/04/14"</f>
        <v>96/04/14</v>
      </c>
      <c r="AC849" s="1" t="str">
        <f>"استان كرمانشاه"</f>
        <v>استان كرمانشاه</v>
      </c>
      <c r="AD849" s="1" t="str">
        <f>"96/04/17"</f>
        <v>96/04/17</v>
      </c>
      <c r="AE849" s="1" t="str">
        <f>"اختتام"</f>
        <v>اختتام</v>
      </c>
      <c r="AF849" s="1" t="str">
        <f>""</f>
        <v/>
      </c>
      <c r="AG849" s="1" t="str">
        <f>""</f>
        <v/>
      </c>
      <c r="AH849" s="1" t="str">
        <f>""</f>
        <v/>
      </c>
      <c r="AI849" s="1" t="str">
        <f>""</f>
        <v/>
      </c>
      <c r="AJ849" s="1" t="str">
        <f>""</f>
        <v/>
      </c>
      <c r="AK849" s="1" t="str">
        <f>""</f>
        <v/>
      </c>
    </row>
    <row r="850" spans="1:37">
      <c r="A850" s="1">
        <v>1500000</v>
      </c>
      <c r="B850" s="1">
        <v>961900139</v>
      </c>
      <c r="C850" s="1" t="str">
        <f>"تخليه -كرمانشاه -كيلومتر13جاده آسلام آباد-بعدازپليس راه -سمت راست تعاوني 196ايثارگران"</f>
        <v>تخليه -كرمانشاه -كيلومتر13جاده آسلام آباد-بعدازپليس راه -سمت راست تعاوني 196ايثارگران</v>
      </c>
      <c r="D850" s="1">
        <v>9716</v>
      </c>
      <c r="E850" s="1">
        <v>1495560</v>
      </c>
      <c r="F850" s="1">
        <v>96</v>
      </c>
      <c r="G850" s="1">
        <v>4440</v>
      </c>
      <c r="H850" s="1" t="str">
        <f>"96/06/19"</f>
        <v>96/06/19</v>
      </c>
      <c r="I850" s="1" t="str">
        <f>"كيلوگرم"</f>
        <v>كيلوگرم</v>
      </c>
      <c r="J850" s="1" t="str">
        <f>"0000000091"</f>
        <v>0000000091</v>
      </c>
      <c r="K850" s="1" t="str">
        <f>"قير  PG64-22"</f>
        <v>قير  PG64-22</v>
      </c>
      <c r="L850" s="1">
        <v>100</v>
      </c>
      <c r="M850" s="1" t="str">
        <f>"مخازن قير اصفهان"</f>
        <v>مخازن قير اصفهان</v>
      </c>
      <c r="N850" s="1">
        <v>8072</v>
      </c>
      <c r="O850" s="1">
        <v>50035943</v>
      </c>
      <c r="P850" s="1" t="str">
        <f>"  بنادر"</f>
        <v xml:space="preserve">  بنادر</v>
      </c>
      <c r="Q850" s="1">
        <v>19</v>
      </c>
      <c r="R85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850" s="1" t="str">
        <f>"قرارداد فروش"</f>
        <v>قرارداد فروش</v>
      </c>
      <c r="T850" s="1" t="str">
        <f>"ندارد"</f>
        <v>ندارد</v>
      </c>
      <c r="U850" s="1" t="str">
        <f>"عزيزي صفر(1006ج 89)"</f>
        <v>عزيزي صفر(1006ج 89)</v>
      </c>
      <c r="V850" s="1">
        <v>961900139</v>
      </c>
      <c r="W850" s="1">
        <v>961900139</v>
      </c>
      <c r="X850" s="1" t="str">
        <f>"1396511137"</f>
        <v>1396511137</v>
      </c>
      <c r="Y850" s="1" t="str">
        <f>"96/06/19"</f>
        <v>96/06/19</v>
      </c>
      <c r="Z850" s="1" t="str">
        <f>"29310/710"</f>
        <v>29310/710</v>
      </c>
      <c r="AA850" s="1" t="str">
        <f>"سازمان راهداري وحمل نقل جاده اي"</f>
        <v>سازمان راهداري وحمل نقل جاده اي</v>
      </c>
      <c r="AB850" s="1" t="str">
        <f>"96/06/14"</f>
        <v>96/06/14</v>
      </c>
      <c r="AC850" s="1" t="str">
        <f>"استان كرمانشاه"</f>
        <v>استان كرمانشاه</v>
      </c>
      <c r="AD850" s="1" t="str">
        <f>"96/06/19"</f>
        <v>96/06/19</v>
      </c>
      <c r="AE850" s="1" t="str">
        <f>"اختتام"</f>
        <v>اختتام</v>
      </c>
      <c r="AF850" s="1" t="str">
        <f>""</f>
        <v/>
      </c>
      <c r="AG850" s="1" t="str">
        <f>""</f>
        <v/>
      </c>
      <c r="AH850" s="1" t="str">
        <f>""</f>
        <v/>
      </c>
      <c r="AI850" s="1" t="str">
        <f>""</f>
        <v/>
      </c>
      <c r="AJ850" s="1" t="str">
        <f>""</f>
        <v/>
      </c>
      <c r="AK850" s="1" t="str">
        <f>""</f>
        <v/>
      </c>
    </row>
    <row r="851" spans="1:37">
      <c r="A851" s="1">
        <v>200000</v>
      </c>
      <c r="B851" s="1">
        <v>961100095</v>
      </c>
      <c r="C851" s="1" t="str">
        <f>"تخليه- کرمان کيلومتر 22 جاده سيرجان شيراز شرکت محور گستر شرق"</f>
        <v>تخليه- کرمان کيلومتر 22 جاده سيرجان شيراز شرکت محور گستر شرق</v>
      </c>
      <c r="D851" s="1">
        <v>9416</v>
      </c>
      <c r="E851" s="1">
        <v>199200</v>
      </c>
      <c r="F851" s="1">
        <v>96</v>
      </c>
      <c r="G851" s="1">
        <v>800</v>
      </c>
      <c r="H851" s="1" t="str">
        <f>"96/08/21"</f>
        <v>96/08/21</v>
      </c>
      <c r="I851" s="1" t="str">
        <f>"كيلوگرم"</f>
        <v>كيلوگرم</v>
      </c>
      <c r="J851" s="1" t="str">
        <f>"0000000076"</f>
        <v>0000000076</v>
      </c>
      <c r="K851" s="1" t="str">
        <f>"قير 60/70 - فله"</f>
        <v>قير 60/70 - فله</v>
      </c>
      <c r="L851" s="1">
        <v>100</v>
      </c>
      <c r="M851" s="1" t="str">
        <f>"مخازن قير اصفهان"</f>
        <v>مخازن قير اصفهان</v>
      </c>
      <c r="N851" s="1">
        <v>10161</v>
      </c>
      <c r="O851" s="1">
        <v>50037183</v>
      </c>
      <c r="P851" s="1" t="str">
        <f>"  محورگسترشرق"</f>
        <v xml:space="preserve">  محورگسترشرق</v>
      </c>
      <c r="Q851" s="1">
        <v>11</v>
      </c>
      <c r="R851" s="1" t="str">
        <f>"فروش داخلي تهران - بورس"</f>
        <v>فروش داخلي تهران - بورس</v>
      </c>
      <c r="S851" s="1" t="str">
        <f>"قرارداد فروش"</f>
        <v>قرارداد فروش</v>
      </c>
      <c r="T851" s="1" t="str">
        <f>"ندارد"</f>
        <v>ندارد</v>
      </c>
      <c r="U851" s="1" t="str">
        <f>"خضرائي فريدون(4844003)"</f>
        <v>خضرائي فريدون(4844003)</v>
      </c>
      <c r="V851" s="1">
        <v>961100095</v>
      </c>
      <c r="W851" s="1">
        <v>961100095</v>
      </c>
      <c r="X851" s="1" t="str">
        <f>"1396524817"</f>
        <v>1396524817</v>
      </c>
      <c r="Y851" s="1" t="str">
        <f>"96/08/20"</f>
        <v>96/08/20</v>
      </c>
      <c r="Z851" s="1" t="str">
        <f>"96-36578"</f>
        <v>96-36578</v>
      </c>
      <c r="AA851" s="1" t="str">
        <f>"راه سازي"</f>
        <v>راه سازي</v>
      </c>
      <c r="AB851" s="1" t="str">
        <f>"96/08/20"</f>
        <v>96/08/20</v>
      </c>
      <c r="AC851" s="1" t="str">
        <f>"استان كرمان"</f>
        <v>استان كرمان</v>
      </c>
      <c r="AD851" s="1" t="str">
        <f>"96/08/17"</f>
        <v>96/08/17</v>
      </c>
      <c r="AE851" s="1" t="str">
        <f>"اختتام"</f>
        <v>اختتام</v>
      </c>
      <c r="AF851" s="1" t="str">
        <f>""</f>
        <v/>
      </c>
      <c r="AG851" s="1" t="str">
        <f>""</f>
        <v/>
      </c>
      <c r="AH851" s="1" t="str">
        <f>""</f>
        <v/>
      </c>
      <c r="AI851" s="1" t="str">
        <f>""</f>
        <v/>
      </c>
      <c r="AJ851" s="1" t="str">
        <f>""</f>
        <v/>
      </c>
      <c r="AK851" s="1" t="str">
        <f>""</f>
        <v/>
      </c>
    </row>
    <row r="852" spans="1:37">
      <c r="A852" s="1">
        <v>300000</v>
      </c>
      <c r="B852" s="1">
        <v>961900161</v>
      </c>
      <c r="C852" s="1" t="str">
        <f>"تخليه لرستان كيلومتر12دورودازناشركت راه شكاف زاگرس"</f>
        <v>تخليه لرستان كيلومتر12دورودازناشركت راه شكاف زاگرس</v>
      </c>
      <c r="D852" s="1">
        <v>9363</v>
      </c>
      <c r="E852" s="1">
        <v>295560</v>
      </c>
      <c r="F852" s="1">
        <v>96</v>
      </c>
      <c r="G852" s="1">
        <v>4440</v>
      </c>
      <c r="H852" s="1" t="str">
        <f>"96/07/11"</f>
        <v>96/07/11</v>
      </c>
      <c r="I852" s="1" t="str">
        <f>"كيلوگرم"</f>
        <v>كيلوگرم</v>
      </c>
      <c r="J852" s="1" t="str">
        <f>"0000000091"</f>
        <v>0000000091</v>
      </c>
      <c r="K852" s="1" t="str">
        <f>"قير  PG64-22"</f>
        <v>قير  PG64-22</v>
      </c>
      <c r="L852" s="1">
        <v>100</v>
      </c>
      <c r="M852" s="1" t="str">
        <f>"مخازن قير اصفهان"</f>
        <v>مخازن قير اصفهان</v>
      </c>
      <c r="N852" s="1">
        <v>11295</v>
      </c>
      <c r="O852" s="1">
        <v>50036521</v>
      </c>
      <c r="P852" s="1" t="str">
        <f>"  اداره كل راهداري وحمل ونقل جاده اي لرستان"</f>
        <v xml:space="preserve">  اداره كل راهداري وحمل ونقل جاده اي لرستان</v>
      </c>
      <c r="Q852" s="1">
        <v>19</v>
      </c>
      <c r="R85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852" s="1" t="str">
        <f>"قرارداد فروش"</f>
        <v>قرارداد فروش</v>
      </c>
      <c r="T852" s="1" t="str">
        <f>"ندارد"</f>
        <v>ندارد</v>
      </c>
      <c r="U852" s="1" t="str">
        <f>"ريسماني حسن(1007ج89)"</f>
        <v>ريسماني حسن(1007ج89)</v>
      </c>
      <c r="V852" s="1">
        <v>961900161</v>
      </c>
      <c r="W852" s="1">
        <v>961900161</v>
      </c>
      <c r="X852" s="1" t="str">
        <f>"1396515916"</f>
        <v>1396515916</v>
      </c>
      <c r="Y852" s="1" t="str">
        <f>"96/07/11"</f>
        <v>96/07/11</v>
      </c>
      <c r="Z852" s="1" t="str">
        <f>"33346/710"</f>
        <v>33346/710</v>
      </c>
      <c r="AA852" s="1" t="str">
        <f>"سازمان راهداري وحمل نقل جاده اي"</f>
        <v>سازمان راهداري وحمل نقل جاده اي</v>
      </c>
      <c r="AB852" s="1" t="str">
        <f>"96/07/04"</f>
        <v>96/07/04</v>
      </c>
      <c r="AC852" s="1" t="str">
        <f>"لرستان"</f>
        <v>لرستان</v>
      </c>
      <c r="AD852" s="1" t="str">
        <f>"96/07/11"</f>
        <v>96/07/11</v>
      </c>
      <c r="AE852" s="1" t="str">
        <f>"اختتام"</f>
        <v>اختتام</v>
      </c>
      <c r="AF852" s="1" t="str">
        <f>""</f>
        <v/>
      </c>
      <c r="AG852" s="1" t="str">
        <f>""</f>
        <v/>
      </c>
      <c r="AH852" s="1" t="str">
        <f>""</f>
        <v/>
      </c>
      <c r="AI852" s="1" t="str">
        <f>""</f>
        <v/>
      </c>
      <c r="AJ852" s="1" t="str">
        <f>""</f>
        <v/>
      </c>
      <c r="AK852" s="1" t="str">
        <f>""</f>
        <v/>
      </c>
    </row>
    <row r="853" spans="1:37">
      <c r="A853" s="1">
        <v>400000</v>
      </c>
      <c r="B853" s="1">
        <v>961900018</v>
      </c>
      <c r="C853" s="1" t="str">
        <f>"محل تخليه خراسان رضوي شهرستان گنابادكارخانه آسفالت گناباد"</f>
        <v>محل تخليه خراسان رضوي شهرستان گنابادكارخانه آسفالت گناباد</v>
      </c>
      <c r="D853" s="1">
        <v>9068</v>
      </c>
      <c r="E853" s="1">
        <v>400000</v>
      </c>
      <c r="F853" s="1">
        <v>96</v>
      </c>
      <c r="G853" s="1">
        <v>0</v>
      </c>
      <c r="H853" s="1" t="str">
        <f>"96/01/16"</f>
        <v>96/01/16</v>
      </c>
      <c r="I853" s="1" t="str">
        <f>"كيلوگرم"</f>
        <v>كيلوگرم</v>
      </c>
      <c r="J853" s="1" t="str">
        <f>"0000000091"</f>
        <v>0000000091</v>
      </c>
      <c r="K853" s="1" t="str">
        <f>"قير  PG64-22"</f>
        <v>قير  PG64-22</v>
      </c>
      <c r="L853" s="1">
        <v>100</v>
      </c>
      <c r="M853" s="1" t="str">
        <f>"مخازن قير اصفهان"</f>
        <v>مخازن قير اصفهان</v>
      </c>
      <c r="N853" s="1">
        <v>11305</v>
      </c>
      <c r="O853" s="1">
        <v>50034375</v>
      </c>
      <c r="P853" s="1" t="str">
        <f>"  اداره كل راهداري وحمل ونقل جاده اي خراسان رضوي"</f>
        <v xml:space="preserve">  اداره كل راهداري وحمل ونقل جاده اي خراسان رضوي</v>
      </c>
      <c r="Q853" s="1">
        <v>19</v>
      </c>
      <c r="R85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853" s="1" t="str">
        <f>"قرارداد فروش"</f>
        <v>قرارداد فروش</v>
      </c>
      <c r="T853" s="1" t="str">
        <f>"ندارد"</f>
        <v>ندارد</v>
      </c>
      <c r="U853" s="1" t="str">
        <f>"نظام دوست امين (1911102)"</f>
        <v>نظام دوست امين (1911102)</v>
      </c>
      <c r="V853" s="1">
        <v>961900018</v>
      </c>
      <c r="W853" s="1">
        <v>961900018</v>
      </c>
      <c r="X853" s="1" t="str">
        <f>"1395470874"</f>
        <v>1395470874</v>
      </c>
      <c r="Y853" s="1" t="str">
        <f>"96/01/16"</f>
        <v>96/01/16</v>
      </c>
      <c r="Z853" s="1" t="str">
        <f>"65467/710"</f>
        <v>65467/710</v>
      </c>
      <c r="AA853" s="1" t="str">
        <f>"سازمان راهداري وحمل نقل جاده اي"</f>
        <v>سازمان راهداري وحمل نقل جاده اي</v>
      </c>
      <c r="AB853" s="1" t="str">
        <f>"95/12/21"</f>
        <v>95/12/21</v>
      </c>
      <c r="AC853" s="1" t="str">
        <f>"خراسان رضوي"</f>
        <v>خراسان رضوي</v>
      </c>
      <c r="AD853" s="1" t="str">
        <f>"95/12/23"</f>
        <v>95/12/23</v>
      </c>
      <c r="AE853" s="1" t="str">
        <f>"اختتام"</f>
        <v>اختتام</v>
      </c>
      <c r="AF853" s="1" t="str">
        <f>""</f>
        <v/>
      </c>
      <c r="AG853" s="1" t="str">
        <f>""</f>
        <v/>
      </c>
      <c r="AH853" s="1" t="str">
        <f>""</f>
        <v/>
      </c>
      <c r="AI853" s="1" t="str">
        <f>""</f>
        <v/>
      </c>
      <c r="AJ853" s="1" t="str">
        <f>""</f>
        <v/>
      </c>
      <c r="AK853" s="1" t="str">
        <f>""</f>
        <v/>
      </c>
    </row>
    <row r="854" spans="1:37">
      <c r="A854" s="1">
        <v>250000</v>
      </c>
      <c r="B854" s="1">
        <v>961900025</v>
      </c>
      <c r="C854" s="1" t="str">
        <f>"تخليه خراسان رضوي شهرستان فريمان شركت فراز راه بجنورد"</f>
        <v>تخليه خراسان رضوي شهرستان فريمان شركت فراز راه بجنورد</v>
      </c>
      <c r="D854" s="1">
        <v>9354</v>
      </c>
      <c r="E854" s="1">
        <v>247980</v>
      </c>
      <c r="F854" s="1">
        <v>96</v>
      </c>
      <c r="G854" s="1">
        <v>2020</v>
      </c>
      <c r="H854" s="1" t="str">
        <f>"96/01/16"</f>
        <v>96/01/16</v>
      </c>
      <c r="I854" s="1" t="str">
        <f>"كيلوگرم"</f>
        <v>كيلوگرم</v>
      </c>
      <c r="J854" s="1" t="str">
        <f>"0000000091"</f>
        <v>0000000091</v>
      </c>
      <c r="K854" s="1" t="str">
        <f>"قير  PG64-22"</f>
        <v>قير  PG64-22</v>
      </c>
      <c r="L854" s="1">
        <v>100</v>
      </c>
      <c r="M854" s="1" t="str">
        <f>"مخازن قير اصفهان"</f>
        <v>مخازن قير اصفهان</v>
      </c>
      <c r="N854" s="1">
        <v>11305</v>
      </c>
      <c r="O854" s="1">
        <v>50034382</v>
      </c>
      <c r="P854" s="1" t="str">
        <f>"  اداره كل راهداري وحمل ونقل جاده اي خراسان رضوي"</f>
        <v xml:space="preserve">  اداره كل راهداري وحمل ونقل جاده اي خراسان رضوي</v>
      </c>
      <c r="Q854" s="1">
        <v>19</v>
      </c>
      <c r="R85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854" s="1" t="str">
        <f>"قرارداد فروش"</f>
        <v>قرارداد فروش</v>
      </c>
      <c r="T854" s="1" t="str">
        <f>"ندارد"</f>
        <v>ندارد</v>
      </c>
      <c r="U854" s="1" t="str">
        <f>"حسيني سيدجواد(1841076)"</f>
        <v>حسيني سيدجواد(1841076)</v>
      </c>
      <c r="V854" s="1">
        <v>961900025</v>
      </c>
      <c r="W854" s="1">
        <v>961900025</v>
      </c>
      <c r="X854" s="1" t="str">
        <f>"1395470897"</f>
        <v>1395470897</v>
      </c>
      <c r="Y854" s="1" t="str">
        <f>"96/01/16"</f>
        <v>96/01/16</v>
      </c>
      <c r="Z854" s="1" t="str">
        <f>"65474/710"</f>
        <v>65474/710</v>
      </c>
      <c r="AA854" s="1" t="str">
        <f>"سازمان راهداري وحمل نقل جاده اي"</f>
        <v>سازمان راهداري وحمل نقل جاده اي</v>
      </c>
      <c r="AB854" s="1" t="str">
        <f>"95/12/21"</f>
        <v>95/12/21</v>
      </c>
      <c r="AC854" s="1" t="str">
        <f>"خراسان رضوي"</f>
        <v>خراسان رضوي</v>
      </c>
      <c r="AD854" s="1" t="str">
        <f>"95/12/23"</f>
        <v>95/12/23</v>
      </c>
      <c r="AE854" s="1" t="str">
        <f>"اختتام"</f>
        <v>اختتام</v>
      </c>
      <c r="AF854" s="1" t="str">
        <f>""</f>
        <v/>
      </c>
      <c r="AG854" s="1" t="str">
        <f>""</f>
        <v/>
      </c>
      <c r="AH854" s="1" t="str">
        <f>""</f>
        <v/>
      </c>
      <c r="AI854" s="1" t="str">
        <f>""</f>
        <v/>
      </c>
      <c r="AJ854" s="1" t="str">
        <f>""</f>
        <v/>
      </c>
      <c r="AK854" s="1" t="str">
        <f>""</f>
        <v/>
      </c>
    </row>
    <row r="855" spans="1:37">
      <c r="A855" s="1">
        <v>500000</v>
      </c>
      <c r="B855" s="1">
        <v>961900011</v>
      </c>
      <c r="C855" s="1" t="str">
        <f>"تخليه خراسان رضوي شهرستان درگز كارخانه آسفالت شهرداري درگز"</f>
        <v>تخليه خراسان رضوي شهرستان درگز كارخانه آسفالت شهرداري درگز</v>
      </c>
      <c r="D855" s="1">
        <v>9354</v>
      </c>
      <c r="E855" s="1">
        <v>499620</v>
      </c>
      <c r="F855" s="1">
        <v>96</v>
      </c>
      <c r="G855" s="1">
        <v>380</v>
      </c>
      <c r="H855" s="1" t="str">
        <f>"96/01/16"</f>
        <v>96/01/16</v>
      </c>
      <c r="I855" s="1" t="str">
        <f>"كيلوگرم"</f>
        <v>كيلوگرم</v>
      </c>
      <c r="J855" s="1" t="str">
        <f>"0000000091"</f>
        <v>0000000091</v>
      </c>
      <c r="K855" s="1" t="str">
        <f>"قير  PG64-22"</f>
        <v>قير  PG64-22</v>
      </c>
      <c r="L855" s="1">
        <v>100</v>
      </c>
      <c r="M855" s="1" t="str">
        <f>"مخازن قير اصفهان"</f>
        <v>مخازن قير اصفهان</v>
      </c>
      <c r="N855" s="1">
        <v>11305</v>
      </c>
      <c r="O855" s="1">
        <v>50034784</v>
      </c>
      <c r="P855" s="1" t="str">
        <f>"  اداره كل راهداري وحمل ونقل جاده اي خراسان رضوي"</f>
        <v xml:space="preserve">  اداره كل راهداري وحمل ونقل جاده اي خراسان رضوي</v>
      </c>
      <c r="Q855" s="1">
        <v>19</v>
      </c>
      <c r="R85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855" s="1" t="str">
        <f>"قرارداد فروش"</f>
        <v>قرارداد فروش</v>
      </c>
      <c r="T855" s="1" t="str">
        <f>"ندارد"</f>
        <v>ندارد</v>
      </c>
      <c r="U855" s="1" t="str">
        <f>"نظام دوست امين (1911102)"</f>
        <v>نظام دوست امين (1911102)</v>
      </c>
      <c r="V855" s="1">
        <v>961900011</v>
      </c>
      <c r="W855" s="1">
        <v>961900011</v>
      </c>
      <c r="X855" s="1" t="str">
        <f>"1395470874"</f>
        <v>1395470874</v>
      </c>
      <c r="Y855" s="1" t="str">
        <f>"96/01/16"</f>
        <v>96/01/16</v>
      </c>
      <c r="Z855" s="1" t="str">
        <f>"65479/710"</f>
        <v>65479/710</v>
      </c>
      <c r="AA855" s="1" t="str">
        <f>"سازمان راهداري وحمل نقل جاده اي"</f>
        <v>سازمان راهداري وحمل نقل جاده اي</v>
      </c>
      <c r="AB855" s="1" t="str">
        <f>"95/12/21"</f>
        <v>95/12/21</v>
      </c>
      <c r="AC855" s="1" t="str">
        <f>"خراسان رضوي"</f>
        <v>خراسان رضوي</v>
      </c>
      <c r="AD855" s="1" t="str">
        <f>"95/12/23"</f>
        <v>95/12/23</v>
      </c>
      <c r="AE855" s="1" t="str">
        <f>"اختتام"</f>
        <v>اختتام</v>
      </c>
      <c r="AF855" s="1" t="str">
        <f>""</f>
        <v/>
      </c>
      <c r="AG855" s="1" t="str">
        <f>""</f>
        <v/>
      </c>
      <c r="AH855" s="1" t="str">
        <f>""</f>
        <v/>
      </c>
      <c r="AI855" s="1" t="str">
        <f>""</f>
        <v/>
      </c>
      <c r="AJ855" s="1" t="str">
        <f>""</f>
        <v/>
      </c>
      <c r="AK855" s="1" t="str">
        <f>""</f>
        <v/>
      </c>
    </row>
    <row r="856" spans="1:37">
      <c r="A856" s="1">
        <v>300000</v>
      </c>
      <c r="B856" s="1">
        <v>961900054</v>
      </c>
      <c r="C856" s="1" t="str">
        <f>"تخليه خراسان رضوي شهرستان سرولايت كارخانه آسفالت دنابنيان بيرجند"</f>
        <v>تخليه خراسان رضوي شهرستان سرولايت كارخانه آسفالت دنابنيان بيرجند</v>
      </c>
      <c r="D856" s="1">
        <v>8854</v>
      </c>
      <c r="E856" s="1">
        <v>298600</v>
      </c>
      <c r="F856" s="1">
        <v>96</v>
      </c>
      <c r="G856" s="1">
        <v>1400</v>
      </c>
      <c r="H856" s="1" t="str">
        <f>"96/03/10"</f>
        <v>96/03/10</v>
      </c>
      <c r="I856" s="1" t="str">
        <f>"كيلوگرم"</f>
        <v>كيلوگرم</v>
      </c>
      <c r="J856" s="1" t="str">
        <f>"0000000091"</f>
        <v>0000000091</v>
      </c>
      <c r="K856" s="1" t="str">
        <f>"قير  PG64-22"</f>
        <v>قير  PG64-22</v>
      </c>
      <c r="L856" s="1">
        <v>100</v>
      </c>
      <c r="M856" s="1" t="str">
        <f>"مخازن قير اصفهان"</f>
        <v>مخازن قير اصفهان</v>
      </c>
      <c r="N856" s="1">
        <v>11305</v>
      </c>
      <c r="O856" s="1">
        <v>50034940</v>
      </c>
      <c r="P856" s="1" t="str">
        <f>"  اداره كل راهداري وحمل ونقل جاده اي خراسان رضوي"</f>
        <v xml:space="preserve">  اداره كل راهداري وحمل ونقل جاده اي خراسان رضوي</v>
      </c>
      <c r="Q856" s="1">
        <v>19</v>
      </c>
      <c r="R85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856" s="1" t="str">
        <f>"قرارداد فروش"</f>
        <v>قرارداد فروش</v>
      </c>
      <c r="T856" s="1" t="str">
        <f>"ندارد"</f>
        <v>ندارد</v>
      </c>
      <c r="U856" s="1" t="str">
        <f>"نظام دوست امين (1911102)"</f>
        <v>نظام دوست امين (1911102)</v>
      </c>
      <c r="V856" s="1">
        <v>961900054</v>
      </c>
      <c r="W856" s="1">
        <v>961900054</v>
      </c>
      <c r="X856" s="1" t="str">
        <f>"1396485061"</f>
        <v>1396485061</v>
      </c>
      <c r="Y856" s="1" t="str">
        <f>"96/03/10"</f>
        <v>96/03/10</v>
      </c>
      <c r="Z856" s="1" t="str">
        <f>"10861/710"</f>
        <v>10861/710</v>
      </c>
      <c r="AA856" s="1" t="str">
        <f>"سازمان راهداري وحمل نقل جاده اي"</f>
        <v>سازمان راهداري وحمل نقل جاده اي</v>
      </c>
      <c r="AB856" s="1" t="str">
        <f>"96/03/09"</f>
        <v>96/03/09</v>
      </c>
      <c r="AC856" s="1" t="str">
        <f>"خراسان رضوي"</f>
        <v>خراسان رضوي</v>
      </c>
      <c r="AD856" s="1" t="str">
        <f>"96/03/10"</f>
        <v>96/03/10</v>
      </c>
      <c r="AE856" s="1" t="str">
        <f>"اختتام"</f>
        <v>اختتام</v>
      </c>
      <c r="AF856" s="1" t="str">
        <f>""</f>
        <v/>
      </c>
      <c r="AG856" s="1" t="str">
        <f>""</f>
        <v/>
      </c>
      <c r="AH856" s="1" t="str">
        <f>""</f>
        <v/>
      </c>
      <c r="AI856" s="1" t="str">
        <f>""</f>
        <v/>
      </c>
      <c r="AJ856" s="1" t="str">
        <f>""</f>
        <v/>
      </c>
      <c r="AK856" s="1" t="str">
        <f>""</f>
        <v/>
      </c>
    </row>
    <row r="857" spans="1:37">
      <c r="A857" s="1">
        <v>300000</v>
      </c>
      <c r="B857" s="1">
        <v>961900056</v>
      </c>
      <c r="C857" s="1" t="str">
        <f>"تخليه خراسان رضوي شهرستان باخرزكارخانه آسفالت شهرداري باخرز"</f>
        <v>تخليه خراسان رضوي شهرستان باخرزكارخانه آسفالت شهرداري باخرز</v>
      </c>
      <c r="D857" s="1">
        <v>8904</v>
      </c>
      <c r="E857" s="1">
        <v>298640</v>
      </c>
      <c r="F857" s="1">
        <v>96</v>
      </c>
      <c r="G857" s="1">
        <v>1360</v>
      </c>
      <c r="H857" s="1" t="str">
        <f>"96/03/10"</f>
        <v>96/03/10</v>
      </c>
      <c r="I857" s="1" t="str">
        <f>"كيلوگرم"</f>
        <v>كيلوگرم</v>
      </c>
      <c r="J857" s="1" t="str">
        <f>"0000000091"</f>
        <v>0000000091</v>
      </c>
      <c r="K857" s="1" t="str">
        <f>"قير  PG64-22"</f>
        <v>قير  PG64-22</v>
      </c>
      <c r="L857" s="1">
        <v>100</v>
      </c>
      <c r="M857" s="1" t="str">
        <f>"مخازن قير اصفهان"</f>
        <v>مخازن قير اصفهان</v>
      </c>
      <c r="N857" s="1">
        <v>11305</v>
      </c>
      <c r="O857" s="1">
        <v>50034942</v>
      </c>
      <c r="P857" s="1" t="str">
        <f>"  اداره كل راهداري وحمل ونقل جاده اي خراسان رضوي"</f>
        <v xml:space="preserve">  اداره كل راهداري وحمل ونقل جاده اي خراسان رضوي</v>
      </c>
      <c r="Q857" s="1">
        <v>19</v>
      </c>
      <c r="R85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857" s="1" t="str">
        <f>"قرارداد فروش"</f>
        <v>قرارداد فروش</v>
      </c>
      <c r="T857" s="1" t="str">
        <f>"ندارد"</f>
        <v>ندارد</v>
      </c>
      <c r="U857" s="1" t="str">
        <f>"نظام دوست امين (1911102)"</f>
        <v>نظام دوست امين (1911102)</v>
      </c>
      <c r="V857" s="1">
        <v>961900056</v>
      </c>
      <c r="W857" s="1">
        <v>961900056</v>
      </c>
      <c r="X857" s="1" t="str">
        <f>"1396485061"</f>
        <v>1396485061</v>
      </c>
      <c r="Y857" s="1" t="str">
        <f>"96/03/10"</f>
        <v>96/03/10</v>
      </c>
      <c r="Z857" s="1" t="str">
        <f>"10849/710"</f>
        <v>10849/710</v>
      </c>
      <c r="AA857" s="1" t="str">
        <f>"سازمان راهداري وحمل نقل جاده اي"</f>
        <v>سازمان راهداري وحمل نقل جاده اي</v>
      </c>
      <c r="AB857" s="1" t="str">
        <f>"96/03/09"</f>
        <v>96/03/09</v>
      </c>
      <c r="AC857" s="1" t="str">
        <f>"خراسان رضوي"</f>
        <v>خراسان رضوي</v>
      </c>
      <c r="AD857" s="1" t="str">
        <f>"96/03/10"</f>
        <v>96/03/10</v>
      </c>
      <c r="AE857" s="1" t="str">
        <f>"اختتام"</f>
        <v>اختتام</v>
      </c>
      <c r="AF857" s="1" t="str">
        <f>""</f>
        <v/>
      </c>
      <c r="AG857" s="1" t="str">
        <f>""</f>
        <v/>
      </c>
      <c r="AH857" s="1" t="str">
        <f>""</f>
        <v/>
      </c>
      <c r="AI857" s="1" t="str">
        <f>""</f>
        <v/>
      </c>
      <c r="AJ857" s="1" t="str">
        <f>""</f>
        <v/>
      </c>
      <c r="AK857" s="1" t="str">
        <f>""</f>
        <v/>
      </c>
    </row>
    <row r="858" spans="1:37">
      <c r="A858" s="1">
        <v>200000</v>
      </c>
      <c r="B858" s="1">
        <v>961900103</v>
      </c>
      <c r="C858" s="1" t="str">
        <f>"تخليه خراسان رضوي شهرستان گنابادكارخانه آسفالت كيهان راه شرق"</f>
        <v>تخليه خراسان رضوي شهرستان گنابادكارخانه آسفالت كيهان راه شرق</v>
      </c>
      <c r="D858" s="1">
        <v>9716</v>
      </c>
      <c r="E858" s="1">
        <v>199560</v>
      </c>
      <c r="F858" s="1">
        <v>96</v>
      </c>
      <c r="G858" s="1">
        <v>440</v>
      </c>
      <c r="H858" s="1" t="str">
        <f>"96/05/10"</f>
        <v>96/05/10</v>
      </c>
      <c r="I858" s="1" t="str">
        <f>"كيلوگرم"</f>
        <v>كيلوگرم</v>
      </c>
      <c r="J858" s="1" t="str">
        <f>"0000000091"</f>
        <v>0000000091</v>
      </c>
      <c r="K858" s="1" t="str">
        <f>"قير  PG64-22"</f>
        <v>قير  PG64-22</v>
      </c>
      <c r="L858" s="1">
        <v>100</v>
      </c>
      <c r="M858" s="1" t="str">
        <f>"مخازن قير اصفهان"</f>
        <v>مخازن قير اصفهان</v>
      </c>
      <c r="N858" s="1">
        <v>11305</v>
      </c>
      <c r="O858" s="1">
        <v>50035453</v>
      </c>
      <c r="P858" s="1" t="str">
        <f>"  اداره كل راهداري وحمل ونقل جاده اي خراسان رضوي"</f>
        <v xml:space="preserve">  اداره كل راهداري وحمل ونقل جاده اي خراسان رضوي</v>
      </c>
      <c r="Q858" s="1">
        <v>19</v>
      </c>
      <c r="R85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858" s="1" t="str">
        <f>"قرارداد فروش"</f>
        <v>قرارداد فروش</v>
      </c>
      <c r="T858" s="1" t="str">
        <f>"ندارد"</f>
        <v>ندارد</v>
      </c>
      <c r="U858" s="1" t="str">
        <f>"نظام دوست امين (1911102)"</f>
        <v>نظام دوست امين (1911102)</v>
      </c>
      <c r="V858" s="1">
        <v>961900103</v>
      </c>
      <c r="W858" s="1">
        <v>961900103</v>
      </c>
      <c r="X858" s="1" t="str">
        <f>"1396501691"</f>
        <v>1396501691</v>
      </c>
      <c r="Y858" s="1" t="str">
        <f>"96/05/10"</f>
        <v>96/05/10</v>
      </c>
      <c r="Z858" s="1" t="str">
        <f>"22152/710"</f>
        <v>22152/710</v>
      </c>
      <c r="AA858" s="1" t="str">
        <f>"سازمان راهداري وحمل نقل جاده اي"</f>
        <v>سازمان راهداري وحمل نقل جاده اي</v>
      </c>
      <c r="AB858" s="1" t="str">
        <f>"96/05/09"</f>
        <v>96/05/09</v>
      </c>
      <c r="AC858" s="1" t="str">
        <f>"خراسان رضوي"</f>
        <v>خراسان رضوي</v>
      </c>
      <c r="AD858" s="1" t="str">
        <f>"96/05/10"</f>
        <v>96/05/10</v>
      </c>
      <c r="AE858" s="1" t="str">
        <f>"اختتام"</f>
        <v>اختتام</v>
      </c>
      <c r="AF858" s="1" t="str">
        <f>""</f>
        <v/>
      </c>
      <c r="AG858" s="1" t="str">
        <f>""</f>
        <v/>
      </c>
      <c r="AH858" s="1" t="str">
        <f>""</f>
        <v/>
      </c>
      <c r="AI858" s="1" t="str">
        <f>""</f>
        <v/>
      </c>
      <c r="AJ858" s="1" t="str">
        <f>""</f>
        <v/>
      </c>
      <c r="AK858" s="1" t="str">
        <f>""</f>
        <v/>
      </c>
    </row>
    <row r="859" spans="1:37">
      <c r="A859" s="1">
        <v>490000</v>
      </c>
      <c r="B859" s="1">
        <v>961900206</v>
      </c>
      <c r="C859" s="1" t="str">
        <f>"تخليه خراسان رضوي شهرستان مه ولايت كارخانه آسفالت قدرت ايمان كوير"</f>
        <v>تخليه خراسان رضوي شهرستان مه ولايت كارخانه آسفالت قدرت ايمان كوير</v>
      </c>
      <c r="D859" s="1">
        <v>14000</v>
      </c>
      <c r="E859" s="1">
        <v>477880</v>
      </c>
      <c r="F859" s="1">
        <v>96</v>
      </c>
      <c r="G859" s="1">
        <v>12120</v>
      </c>
      <c r="H859" s="1" t="str">
        <f>"96/12/26"</f>
        <v>96/12/26</v>
      </c>
      <c r="I859" s="1" t="str">
        <f>"كيلوگرم"</f>
        <v>كيلوگرم</v>
      </c>
      <c r="J859" s="1" t="str">
        <f>"0000000091"</f>
        <v>0000000091</v>
      </c>
      <c r="K859" s="1" t="str">
        <f>"قير  PG64-22"</f>
        <v>قير  PG64-22</v>
      </c>
      <c r="L859" s="1">
        <v>100</v>
      </c>
      <c r="M859" s="1" t="str">
        <f>"مخازن قير اصفهان"</f>
        <v>مخازن قير اصفهان</v>
      </c>
      <c r="N859" s="1">
        <v>11305</v>
      </c>
      <c r="O859" s="1">
        <v>50039069</v>
      </c>
      <c r="P859" s="1" t="str">
        <f>"  اداره كل راهداري وحمل ونقل جاده اي خراسان رضوي"</f>
        <v xml:space="preserve">  اداره كل راهداري وحمل ونقل جاده اي خراسان رضوي</v>
      </c>
      <c r="Q859" s="1">
        <v>19</v>
      </c>
      <c r="R85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859" s="1" t="str">
        <f>"قرارداد فروش"</f>
        <v>قرارداد فروش</v>
      </c>
      <c r="T859" s="1" t="str">
        <f>"ندارد"</f>
        <v>ندارد</v>
      </c>
      <c r="U859" s="1" t="str">
        <f>"نظام دوست امين (1911102)"</f>
        <v>نظام دوست امين (1911102)</v>
      </c>
      <c r="V859" s="1">
        <v>961900206</v>
      </c>
      <c r="W859" s="1">
        <v>961900206</v>
      </c>
      <c r="X859" s="1" t="str">
        <f>"1396553915"</f>
        <v>1396553915</v>
      </c>
      <c r="Y859" s="1" t="str">
        <f>"96/12/26"</f>
        <v>96/12/26</v>
      </c>
      <c r="Z859" s="1" t="str">
        <f>"51428/710"</f>
        <v>51428/710</v>
      </c>
      <c r="AA859" s="1" t="str">
        <f>"سازمان راهداري وحمل نقل جاده اي"</f>
        <v>سازمان راهداري وحمل نقل جاده اي</v>
      </c>
      <c r="AB859" s="1" t="str">
        <f>"96/10/05"</f>
        <v>96/10/05</v>
      </c>
      <c r="AC859" s="1" t="str">
        <f>"خراسان رضوي"</f>
        <v>خراسان رضوي</v>
      </c>
      <c r="AD859" s="1" t="str">
        <f>"96/12/20"</f>
        <v>96/12/20</v>
      </c>
      <c r="AE859" s="1" t="str">
        <f>"اختتام"</f>
        <v>اختتام</v>
      </c>
      <c r="AF859" s="1" t="str">
        <f>""</f>
        <v/>
      </c>
      <c r="AG859" s="1" t="str">
        <f>""</f>
        <v/>
      </c>
      <c r="AH859" s="1" t="str">
        <f>""</f>
        <v/>
      </c>
      <c r="AI859" s="1" t="str">
        <f>""</f>
        <v/>
      </c>
      <c r="AJ859" s="1" t="str">
        <f>""</f>
        <v/>
      </c>
      <c r="AK859" s="1" t="str">
        <f>""</f>
        <v/>
      </c>
    </row>
    <row r="860" spans="1:37">
      <c r="A860" s="1">
        <v>160000</v>
      </c>
      <c r="B860" s="1">
        <v>961700100</v>
      </c>
      <c r="C860" s="1" t="str">
        <f>"تخليه -لرستان -ازنا-كيلومتر16جاده شازند-كارخانه آسفالت شركت كيهان پژوه پويا"</f>
        <v>تخليه -لرستان -ازنا-كيلومتر16جاده شازند-كارخانه آسفالت شركت كيهان پژوه پويا</v>
      </c>
      <c r="D860" s="1">
        <v>9363</v>
      </c>
      <c r="E860" s="1">
        <v>154480</v>
      </c>
      <c r="F860" s="1">
        <v>96</v>
      </c>
      <c r="G860" s="1">
        <v>5520</v>
      </c>
      <c r="H860" s="1" t="str">
        <f>"96/06/25"</f>
        <v>96/06/25</v>
      </c>
      <c r="I860" s="1" t="str">
        <f>"كيلوگرم"</f>
        <v>كيلوگرم</v>
      </c>
      <c r="J860" s="1" t="str">
        <f>"0000000089"</f>
        <v>0000000089</v>
      </c>
      <c r="K860" s="1" t="str">
        <f>"قير  PG58-16"</f>
        <v>قير  PG58-16</v>
      </c>
      <c r="L860" s="1">
        <v>100</v>
      </c>
      <c r="M860" s="1" t="str">
        <f>"مخازن قير اصفهان"</f>
        <v>مخازن قير اصفهان</v>
      </c>
      <c r="N860" s="1">
        <v>8874</v>
      </c>
      <c r="O860" s="1">
        <v>50036053</v>
      </c>
      <c r="P860" s="1" t="str">
        <f>"  كيهان پژوه پويا"</f>
        <v xml:space="preserve">  كيهان پژوه پويا</v>
      </c>
      <c r="Q860" s="1">
        <v>17</v>
      </c>
      <c r="R860" s="1" t="str">
        <f>"فروش داخلي تهران - وزارت راه - راه روستايي - روکش"</f>
        <v>فروش داخلي تهران - وزارت راه - راه روستايي - روکش</v>
      </c>
      <c r="S860" s="1" t="str">
        <f>"قرارداد فروش"</f>
        <v>قرارداد فروش</v>
      </c>
      <c r="T860" s="1" t="str">
        <f>"ندارد"</f>
        <v>ندارد</v>
      </c>
      <c r="U860" s="1" t="str">
        <f>"ريسماني حسن(1007ج89)"</f>
        <v>ريسماني حسن(1007ج89)</v>
      </c>
      <c r="V860" s="1">
        <v>961700100</v>
      </c>
      <c r="W860" s="1">
        <v>961700100</v>
      </c>
      <c r="X860" s="1" t="str">
        <f>"1396512672"</f>
        <v>1396512672</v>
      </c>
      <c r="Y860" s="1" t="str">
        <f>"96/06/25"</f>
        <v>96/06/25</v>
      </c>
      <c r="Z860" s="1" t="str">
        <f>"30420/710"</f>
        <v>30420/710</v>
      </c>
      <c r="AA860" s="1" t="str">
        <f>"راه روستائي -روكش"</f>
        <v>راه روستائي -روكش</v>
      </c>
      <c r="AB860" s="1" t="str">
        <f>"96/06/21"</f>
        <v>96/06/21</v>
      </c>
      <c r="AC860" s="1" t="str">
        <f>"لرستان"</f>
        <v>لرستان</v>
      </c>
      <c r="AD860" s="1" t="str">
        <f>"96/06/25"</f>
        <v>96/06/25</v>
      </c>
      <c r="AE860" s="1" t="str">
        <f>"اختتام"</f>
        <v>اختتام</v>
      </c>
      <c r="AF860" s="1" t="str">
        <f>""</f>
        <v/>
      </c>
      <c r="AG860" s="1" t="str">
        <f>""</f>
        <v/>
      </c>
      <c r="AH860" s="1" t="str">
        <f>""</f>
        <v/>
      </c>
      <c r="AI860" s="1" t="str">
        <f>""</f>
        <v/>
      </c>
      <c r="AJ860" s="1" t="str">
        <f>""</f>
        <v/>
      </c>
      <c r="AK860" s="1" t="str">
        <f>""</f>
        <v/>
      </c>
    </row>
    <row r="861" spans="1:37">
      <c r="A861" s="1">
        <v>445000</v>
      </c>
      <c r="B861" s="1">
        <v>961600016</v>
      </c>
      <c r="C861" s="1" t="str">
        <f>"تخليه -لرستان -ازنا-كيلومتر16جاده شازند-كارخانه آسفالت شركت كيهان پژوه پويا"</f>
        <v>تخليه -لرستان -ازنا-كيلومتر16جاده شازند-كارخانه آسفالت شركت كيهان پژوه پويا</v>
      </c>
      <c r="D861" s="1">
        <v>16350</v>
      </c>
      <c r="E861" s="1">
        <v>445000</v>
      </c>
      <c r="F861" s="1">
        <v>96</v>
      </c>
      <c r="G861" s="1">
        <v>0</v>
      </c>
      <c r="H861" s="1" t="str">
        <f>"96/07/26"</f>
        <v>96/07/26</v>
      </c>
      <c r="I861" s="1" t="str">
        <f>"كيلوگرم"</f>
        <v>كيلوگرم</v>
      </c>
      <c r="J861" s="1" t="str">
        <f>"0000000089"</f>
        <v>0000000089</v>
      </c>
      <c r="K861" s="1" t="str">
        <f>"قير  PG58-16"</f>
        <v>قير  PG58-16</v>
      </c>
      <c r="L861" s="1">
        <v>100</v>
      </c>
      <c r="M861" s="1" t="str">
        <f>"مخازن قير اصفهان"</f>
        <v>مخازن قير اصفهان</v>
      </c>
      <c r="N861" s="1">
        <v>8874</v>
      </c>
      <c r="O861" s="1">
        <v>50036813</v>
      </c>
      <c r="P861" s="1" t="str">
        <f>"  كيهان پژوه پويا"</f>
        <v xml:space="preserve">  كيهان پژوه پويا</v>
      </c>
      <c r="Q861" s="1">
        <v>16</v>
      </c>
      <c r="R861" s="1" t="str">
        <f>"فروش داخلي تهران - وزارت راه - معاونت اقتصاد"</f>
        <v>فروش داخلي تهران - وزارت راه - معاونت اقتصاد</v>
      </c>
      <c r="S861" s="1" t="str">
        <f>"قرارداد فروش"</f>
        <v>قرارداد فروش</v>
      </c>
      <c r="T861" s="1" t="str">
        <f>"ندارد"</f>
        <v>ندارد</v>
      </c>
      <c r="U861" s="1" t="str">
        <f>"ريسماني حسن(1007ج89)"</f>
        <v>ريسماني حسن(1007ج89)</v>
      </c>
      <c r="V861" s="1">
        <v>961600016</v>
      </c>
      <c r="W861" s="1">
        <v>961600016</v>
      </c>
      <c r="X861" s="1" t="str">
        <f>"1396519915"</f>
        <v>1396519915</v>
      </c>
      <c r="Y861" s="1" t="str">
        <f>"96/07/26"</f>
        <v>96/07/26</v>
      </c>
      <c r="Z861" s="1" t="str">
        <f>"36809/710"</f>
        <v>36809/710</v>
      </c>
      <c r="AA861" s="1" t="str">
        <f>"معاونت اقتصادوزارت راه وشهرسازي"</f>
        <v>معاونت اقتصادوزارت راه وشهرسازي</v>
      </c>
      <c r="AB861" s="1" t="str">
        <f>"96/07/25"</f>
        <v>96/07/25</v>
      </c>
      <c r="AC861" s="1" t="str">
        <f>"لرستان"</f>
        <v>لرستان</v>
      </c>
      <c r="AD861" s="1" t="str">
        <f>"96/07/26"</f>
        <v>96/07/26</v>
      </c>
      <c r="AE861" s="1" t="str">
        <f>"اختتام"</f>
        <v>اختتام</v>
      </c>
      <c r="AF861" s="1" t="str">
        <f>""</f>
        <v/>
      </c>
      <c r="AG861" s="1" t="str">
        <f>""</f>
        <v/>
      </c>
      <c r="AH861" s="1" t="str">
        <f>""</f>
        <v/>
      </c>
      <c r="AI861" s="1" t="str">
        <f>""</f>
        <v/>
      </c>
      <c r="AJ861" s="1" t="str">
        <f>""</f>
        <v/>
      </c>
      <c r="AK861" s="1" t="str">
        <f>""</f>
        <v/>
      </c>
    </row>
    <row r="862" spans="1:37">
      <c r="A862" s="1">
        <v>650000</v>
      </c>
      <c r="B862" s="1">
        <v>961900148</v>
      </c>
      <c r="C862" s="1" t="str">
        <f>"تخليه -كرمانشاه -كنارگذرشرقي كرمانشاه -جهادنصركرمانشاه"</f>
        <v>تخليه -كرمانشاه -كنارگذرشرقي كرمانشاه -جهادنصركرمانشاه</v>
      </c>
      <c r="D862" s="1">
        <v>12970</v>
      </c>
      <c r="E862" s="1">
        <v>650000</v>
      </c>
      <c r="F862" s="1">
        <v>96</v>
      </c>
      <c r="G862" s="1">
        <v>0</v>
      </c>
      <c r="H862" s="1" t="str">
        <f>"96/07/05"</f>
        <v>96/07/05</v>
      </c>
      <c r="I862" s="1" t="str">
        <f>"كيلوگرم"</f>
        <v>كيلوگرم</v>
      </c>
      <c r="J862" s="1" t="str">
        <f>"0000000091"</f>
        <v>0000000091</v>
      </c>
      <c r="K862" s="1" t="str">
        <f>"قير  PG64-22"</f>
        <v>قير  PG64-22</v>
      </c>
      <c r="L862" s="1">
        <v>100</v>
      </c>
      <c r="M862" s="1" t="str">
        <f>"مخازن قير اصفهان"</f>
        <v>مخازن قير اصفهان</v>
      </c>
      <c r="N862" s="1">
        <v>4039</v>
      </c>
      <c r="O862" s="1">
        <v>50036319</v>
      </c>
      <c r="P862" s="1" t="str">
        <f>"  جهاد نصركرمانشاه(2912047)"</f>
        <v xml:space="preserve">  جهاد نصركرمانشاه(2912047)</v>
      </c>
      <c r="Q862" s="1">
        <v>19</v>
      </c>
      <c r="R86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862" s="1" t="str">
        <f>"قرارداد فروش"</f>
        <v>قرارداد فروش</v>
      </c>
      <c r="T862" s="1" t="str">
        <f>"ندارد"</f>
        <v>ندارد</v>
      </c>
      <c r="U862" s="1" t="str">
        <f>"عظيمي محمد(2842015)"</f>
        <v>عظيمي محمد(2842015)</v>
      </c>
      <c r="V862" s="1">
        <v>961900148</v>
      </c>
      <c r="W862" s="1">
        <v>961900148</v>
      </c>
      <c r="X862" s="1" t="str">
        <f>"1396514460"</f>
        <v>1396514460</v>
      </c>
      <c r="Y862" s="1" t="str">
        <f>"96/07/05"</f>
        <v>96/07/05</v>
      </c>
      <c r="Z862" s="1" t="str">
        <f>"32678/710"</f>
        <v>32678/710</v>
      </c>
      <c r="AA862" s="1" t="str">
        <f>"سازمان راهداري وحمل نقل جاده اي"</f>
        <v>سازمان راهداري وحمل نقل جاده اي</v>
      </c>
      <c r="AB862" s="1" t="str">
        <f>"96/07/02"</f>
        <v>96/07/02</v>
      </c>
      <c r="AC862" s="1" t="str">
        <f>"استان كرمانشاه"</f>
        <v>استان كرمانشاه</v>
      </c>
      <c r="AD862" s="1" t="str">
        <f>"96/07/03"</f>
        <v>96/07/03</v>
      </c>
      <c r="AE862" s="1" t="str">
        <f>"اختتام"</f>
        <v>اختتام</v>
      </c>
      <c r="AF862" s="1" t="str">
        <f>""</f>
        <v/>
      </c>
      <c r="AG862" s="1" t="str">
        <f>""</f>
        <v/>
      </c>
      <c r="AH862" s="1" t="str">
        <f>""</f>
        <v/>
      </c>
      <c r="AI862" s="1" t="str">
        <f>""</f>
        <v/>
      </c>
      <c r="AJ862" s="1" t="str">
        <f>""</f>
        <v/>
      </c>
      <c r="AK862" s="1" t="str">
        <f>""</f>
        <v/>
      </c>
    </row>
    <row r="863" spans="1:37">
      <c r="A863" s="1">
        <v>806000</v>
      </c>
      <c r="B863" s="1">
        <v>966100001</v>
      </c>
      <c r="C863" s="1" t="str">
        <f>"تخليه -خراسان رضوي -چناران جاده روستاي محسن آبادبعدازخان آبادكارخانه آسفالت توس راديه"</f>
        <v>تخليه -خراسان رضوي -چناران جاده روستاي محسن آبادبعدازخان آبادكارخانه آسفالت توس راديه</v>
      </c>
      <c r="D863" s="1">
        <v>9068</v>
      </c>
      <c r="E863" s="1">
        <v>803960</v>
      </c>
      <c r="F863" s="1">
        <v>96</v>
      </c>
      <c r="G863" s="1">
        <v>2040</v>
      </c>
      <c r="H863" s="1" t="str">
        <f>"96/01/15"</f>
        <v>96/01/15</v>
      </c>
      <c r="I863" s="1" t="str">
        <f>"كيلوگرم"</f>
        <v>كيلوگرم</v>
      </c>
      <c r="J863" s="1" t="str">
        <f>"0000000091"</f>
        <v>0000000091</v>
      </c>
      <c r="K863" s="1" t="str">
        <f>"قير  PG64-22"</f>
        <v>قير  PG64-22</v>
      </c>
      <c r="L863" s="1">
        <v>100</v>
      </c>
      <c r="M863" s="1" t="str">
        <f>"مخازن قير اصفهان"</f>
        <v>مخازن قير اصفهان</v>
      </c>
      <c r="N863" s="1">
        <v>4060</v>
      </c>
      <c r="O863" s="1">
        <v>50034351</v>
      </c>
      <c r="P863" s="1" t="str">
        <f>"  توس راديه"</f>
        <v xml:space="preserve">  توس راديه</v>
      </c>
      <c r="Q863" s="1">
        <v>61</v>
      </c>
      <c r="R863" s="1" t="str">
        <f>"فروش داخلي - وزارت راه - مسكن مهر"</f>
        <v>فروش داخلي - وزارت راه - مسكن مهر</v>
      </c>
      <c r="S863" s="1" t="str">
        <f>"قرارداد فروش"</f>
        <v>قرارداد فروش</v>
      </c>
      <c r="T863" s="1" t="str">
        <f>"ندارد"</f>
        <v>ندارد</v>
      </c>
      <c r="U863" s="1" t="str">
        <f>"بابامحمدي عنايت اله(4844000)"</f>
        <v>بابامحمدي عنايت اله(4844000)</v>
      </c>
      <c r="V863" s="1">
        <v>966100001</v>
      </c>
      <c r="W863" s="1">
        <v>966100001</v>
      </c>
      <c r="X863" s="1" t="str">
        <f>"1395471092"</f>
        <v>1395471092</v>
      </c>
      <c r="Y863" s="1" t="str">
        <f>"96/01/15"</f>
        <v>96/01/15</v>
      </c>
      <c r="Z863" s="1" t="str">
        <f>"67070/710"</f>
        <v>67070/710</v>
      </c>
      <c r="AA863" s="1" t="str">
        <f>"مسكن مهر-وزارت راه"</f>
        <v>مسكن مهر-وزارت راه</v>
      </c>
      <c r="AB863" s="1" t="str">
        <f>"95/12/25"</f>
        <v>95/12/25</v>
      </c>
      <c r="AC863" s="1" t="str">
        <f>"خراسان رضوي"</f>
        <v>خراسان رضوي</v>
      </c>
      <c r="AD863" s="1" t="str">
        <f>"95/12/28"</f>
        <v>95/12/28</v>
      </c>
      <c r="AE863" s="1" t="str">
        <f>"اختتام"</f>
        <v>اختتام</v>
      </c>
      <c r="AF863" s="1" t="str">
        <f>""</f>
        <v/>
      </c>
      <c r="AG863" s="1" t="str">
        <f>""</f>
        <v/>
      </c>
      <c r="AH863" s="1" t="str">
        <f>""</f>
        <v/>
      </c>
      <c r="AI863" s="1" t="str">
        <f>""</f>
        <v/>
      </c>
      <c r="AJ863" s="1" t="str">
        <f>""</f>
        <v/>
      </c>
      <c r="AK863" s="1" t="str">
        <f>""</f>
        <v/>
      </c>
    </row>
    <row r="864" spans="1:37">
      <c r="A864" s="1">
        <v>355000</v>
      </c>
      <c r="B864" s="1">
        <v>961700102</v>
      </c>
      <c r="C864" s="1" t="str">
        <f>"تخليه -اصفهان -نطنزكيلومتر5جاده گل آباد-روبروي ايستگاه راه آهن -كارخانه آسفالت ايران مترو"</f>
        <v>تخليه -اصفهان -نطنزكيلومتر5جاده گل آباد-روبروي ايستگاه راه آهن -كارخانه آسفالت ايران مترو</v>
      </c>
      <c r="D864" s="1">
        <v>9716</v>
      </c>
      <c r="E864" s="1">
        <v>353780</v>
      </c>
      <c r="F864" s="1">
        <v>96</v>
      </c>
      <c r="G864" s="1">
        <v>1220</v>
      </c>
      <c r="H864" s="1" t="str">
        <f>"96/06/27"</f>
        <v>96/06/27</v>
      </c>
      <c r="I864" s="1" t="str">
        <f>"كيلوگرم"</f>
        <v>كيلوگرم</v>
      </c>
      <c r="J864" s="1" t="str">
        <f>"0000000091"</f>
        <v>0000000091</v>
      </c>
      <c r="K864" s="1" t="str">
        <f>"قير  PG64-22"</f>
        <v>قير  PG64-22</v>
      </c>
      <c r="L864" s="1">
        <v>100</v>
      </c>
      <c r="M864" s="1" t="str">
        <f>"مخازن قير اصفهان"</f>
        <v>مخازن قير اصفهان</v>
      </c>
      <c r="N864" s="1">
        <v>8091</v>
      </c>
      <c r="O864" s="1">
        <v>50036093</v>
      </c>
      <c r="P864" s="1" t="str">
        <f>"  اداره كل راه وشهرسازي اصفهان"</f>
        <v xml:space="preserve">  اداره كل راه وشهرسازي اصفهان</v>
      </c>
      <c r="Q864" s="1">
        <v>17</v>
      </c>
      <c r="R864" s="1" t="str">
        <f>"فروش داخلي تهران - وزارت راه - راه روستايي - روکش"</f>
        <v>فروش داخلي تهران - وزارت راه - راه روستايي - روکش</v>
      </c>
      <c r="S864" s="1" t="str">
        <f>"قرارداد فروش"</f>
        <v>قرارداد فروش</v>
      </c>
      <c r="T864" s="1" t="str">
        <f>"ندارد"</f>
        <v>ندارد</v>
      </c>
      <c r="U864" s="1" t="str">
        <f>"شهبازي محمدرضا(1029ج89)"</f>
        <v>شهبازي محمدرضا(1029ج89)</v>
      </c>
      <c r="V864" s="1">
        <v>961700102</v>
      </c>
      <c r="W864" s="1">
        <v>961700102</v>
      </c>
      <c r="X864" s="1" t="str">
        <f>"1396513015"</f>
        <v>1396513015</v>
      </c>
      <c r="Y864" s="1" t="str">
        <f>"96/06/27"</f>
        <v>96/06/27</v>
      </c>
      <c r="Z864" s="1" t="str">
        <f>"31021/710"</f>
        <v>31021/710</v>
      </c>
      <c r="AA864" s="1" t="str">
        <f>"راه روستائي -روكش"</f>
        <v>راه روستائي -روكش</v>
      </c>
      <c r="AB864" s="1" t="str">
        <f>"96/06/25"</f>
        <v>96/06/25</v>
      </c>
      <c r="AC864" s="1" t="str">
        <f>"استان اصفهان"</f>
        <v>استان اصفهان</v>
      </c>
      <c r="AD864" s="1" t="str">
        <f>"96/06/27"</f>
        <v>96/06/27</v>
      </c>
      <c r="AE864" s="1" t="str">
        <f>"اختتام"</f>
        <v>اختتام</v>
      </c>
      <c r="AF864" s="1" t="str">
        <f>""</f>
        <v/>
      </c>
      <c r="AG864" s="1" t="str">
        <f>""</f>
        <v/>
      </c>
      <c r="AH864" s="1" t="str">
        <f>""</f>
        <v/>
      </c>
      <c r="AI864" s="1" t="str">
        <f>""</f>
        <v/>
      </c>
      <c r="AJ864" s="1" t="str">
        <f>""</f>
        <v/>
      </c>
      <c r="AK864" s="1" t="str">
        <f>""</f>
        <v/>
      </c>
    </row>
    <row r="865" spans="1:37">
      <c r="A865" s="1">
        <v>2000000</v>
      </c>
      <c r="B865" s="1">
        <v>961100012</v>
      </c>
      <c r="C865" s="1" t="str">
        <f>"تخليه خراسان رضوي مشهدجاده كلات كيلومتر14جاده كلات كارخانه آسفالت شهيدمجيدي"</f>
        <v>تخليه خراسان رضوي مشهدجاده كلات كيلومتر14جاده كلات كارخانه آسفالت شهيدمجيدي</v>
      </c>
      <c r="D865" s="1">
        <v>9068</v>
      </c>
      <c r="E865" s="1">
        <v>2000000</v>
      </c>
      <c r="F865" s="1">
        <v>96</v>
      </c>
      <c r="G865" s="1">
        <v>0</v>
      </c>
      <c r="H865" s="1" t="str">
        <f>"96/02/13"</f>
        <v>96/02/13</v>
      </c>
      <c r="I865" s="1" t="str">
        <f>"كيلوگرم"</f>
        <v>كيلوگرم</v>
      </c>
      <c r="J865" s="1" t="str">
        <f>"0000000091"</f>
        <v>0000000091</v>
      </c>
      <c r="K865" s="1" t="str">
        <f>"قير  PG64-22"</f>
        <v>قير  PG64-22</v>
      </c>
      <c r="L865" s="1">
        <v>100</v>
      </c>
      <c r="M865" s="1" t="str">
        <f>"مخازن قير اصفهان"</f>
        <v>مخازن قير اصفهان</v>
      </c>
      <c r="N865" s="1">
        <v>8163</v>
      </c>
      <c r="O865" s="1">
        <v>50034751</v>
      </c>
      <c r="P865" s="1" t="str">
        <f>"  سازمان عمران شهرداري مشهد"</f>
        <v xml:space="preserve">  سازمان عمران شهرداري مشهد</v>
      </c>
      <c r="Q865" s="1">
        <v>11</v>
      </c>
      <c r="R865" s="1" t="str">
        <f>"فروش داخلي تهران - بورس"</f>
        <v>فروش داخلي تهران - بورس</v>
      </c>
      <c r="S865" s="1" t="str">
        <f>"قرارداد فروش"</f>
        <v>قرارداد فروش</v>
      </c>
      <c r="T865" s="1" t="str">
        <f>"ندارد"</f>
        <v>ندارد</v>
      </c>
      <c r="U865" s="1" t="str">
        <f>"جعفرزاده مهدي(1841079)"</f>
        <v>جعفرزاده مهدي(1841079)</v>
      </c>
      <c r="V865" s="1">
        <v>961100012</v>
      </c>
      <c r="W865" s="1">
        <v>961100012</v>
      </c>
      <c r="X865" s="1" t="str">
        <f>"1396477990"</f>
        <v>1396477990</v>
      </c>
      <c r="Y865" s="1" t="str">
        <f>"96/02/13"</f>
        <v>96/02/13</v>
      </c>
      <c r="Z865" s="1" t="str">
        <f>"49/96/3168"</f>
        <v>49/96/3168</v>
      </c>
      <c r="AA865" s="1" t="str">
        <f>"شهرداريها"</f>
        <v>شهرداريها</v>
      </c>
      <c r="AB865" s="1" t="str">
        <f>"96/02/11"</f>
        <v>96/02/11</v>
      </c>
      <c r="AC865" s="1" t="str">
        <f>"خراسان رضوي"</f>
        <v>خراسان رضوي</v>
      </c>
      <c r="AD865" s="1" t="str">
        <f>"96/02/12"</f>
        <v>96/02/12</v>
      </c>
      <c r="AE865" s="1" t="str">
        <f>"اختتام"</f>
        <v>اختتام</v>
      </c>
      <c r="AF865" s="1" t="str">
        <f>""</f>
        <v/>
      </c>
      <c r="AG865" s="1" t="str">
        <f>""</f>
        <v/>
      </c>
      <c r="AH865" s="1" t="str">
        <f>""</f>
        <v/>
      </c>
      <c r="AI865" s="1" t="str">
        <f>""</f>
        <v/>
      </c>
      <c r="AJ865" s="1" t="str">
        <f>""</f>
        <v/>
      </c>
      <c r="AK865" s="1" t="str">
        <f>""</f>
        <v/>
      </c>
    </row>
    <row r="866" spans="1:37">
      <c r="A866" s="1">
        <v>1500000</v>
      </c>
      <c r="B866" s="1">
        <v>961800061</v>
      </c>
      <c r="C866" s="1" t="str">
        <f>"تخليه-فردوس خروجي به طرف سرايان کارخانه توس راديه"</f>
        <v>تخليه-فردوس خروجي به طرف سرايان کارخانه توس راديه</v>
      </c>
      <c r="D866" s="1">
        <v>14000</v>
      </c>
      <c r="E866" s="1">
        <v>1496180</v>
      </c>
      <c r="F866" s="1">
        <v>96</v>
      </c>
      <c r="G866" s="1">
        <v>3820</v>
      </c>
      <c r="H866" s="1" t="str">
        <f>"96/07/12"</f>
        <v>96/07/12</v>
      </c>
      <c r="I866" s="1" t="str">
        <f>"كيلوگرم"</f>
        <v>كيلوگرم</v>
      </c>
      <c r="J866" s="1" t="str">
        <f>"0000000091"</f>
        <v>0000000091</v>
      </c>
      <c r="K866" s="1" t="str">
        <f>"قير  PG64-22"</f>
        <v>قير  PG64-22</v>
      </c>
      <c r="L866" s="1">
        <v>100</v>
      </c>
      <c r="M866" s="1" t="str">
        <f>"مخازن قير اصفهان"</f>
        <v>مخازن قير اصفهان</v>
      </c>
      <c r="N866" s="1">
        <v>8264</v>
      </c>
      <c r="O866" s="1">
        <v>50036537</v>
      </c>
      <c r="P866" s="1" t="str">
        <f>"  تارنگ سازه توس"</f>
        <v xml:space="preserve">  تارنگ سازه توس</v>
      </c>
      <c r="Q866" s="1">
        <v>18</v>
      </c>
      <c r="R866" s="1" t="str">
        <f>"فروش داخلي تهران - وزارت راه - شرکت ساخت و توسعه راهها"</f>
        <v>فروش داخلي تهران - وزارت راه - شرکت ساخت و توسعه راهها</v>
      </c>
      <c r="S866" s="1" t="str">
        <f>"قرارداد فروش"</f>
        <v>قرارداد فروش</v>
      </c>
      <c r="T866" s="1" t="str">
        <f>"ندارد"</f>
        <v>ندارد</v>
      </c>
      <c r="U866" s="1" t="str">
        <f>"بابامحمدي عنايت اله(4844000)"</f>
        <v>بابامحمدي عنايت اله(4844000)</v>
      </c>
      <c r="V866" s="1">
        <v>961800061</v>
      </c>
      <c r="W866" s="1">
        <v>961800061</v>
      </c>
      <c r="X866" s="1" t="str">
        <f>"1396516801"</f>
        <v>1396516801</v>
      </c>
      <c r="Y866" s="1" t="str">
        <f>"96/07/12"</f>
        <v>96/07/12</v>
      </c>
      <c r="Z866" s="1" t="str">
        <f>"32517/710"</f>
        <v>32517/710</v>
      </c>
      <c r="AA866" s="1" t="str">
        <f>"شركت  ساخت وتوسعه راهها"</f>
        <v>شركت  ساخت وتوسعه راهها</v>
      </c>
      <c r="AB866" s="1" t="str">
        <f>"96/07/01"</f>
        <v>96/07/01</v>
      </c>
      <c r="AC866" s="1" t="str">
        <f>"خراسان جنوبي"</f>
        <v>خراسان جنوبي</v>
      </c>
      <c r="AD866" s="1" t="str">
        <f>"96/07/12"</f>
        <v>96/07/12</v>
      </c>
      <c r="AE866" s="1" t="str">
        <f>"اختتام"</f>
        <v>اختتام</v>
      </c>
      <c r="AF866" s="1" t="str">
        <f>""</f>
        <v/>
      </c>
      <c r="AG866" s="1" t="str">
        <f>""</f>
        <v/>
      </c>
      <c r="AH866" s="1" t="str">
        <f>""</f>
        <v/>
      </c>
      <c r="AI866" s="1" t="str">
        <f>""</f>
        <v/>
      </c>
      <c r="AJ866" s="1" t="str">
        <f>""</f>
        <v/>
      </c>
      <c r="AK866" s="1" t="str">
        <f>""</f>
        <v/>
      </c>
    </row>
    <row r="867" spans="1:37">
      <c r="A867" s="1">
        <v>300000</v>
      </c>
      <c r="B867" s="1">
        <v>961900166</v>
      </c>
      <c r="C867" s="1" t="str">
        <f>"تخليه - لرستان - شرکت کيهان پژوه پويا"</f>
        <v>تخليه - لرستان - شرکت کيهان پژوه پويا</v>
      </c>
      <c r="D867" s="1">
        <v>9716</v>
      </c>
      <c r="E867" s="1">
        <v>286140</v>
      </c>
      <c r="F867" s="1">
        <v>96</v>
      </c>
      <c r="G867" s="1">
        <v>13860</v>
      </c>
      <c r="H867" s="1" t="str">
        <f>"96/07/11"</f>
        <v>96/07/11</v>
      </c>
      <c r="I867" s="1" t="str">
        <f>"كيلوگرم"</f>
        <v>كيلوگرم</v>
      </c>
      <c r="J867" s="1" t="str">
        <f>"0000000089"</f>
        <v>0000000089</v>
      </c>
      <c r="K867" s="1" t="str">
        <f>"قير  PG58-16"</f>
        <v>قير  PG58-16</v>
      </c>
      <c r="L867" s="1">
        <v>100</v>
      </c>
      <c r="M867" s="1" t="str">
        <f>"مخازن قير اصفهان"</f>
        <v>مخازن قير اصفهان</v>
      </c>
      <c r="N867" s="1">
        <v>11295</v>
      </c>
      <c r="O867" s="1">
        <v>50036526</v>
      </c>
      <c r="P867" s="1" t="str">
        <f>"  اداره كل راهداري وحمل ونقل جاده اي لرستان"</f>
        <v xml:space="preserve">  اداره كل راهداري وحمل ونقل جاده اي لرستان</v>
      </c>
      <c r="Q867" s="1">
        <v>19</v>
      </c>
      <c r="R86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867" s="1" t="str">
        <f>"قرارداد فروش"</f>
        <v>قرارداد فروش</v>
      </c>
      <c r="T867" s="1" t="str">
        <f>"ندارد"</f>
        <v>ندارد</v>
      </c>
      <c r="U867" s="1" t="str">
        <f>"ريسماني حسن(1007ج89)"</f>
        <v>ريسماني حسن(1007ج89)</v>
      </c>
      <c r="V867" s="1">
        <v>961900166</v>
      </c>
      <c r="W867" s="1">
        <v>961900166</v>
      </c>
      <c r="X867" s="1" t="str">
        <f>"1396515920"</f>
        <v>1396515920</v>
      </c>
      <c r="Y867" s="1" t="str">
        <f>"96/07/11"</f>
        <v>96/07/11</v>
      </c>
      <c r="Z867" s="1" t="str">
        <f>"33351/710"</f>
        <v>33351/710</v>
      </c>
      <c r="AA867" s="1" t="str">
        <f>"سازمان راهداري وحمل نقل جاده اي"</f>
        <v>سازمان راهداري وحمل نقل جاده اي</v>
      </c>
      <c r="AB867" s="1" t="str">
        <f>"96/07/04"</f>
        <v>96/07/04</v>
      </c>
      <c r="AC867" s="1" t="str">
        <f>"لرستان"</f>
        <v>لرستان</v>
      </c>
      <c r="AD867" s="1" t="str">
        <f>"96/07/11"</f>
        <v>96/07/11</v>
      </c>
      <c r="AE867" s="1" t="str">
        <f>"اختتام"</f>
        <v>اختتام</v>
      </c>
      <c r="AF867" s="1" t="str">
        <f>""</f>
        <v/>
      </c>
      <c r="AG867" s="1" t="str">
        <f>""</f>
        <v/>
      </c>
      <c r="AH867" s="1" t="str">
        <f>""</f>
        <v/>
      </c>
      <c r="AI867" s="1" t="str">
        <f>""</f>
        <v/>
      </c>
      <c r="AJ867" s="1" t="str">
        <f>""</f>
        <v/>
      </c>
      <c r="AK867" s="1" t="str">
        <f>""</f>
        <v/>
      </c>
    </row>
    <row r="868" spans="1:37">
      <c r="A868" s="1">
        <v>680000</v>
      </c>
      <c r="B868" s="1">
        <v>961400012</v>
      </c>
      <c r="C868" s="1" t="str">
        <f>"تخليه يزدبافق سازمان همياري شهرداري يزد"</f>
        <v>تخليه يزدبافق سازمان همياري شهرداري يزد</v>
      </c>
      <c r="D868" s="1">
        <v>8904</v>
      </c>
      <c r="E868" s="1">
        <v>679700</v>
      </c>
      <c r="F868" s="1">
        <v>96</v>
      </c>
      <c r="G868" s="1">
        <v>300</v>
      </c>
      <c r="H868" s="1" t="str">
        <f>"96/03/22"</f>
        <v>96/03/22</v>
      </c>
      <c r="I868" s="1" t="str">
        <f>"كيلوگرم"</f>
        <v>كيلوگرم</v>
      </c>
      <c r="J868" s="1" t="str">
        <f>"0000000091"</f>
        <v>0000000091</v>
      </c>
      <c r="K868" s="1" t="str">
        <f>"قير  PG64-22"</f>
        <v>قير  PG64-22</v>
      </c>
      <c r="L868" s="1">
        <v>100</v>
      </c>
      <c r="M868" s="1" t="str">
        <f>"مخازن قير اصفهان"</f>
        <v>مخازن قير اصفهان</v>
      </c>
      <c r="N868" s="1">
        <v>1602</v>
      </c>
      <c r="O868" s="1">
        <v>50034996</v>
      </c>
      <c r="P868" s="1" t="str">
        <f>"  اداره كل راه و شهرسازي يزد"</f>
        <v xml:space="preserve">  اداره كل راه و شهرسازي يزد</v>
      </c>
      <c r="Q868" s="1">
        <v>14</v>
      </c>
      <c r="R868" s="1" t="str">
        <f>"فروش داخلي - وزارت راه - حوزه راه روستايي ساخت"</f>
        <v>فروش داخلي - وزارت راه - حوزه راه روستايي ساخت</v>
      </c>
      <c r="S868" s="1" t="str">
        <f>"قرارداد فروش"</f>
        <v>قرارداد فروش</v>
      </c>
      <c r="T868" s="1" t="str">
        <f>"ندارد"</f>
        <v>ندارد</v>
      </c>
      <c r="U868" s="1" t="str">
        <f>"قانعي محمدرضا(1011ج89)"</f>
        <v>قانعي محمدرضا(1011ج89)</v>
      </c>
      <c r="V868" s="1">
        <v>961400012</v>
      </c>
      <c r="W868" s="1">
        <v>961400012</v>
      </c>
      <c r="X868" s="1" t="str">
        <f>"1396487037"</f>
        <v>1396487037</v>
      </c>
      <c r="Y868" s="1" t="str">
        <f>"96/03/22"</f>
        <v>96/03/22</v>
      </c>
      <c r="Z868" s="1" t="str">
        <f>"12185/710"</f>
        <v>12185/710</v>
      </c>
      <c r="AA868" s="1" t="str">
        <f>"راه وروستايي -ساخت"</f>
        <v>راه وروستايي -ساخت</v>
      </c>
      <c r="AB868" s="1" t="str">
        <f>"96/03/20"</f>
        <v>96/03/20</v>
      </c>
      <c r="AC868" s="1" t="str">
        <f>"استان يزد"</f>
        <v>استان يزد</v>
      </c>
      <c r="AD868" s="1" t="str">
        <f>"96/03/22"</f>
        <v>96/03/22</v>
      </c>
      <c r="AE868" s="1" t="str">
        <f>"اختتام"</f>
        <v>اختتام</v>
      </c>
      <c r="AF868" s="1" t="str">
        <f>""</f>
        <v/>
      </c>
      <c r="AG868" s="1" t="str">
        <f>""</f>
        <v/>
      </c>
      <c r="AH868" s="1" t="str">
        <f>""</f>
        <v/>
      </c>
      <c r="AI868" s="1" t="str">
        <f>""</f>
        <v/>
      </c>
      <c r="AJ868" s="1" t="str">
        <f>""</f>
        <v/>
      </c>
      <c r="AK868" s="1" t="str">
        <f>""</f>
        <v/>
      </c>
    </row>
    <row r="869" spans="1:37">
      <c r="A869" s="1">
        <v>750000</v>
      </c>
      <c r="B869" s="1">
        <v>961700161</v>
      </c>
      <c r="C869" s="1" t="str">
        <f>"تخليه يزدكارخانه آسفالت شركت زاويه سازيزد"</f>
        <v>تخليه يزدكارخانه آسفالت شركت زاويه سازيزد</v>
      </c>
      <c r="D869" s="1">
        <v>13600</v>
      </c>
      <c r="E869" s="1">
        <v>749900</v>
      </c>
      <c r="F869" s="1">
        <v>96</v>
      </c>
      <c r="G869" s="1">
        <v>100</v>
      </c>
      <c r="H869" s="1" t="str">
        <f>"96/09/19"</f>
        <v>96/09/19</v>
      </c>
      <c r="I869" s="1" t="str">
        <f>"كيلوگرم"</f>
        <v>كيلوگرم</v>
      </c>
      <c r="J869" s="1" t="str">
        <f>"0000000091"</f>
        <v>0000000091</v>
      </c>
      <c r="K869" s="1" t="str">
        <f>"قير  PG64-22"</f>
        <v>قير  PG64-22</v>
      </c>
      <c r="L869" s="1">
        <v>100</v>
      </c>
      <c r="M869" s="1" t="str">
        <f>"مخازن قير اصفهان"</f>
        <v>مخازن قير اصفهان</v>
      </c>
      <c r="N869" s="1">
        <v>1602</v>
      </c>
      <c r="O869" s="1">
        <v>50037570</v>
      </c>
      <c r="P869" s="1" t="str">
        <f>"  اداره كل راه و شهرسازي يزد"</f>
        <v xml:space="preserve">  اداره كل راه و شهرسازي يزد</v>
      </c>
      <c r="Q869" s="1">
        <v>17</v>
      </c>
      <c r="R869" s="1" t="str">
        <f>"فروش داخلي تهران - وزارت راه - راه روستايي - روکش"</f>
        <v>فروش داخلي تهران - وزارت راه - راه روستايي - روکش</v>
      </c>
      <c r="S869" s="1" t="str">
        <f>"قرارداد فروش"</f>
        <v>قرارداد فروش</v>
      </c>
      <c r="T869" s="1" t="str">
        <f>"ندارد"</f>
        <v>ندارد</v>
      </c>
      <c r="U869" s="1" t="str">
        <f>"شيخي خيراله (1841012)"</f>
        <v>شيخي خيراله (1841012)</v>
      </c>
      <c r="V869" s="1">
        <v>961700161</v>
      </c>
      <c r="W869" s="1">
        <v>961700161</v>
      </c>
      <c r="X869" s="1" t="str">
        <f>"1396531056"</f>
        <v>1396531056</v>
      </c>
      <c r="Y869" s="1" t="str">
        <f>"96/09/19"</f>
        <v>96/09/19</v>
      </c>
      <c r="Z869" s="1" t="str">
        <f>"46819/710"</f>
        <v>46819/710</v>
      </c>
      <c r="AA869" s="1" t="str">
        <f>"راه روستائي -روكش"</f>
        <v>راه روستائي -روكش</v>
      </c>
      <c r="AB869" s="1" t="str">
        <f>"96/09/13"</f>
        <v>96/09/13</v>
      </c>
      <c r="AC869" s="1" t="str">
        <f>"استان يزد"</f>
        <v>استان يزد</v>
      </c>
      <c r="AD869" s="1" t="str">
        <f>"96/09/18"</f>
        <v>96/09/18</v>
      </c>
      <c r="AE869" s="1" t="str">
        <f>"اختتام"</f>
        <v>اختتام</v>
      </c>
      <c r="AF869" s="1" t="str">
        <f>""</f>
        <v/>
      </c>
      <c r="AG869" s="1" t="str">
        <f>""</f>
        <v/>
      </c>
      <c r="AH869" s="1" t="str">
        <f>""</f>
        <v/>
      </c>
      <c r="AI869" s="1" t="str">
        <f>""</f>
        <v/>
      </c>
      <c r="AJ869" s="1" t="str">
        <f>""</f>
        <v/>
      </c>
      <c r="AK869" s="1" t="str">
        <f>""</f>
        <v/>
      </c>
    </row>
    <row r="870" spans="1:37">
      <c r="A870" s="1">
        <v>120000</v>
      </c>
      <c r="B870" s="1">
        <v>961700072</v>
      </c>
      <c r="C870" s="1" t="str">
        <f>"تخليه - خراسان رضوي-شهرستان سبزوارکارخانه آسفالت شرکت ماژان راه بيهق"</f>
        <v>تخليه - خراسان رضوي-شهرستان سبزوارکارخانه آسفالت شرکت ماژان راه بيهق</v>
      </c>
      <c r="D870" s="1">
        <v>9204</v>
      </c>
      <c r="E870" s="1">
        <v>115680</v>
      </c>
      <c r="F870" s="1">
        <v>96</v>
      </c>
      <c r="G870" s="1">
        <v>4320</v>
      </c>
      <c r="H870" s="1" t="str">
        <f>"96/05/28"</f>
        <v>96/05/28</v>
      </c>
      <c r="I870" s="1" t="str">
        <f>"كيلوگرم"</f>
        <v>كيلوگرم</v>
      </c>
      <c r="J870" s="1" t="str">
        <f>"0000000091"</f>
        <v>0000000091</v>
      </c>
      <c r="K870" s="1" t="str">
        <f>"قير  PG64-22"</f>
        <v>قير  PG64-22</v>
      </c>
      <c r="L870" s="1">
        <v>100</v>
      </c>
      <c r="M870" s="1" t="str">
        <f>"مخازن قير اصفهان"</f>
        <v>مخازن قير اصفهان</v>
      </c>
      <c r="N870" s="1">
        <v>4026</v>
      </c>
      <c r="O870" s="1">
        <v>50035730</v>
      </c>
      <c r="P870" s="1" t="str">
        <f>"  اداره كل راه و شهرسازي خراسان رضوي"</f>
        <v xml:space="preserve">  اداره كل راه و شهرسازي خراسان رضوي</v>
      </c>
      <c r="Q870" s="1">
        <v>17</v>
      </c>
      <c r="R870" s="1" t="str">
        <f>"فروش داخلي تهران - وزارت راه - راه روستايي - روکش"</f>
        <v>فروش داخلي تهران - وزارت راه - راه روستايي - روکش</v>
      </c>
      <c r="S870" s="1" t="str">
        <f>"قرارداد فروش"</f>
        <v>قرارداد فروش</v>
      </c>
      <c r="T870" s="1" t="str">
        <f>"ندارد"</f>
        <v>ندارد</v>
      </c>
      <c r="U870" s="1" t="str">
        <f>"حسيني سيدجواد(1841076)"</f>
        <v>حسيني سيدجواد(1841076)</v>
      </c>
      <c r="V870" s="1">
        <v>961700072</v>
      </c>
      <c r="W870" s="1">
        <v>961700072</v>
      </c>
      <c r="X870" s="1" t="str">
        <f>"1396506333"</f>
        <v>1396506333</v>
      </c>
      <c r="Y870" s="1" t="str">
        <f>"96/05/28"</f>
        <v>96/05/28</v>
      </c>
      <c r="Z870" s="1" t="str">
        <f>"25360/710"</f>
        <v>25360/710</v>
      </c>
      <c r="AA870" s="1" t="str">
        <f>"راه روستائي -روكش"</f>
        <v>راه روستائي -روكش</v>
      </c>
      <c r="AB870" s="1" t="str">
        <f>"96/05/25"</f>
        <v>96/05/25</v>
      </c>
      <c r="AC870" s="1" t="str">
        <f>"خراسان رضوي"</f>
        <v>خراسان رضوي</v>
      </c>
      <c r="AD870" s="1" t="str">
        <f>"96/05/28"</f>
        <v>96/05/28</v>
      </c>
      <c r="AE870" s="1" t="str">
        <f>"اختتام"</f>
        <v>اختتام</v>
      </c>
      <c r="AF870" s="1" t="str">
        <f>""</f>
        <v/>
      </c>
      <c r="AG870" s="1" t="str">
        <f>""</f>
        <v/>
      </c>
      <c r="AH870" s="1" t="str">
        <f>""</f>
        <v/>
      </c>
      <c r="AI870" s="1" t="str">
        <f>""</f>
        <v/>
      </c>
      <c r="AJ870" s="1" t="str">
        <f>""</f>
        <v/>
      </c>
      <c r="AK870" s="1" t="str">
        <f>""</f>
        <v/>
      </c>
    </row>
    <row r="871" spans="1:37">
      <c r="A871" s="1">
        <v>1000000</v>
      </c>
      <c r="B871" s="1">
        <v>961800052</v>
      </c>
      <c r="C871" s="1" t="str">
        <f>"تخليه -كرمانشاه -كنارگذرشرقي كرمانشاه -جهادنصركرمانشاه"</f>
        <v>تخليه -كرمانشاه -كنارگذرشرقي كرمانشاه -جهادنصركرمانشاه</v>
      </c>
      <c r="D871" s="1">
        <v>12970</v>
      </c>
      <c r="E871" s="1">
        <v>998820</v>
      </c>
      <c r="F871" s="1">
        <v>96</v>
      </c>
      <c r="G871" s="1">
        <v>1180</v>
      </c>
      <c r="H871" s="1" t="str">
        <f>"96/07/05"</f>
        <v>96/07/05</v>
      </c>
      <c r="I871" s="1" t="str">
        <f>"كيلوگرم"</f>
        <v>كيلوگرم</v>
      </c>
      <c r="J871" s="1" t="str">
        <f>"0000000091"</f>
        <v>0000000091</v>
      </c>
      <c r="K871" s="1" t="str">
        <f>"قير  PG64-22"</f>
        <v>قير  PG64-22</v>
      </c>
      <c r="L871" s="1">
        <v>100</v>
      </c>
      <c r="M871" s="1" t="str">
        <f>"مخازن قير اصفهان"</f>
        <v>مخازن قير اصفهان</v>
      </c>
      <c r="N871" s="1">
        <v>4039</v>
      </c>
      <c r="O871" s="1">
        <v>50036316</v>
      </c>
      <c r="P871" s="1" t="str">
        <f>"  جهاد نصركرمانشاه(2912047)"</f>
        <v xml:space="preserve">  جهاد نصركرمانشاه(2912047)</v>
      </c>
      <c r="Q871" s="1">
        <v>18</v>
      </c>
      <c r="R871" s="1" t="str">
        <f>"فروش داخلي تهران - وزارت راه - شرکت ساخت و توسعه راهها"</f>
        <v>فروش داخلي تهران - وزارت راه - شرکت ساخت و توسعه راهها</v>
      </c>
      <c r="S871" s="1" t="str">
        <f>"قرارداد فروش"</f>
        <v>قرارداد فروش</v>
      </c>
      <c r="T871" s="1" t="str">
        <f>"ندارد"</f>
        <v>ندارد</v>
      </c>
      <c r="U871" s="1" t="str">
        <f>"عظيمي محمد(2842015)"</f>
        <v>عظيمي محمد(2842015)</v>
      </c>
      <c r="V871" s="1">
        <v>961800052</v>
      </c>
      <c r="W871" s="1">
        <v>961800052</v>
      </c>
      <c r="X871" s="1" t="str">
        <f>"1396514460"</f>
        <v>1396514460</v>
      </c>
      <c r="Y871" s="1" t="str">
        <f>"96/07/05"</f>
        <v>96/07/05</v>
      </c>
      <c r="Z871" s="1" t="str">
        <f>"31962/710"</f>
        <v>31962/710</v>
      </c>
      <c r="AA871" s="1" t="str">
        <f>"شركت  ساخت وتوسعه راهها"</f>
        <v>شركت  ساخت وتوسعه راهها</v>
      </c>
      <c r="AB871" s="1" t="str">
        <f>"96/06/28"</f>
        <v>96/06/28</v>
      </c>
      <c r="AC871" s="1" t="str">
        <f>"استان كرمانشاه"</f>
        <v>استان كرمانشاه</v>
      </c>
      <c r="AD871" s="1" t="str">
        <f>"96/07/03"</f>
        <v>96/07/03</v>
      </c>
      <c r="AE871" s="1" t="str">
        <f>"اختتام"</f>
        <v>اختتام</v>
      </c>
      <c r="AF871" s="1" t="str">
        <f>""</f>
        <v/>
      </c>
      <c r="AG871" s="1" t="str">
        <f>""</f>
        <v/>
      </c>
      <c r="AH871" s="1" t="str">
        <f>""</f>
        <v/>
      </c>
      <c r="AI871" s="1" t="str">
        <f>""</f>
        <v/>
      </c>
      <c r="AJ871" s="1" t="str">
        <f>""</f>
        <v/>
      </c>
      <c r="AK871" s="1" t="str">
        <f>""</f>
        <v/>
      </c>
    </row>
    <row r="872" spans="1:37">
      <c r="A872" s="1">
        <v>277000</v>
      </c>
      <c r="B872" s="1">
        <v>961700002</v>
      </c>
      <c r="C872" s="1" t="str">
        <f>"تخليه كرمان پروژه مشاركتي شهرداري زيدآبادكارخانه آسفالت سيرجان بتن عرشه"</f>
        <v>تخليه كرمان پروژه مشاركتي شهرداري زيدآبادكارخانه آسفالت سيرجان بتن عرشه</v>
      </c>
      <c r="D872" s="1">
        <v>9068</v>
      </c>
      <c r="E872" s="1">
        <v>276060</v>
      </c>
      <c r="F872" s="1">
        <v>96</v>
      </c>
      <c r="G872" s="1">
        <v>940</v>
      </c>
      <c r="H872" s="1" t="str">
        <f>"96/01/16"</f>
        <v>96/01/16</v>
      </c>
      <c r="I872" s="1" t="str">
        <f>"كيلوگرم"</f>
        <v>كيلوگرم</v>
      </c>
      <c r="J872" s="1" t="str">
        <f>"0000000091"</f>
        <v>0000000091</v>
      </c>
      <c r="K872" s="1" t="str">
        <f>"قير  PG64-22"</f>
        <v>قير  PG64-22</v>
      </c>
      <c r="L872" s="1">
        <v>100</v>
      </c>
      <c r="M872" s="1" t="str">
        <f>"مخازن قير اصفهان"</f>
        <v>مخازن قير اصفهان</v>
      </c>
      <c r="N872" s="1">
        <v>7034</v>
      </c>
      <c r="O872" s="1">
        <v>50034399</v>
      </c>
      <c r="P872" s="1" t="str">
        <f>"  اداره كل راه وشهرسازي كرمان"</f>
        <v xml:space="preserve">  اداره كل راه وشهرسازي كرمان</v>
      </c>
      <c r="Q872" s="1">
        <v>17</v>
      </c>
      <c r="R872" s="1" t="str">
        <f>"فروش داخلي تهران - وزارت راه - راه روستايي - روکش"</f>
        <v>فروش داخلي تهران - وزارت راه - راه روستايي - روکش</v>
      </c>
      <c r="S872" s="1" t="str">
        <f>"قرارداد فروش"</f>
        <v>قرارداد فروش</v>
      </c>
      <c r="T872" s="1" t="str">
        <f>"ندارد"</f>
        <v>ندارد</v>
      </c>
      <c r="U872" s="1" t="str">
        <f>"حاصليان ترابرجنوب مرتضي حاصلي (4844006)"</f>
        <v>حاصليان ترابرجنوب مرتضي حاصلي (4844006)</v>
      </c>
      <c r="V872" s="1">
        <v>961700002</v>
      </c>
      <c r="W872" s="1">
        <v>961700002</v>
      </c>
      <c r="X872" s="1" t="str">
        <f>"1395470943"</f>
        <v>1395470943</v>
      </c>
      <c r="Y872" s="1" t="str">
        <f>"96/01/16"</f>
        <v>96/01/16</v>
      </c>
      <c r="Z872" s="1" t="str">
        <f>"65860/710"</f>
        <v>65860/710</v>
      </c>
      <c r="AA872" s="1" t="str">
        <f>"راه روستائي -روكش"</f>
        <v>راه روستائي -روكش</v>
      </c>
      <c r="AB872" s="1" t="str">
        <f>"95/12/22"</f>
        <v>95/12/22</v>
      </c>
      <c r="AC872" s="1" t="str">
        <f>"استان كرمان"</f>
        <v>استان كرمان</v>
      </c>
      <c r="AD872" s="1" t="str">
        <f>"95/12/24"</f>
        <v>95/12/24</v>
      </c>
      <c r="AE872" s="1" t="str">
        <f>"اختتام"</f>
        <v>اختتام</v>
      </c>
      <c r="AF872" s="1" t="str">
        <f>""</f>
        <v/>
      </c>
      <c r="AG872" s="1" t="str">
        <f>""</f>
        <v/>
      </c>
      <c r="AH872" s="1" t="str">
        <f>""</f>
        <v/>
      </c>
      <c r="AI872" s="1" t="str">
        <f>""</f>
        <v/>
      </c>
      <c r="AJ872" s="1" t="str">
        <f>""</f>
        <v/>
      </c>
      <c r="AK872" s="1" t="str">
        <f>""</f>
        <v/>
      </c>
    </row>
    <row r="873" spans="1:37">
      <c r="A873" s="1">
        <v>41000</v>
      </c>
      <c r="B873" s="1">
        <v>961700004</v>
      </c>
      <c r="C873" s="1" t="str">
        <f>"تخليه كرمان سيرجان  كارخانه آسفالت شركت اشكلن"</f>
        <v>تخليه كرمان سيرجان  كارخانه آسفالت شركت اشكلن</v>
      </c>
      <c r="D873" s="1">
        <v>9068</v>
      </c>
      <c r="E873" s="1">
        <v>39480</v>
      </c>
      <c r="F873" s="1">
        <v>96</v>
      </c>
      <c r="G873" s="1">
        <v>1520</v>
      </c>
      <c r="H873" s="1" t="str">
        <f>"96/01/16"</f>
        <v>96/01/16</v>
      </c>
      <c r="I873" s="1" t="str">
        <f>"كيلوگرم"</f>
        <v>كيلوگرم</v>
      </c>
      <c r="J873" s="1" t="str">
        <f>"0000000091"</f>
        <v>0000000091</v>
      </c>
      <c r="K873" s="1" t="str">
        <f>"قير  PG64-22"</f>
        <v>قير  PG64-22</v>
      </c>
      <c r="L873" s="1">
        <v>100</v>
      </c>
      <c r="M873" s="1" t="str">
        <f>"مخازن قير اصفهان"</f>
        <v>مخازن قير اصفهان</v>
      </c>
      <c r="N873" s="1">
        <v>7034</v>
      </c>
      <c r="O873" s="1">
        <v>50034402</v>
      </c>
      <c r="P873" s="1" t="str">
        <f>"  اداره كل راه وشهرسازي كرمان"</f>
        <v xml:space="preserve">  اداره كل راه وشهرسازي كرمان</v>
      </c>
      <c r="Q873" s="1">
        <v>17</v>
      </c>
      <c r="R873" s="1" t="str">
        <f>"فروش داخلي تهران - وزارت راه - راه روستايي - روکش"</f>
        <v>فروش داخلي تهران - وزارت راه - راه روستايي - روکش</v>
      </c>
      <c r="S873" s="1" t="str">
        <f>"قرارداد فروش"</f>
        <v>قرارداد فروش</v>
      </c>
      <c r="T873" s="1" t="str">
        <f>"ندارد"</f>
        <v>ندارد</v>
      </c>
      <c r="U873" s="1" t="str">
        <f>"خضرائي فريدون(4844003)"</f>
        <v>خضرائي فريدون(4844003)</v>
      </c>
      <c r="V873" s="1">
        <v>961700004</v>
      </c>
      <c r="W873" s="1">
        <v>961700004</v>
      </c>
      <c r="X873" s="1" t="str">
        <f>"1395470943"</f>
        <v>1395470943</v>
      </c>
      <c r="Y873" s="1" t="str">
        <f>"96/01/16"</f>
        <v>96/01/16</v>
      </c>
      <c r="Z873" s="1" t="str">
        <f>"65850/710"</f>
        <v>65850/710</v>
      </c>
      <c r="AA873" s="1" t="str">
        <f>"راه روستائي -روكش"</f>
        <v>راه روستائي -روكش</v>
      </c>
      <c r="AB873" s="1" t="str">
        <f>"95/12/22"</f>
        <v>95/12/22</v>
      </c>
      <c r="AC873" s="1" t="str">
        <f>"استان سيستان بلوچستان"</f>
        <v>استان سيستان بلوچستان</v>
      </c>
      <c r="AD873" s="1" t="str">
        <f>"95/12/24"</f>
        <v>95/12/24</v>
      </c>
      <c r="AE873" s="1" t="str">
        <f>"اختتام"</f>
        <v>اختتام</v>
      </c>
      <c r="AF873" s="1" t="str">
        <f>""</f>
        <v/>
      </c>
      <c r="AG873" s="1" t="str">
        <f>""</f>
        <v/>
      </c>
      <c r="AH873" s="1" t="str">
        <f>""</f>
        <v/>
      </c>
      <c r="AI873" s="1" t="str">
        <f>""</f>
        <v/>
      </c>
      <c r="AJ873" s="1" t="str">
        <f>""</f>
        <v/>
      </c>
      <c r="AK873" s="1" t="str">
        <f>""</f>
        <v/>
      </c>
    </row>
    <row r="874" spans="1:37">
      <c r="A874" s="1">
        <v>51000</v>
      </c>
      <c r="B874" s="1">
        <v>961700005</v>
      </c>
      <c r="C874" s="1" t="str">
        <f>"تخليه كرمان سيرجان  كارخانه آسفالت شركت اشكلن"</f>
        <v>تخليه كرمان سيرجان  كارخانه آسفالت شركت اشكلن</v>
      </c>
      <c r="D874" s="1">
        <v>9068</v>
      </c>
      <c r="E874" s="1">
        <v>48020</v>
      </c>
      <c r="F874" s="1">
        <v>96</v>
      </c>
      <c r="G874" s="1">
        <v>2980</v>
      </c>
      <c r="H874" s="1" t="str">
        <f>"96/01/16"</f>
        <v>96/01/16</v>
      </c>
      <c r="I874" s="1" t="str">
        <f>"كيلوگرم"</f>
        <v>كيلوگرم</v>
      </c>
      <c r="J874" s="1" t="str">
        <f>"0000000091"</f>
        <v>0000000091</v>
      </c>
      <c r="K874" s="1" t="str">
        <f>"قير  PG64-22"</f>
        <v>قير  PG64-22</v>
      </c>
      <c r="L874" s="1">
        <v>100</v>
      </c>
      <c r="M874" s="1" t="str">
        <f>"مخازن قير اصفهان"</f>
        <v>مخازن قير اصفهان</v>
      </c>
      <c r="N874" s="1">
        <v>7034</v>
      </c>
      <c r="O874" s="1">
        <v>50034403</v>
      </c>
      <c r="P874" s="1" t="str">
        <f>"  اداره كل راه وشهرسازي كرمان"</f>
        <v xml:space="preserve">  اداره كل راه وشهرسازي كرمان</v>
      </c>
      <c r="Q874" s="1">
        <v>17</v>
      </c>
      <c r="R874" s="1" t="str">
        <f>"فروش داخلي تهران - وزارت راه - راه روستايي - روکش"</f>
        <v>فروش داخلي تهران - وزارت راه - راه روستايي - روکش</v>
      </c>
      <c r="S874" s="1" t="str">
        <f>"قرارداد فروش"</f>
        <v>قرارداد فروش</v>
      </c>
      <c r="T874" s="1" t="str">
        <f>"ندارد"</f>
        <v>ندارد</v>
      </c>
      <c r="U874" s="1" t="str">
        <f>"خضرائي فريدون(4844003)"</f>
        <v>خضرائي فريدون(4844003)</v>
      </c>
      <c r="V874" s="1">
        <v>961700005</v>
      </c>
      <c r="W874" s="1">
        <v>961700005</v>
      </c>
      <c r="X874" s="1" t="str">
        <f>"1395470943"</f>
        <v>1395470943</v>
      </c>
      <c r="Y874" s="1" t="str">
        <f>"96/01/16"</f>
        <v>96/01/16</v>
      </c>
      <c r="Z874" s="1" t="str">
        <f>"65863/710"</f>
        <v>65863/710</v>
      </c>
      <c r="AA874" s="1" t="str">
        <f>"راه روستائي -روكش"</f>
        <v>راه روستائي -روكش</v>
      </c>
      <c r="AB874" s="1" t="str">
        <f>"95/12/22"</f>
        <v>95/12/22</v>
      </c>
      <c r="AC874" s="1" t="str">
        <f>"استان كرمان"</f>
        <v>استان كرمان</v>
      </c>
      <c r="AD874" s="1" t="str">
        <f>"95/12/24"</f>
        <v>95/12/24</v>
      </c>
      <c r="AE874" s="1" t="str">
        <f>"اختتام"</f>
        <v>اختتام</v>
      </c>
      <c r="AF874" s="1" t="str">
        <f>""</f>
        <v/>
      </c>
      <c r="AG874" s="1" t="str">
        <f>""</f>
        <v/>
      </c>
      <c r="AH874" s="1" t="str">
        <f>""</f>
        <v/>
      </c>
      <c r="AI874" s="1" t="str">
        <f>""</f>
        <v/>
      </c>
      <c r="AJ874" s="1" t="str">
        <f>""</f>
        <v/>
      </c>
      <c r="AK874" s="1" t="str">
        <f>""</f>
        <v/>
      </c>
    </row>
    <row r="875" spans="1:37">
      <c r="A875" s="1">
        <v>60000</v>
      </c>
      <c r="B875" s="1">
        <v>961700006</v>
      </c>
      <c r="C875" s="1" t="str">
        <f>"تخليه -كرمان محوررفسنجان -يزدشركت پ بل"</f>
        <v>تخليه -كرمان محوررفسنجان -يزدشركت پ بل</v>
      </c>
      <c r="D875" s="1">
        <v>9068</v>
      </c>
      <c r="E875" s="1">
        <v>59360</v>
      </c>
      <c r="F875" s="1">
        <v>96</v>
      </c>
      <c r="G875" s="1">
        <v>640</v>
      </c>
      <c r="H875" s="1" t="str">
        <f>"96/01/16"</f>
        <v>96/01/16</v>
      </c>
      <c r="I875" s="1" t="str">
        <f>"كيلوگرم"</f>
        <v>كيلوگرم</v>
      </c>
      <c r="J875" s="1" t="str">
        <f>"0000000091"</f>
        <v>0000000091</v>
      </c>
      <c r="K875" s="1" t="str">
        <f>"قير  PG64-22"</f>
        <v>قير  PG64-22</v>
      </c>
      <c r="L875" s="1">
        <v>100</v>
      </c>
      <c r="M875" s="1" t="str">
        <f>"مخازن قير اصفهان"</f>
        <v>مخازن قير اصفهان</v>
      </c>
      <c r="N875" s="1">
        <v>7034</v>
      </c>
      <c r="O875" s="1">
        <v>50034404</v>
      </c>
      <c r="P875" s="1" t="str">
        <f>"  اداره كل راه وشهرسازي كرمان"</f>
        <v xml:space="preserve">  اداره كل راه وشهرسازي كرمان</v>
      </c>
      <c r="Q875" s="1">
        <v>17</v>
      </c>
      <c r="R875" s="1" t="str">
        <f>"فروش داخلي تهران - وزارت راه - راه روستايي - روکش"</f>
        <v>فروش داخلي تهران - وزارت راه - راه روستايي - روکش</v>
      </c>
      <c r="S875" s="1" t="str">
        <f>"قرارداد فروش"</f>
        <v>قرارداد فروش</v>
      </c>
      <c r="T875" s="1" t="str">
        <f>"ندارد"</f>
        <v>ندارد</v>
      </c>
      <c r="U875" s="1" t="str">
        <f>"خضرائي فريدون(4844003)"</f>
        <v>خضرائي فريدون(4844003)</v>
      </c>
      <c r="V875" s="1">
        <v>961700006</v>
      </c>
      <c r="W875" s="1">
        <v>961700006</v>
      </c>
      <c r="X875" s="1" t="str">
        <f>"1395470943"</f>
        <v>1395470943</v>
      </c>
      <c r="Y875" s="1" t="str">
        <f>"96/01/16"</f>
        <v>96/01/16</v>
      </c>
      <c r="Z875" s="1" t="str">
        <f>"65852/710"</f>
        <v>65852/710</v>
      </c>
      <c r="AA875" s="1" t="str">
        <f>"راه روستائي -روكش"</f>
        <v>راه روستائي -روكش</v>
      </c>
      <c r="AB875" s="1" t="str">
        <f>"95/12/22"</f>
        <v>95/12/22</v>
      </c>
      <c r="AC875" s="1" t="str">
        <f>"استان كرمان"</f>
        <v>استان كرمان</v>
      </c>
      <c r="AD875" s="1" t="str">
        <f>"95/12/24"</f>
        <v>95/12/24</v>
      </c>
      <c r="AE875" s="1" t="str">
        <f>"اختتام"</f>
        <v>اختتام</v>
      </c>
      <c r="AF875" s="1" t="str">
        <f>""</f>
        <v/>
      </c>
      <c r="AG875" s="1" t="str">
        <f>""</f>
        <v/>
      </c>
      <c r="AH875" s="1" t="str">
        <f>""</f>
        <v/>
      </c>
      <c r="AI875" s="1" t="str">
        <f>""</f>
        <v/>
      </c>
      <c r="AJ875" s="1" t="str">
        <f>""</f>
        <v/>
      </c>
      <c r="AK875" s="1" t="str">
        <f>""</f>
        <v/>
      </c>
    </row>
    <row r="876" spans="1:37">
      <c r="A876" s="1">
        <v>168000</v>
      </c>
      <c r="B876" s="1">
        <v>961700018</v>
      </c>
      <c r="C876" s="1" t="str">
        <f>"تخليه - کرمان-شرکت سيرجان بتن راه"</f>
        <v>تخليه - کرمان-شرکت سيرجان بتن راه</v>
      </c>
      <c r="D876" s="1">
        <v>8854</v>
      </c>
      <c r="E876" s="1">
        <v>168000</v>
      </c>
      <c r="F876" s="1">
        <v>96</v>
      </c>
      <c r="G876" s="1">
        <v>0</v>
      </c>
      <c r="H876" s="1" t="str">
        <f>"96/03/13"</f>
        <v>96/03/13</v>
      </c>
      <c r="I876" s="1" t="str">
        <f>"كيلوگرم"</f>
        <v>كيلوگرم</v>
      </c>
      <c r="J876" s="1" t="str">
        <f>"0000000091"</f>
        <v>0000000091</v>
      </c>
      <c r="K876" s="1" t="str">
        <f>"قير  PG64-22"</f>
        <v>قير  PG64-22</v>
      </c>
      <c r="L876" s="1">
        <v>100</v>
      </c>
      <c r="M876" s="1" t="str">
        <f>"مخازن قير اصفهان"</f>
        <v>مخازن قير اصفهان</v>
      </c>
      <c r="N876" s="1">
        <v>7034</v>
      </c>
      <c r="O876" s="1">
        <v>50034960</v>
      </c>
      <c r="P876" s="1" t="str">
        <f>"  اداره كل راه وشهرسازي كرمان"</f>
        <v xml:space="preserve">  اداره كل راه وشهرسازي كرمان</v>
      </c>
      <c r="Q876" s="1">
        <v>17</v>
      </c>
      <c r="R876" s="1" t="str">
        <f>"فروش داخلي تهران - وزارت راه - راه روستايي - روکش"</f>
        <v>فروش داخلي تهران - وزارت راه - راه روستايي - روکش</v>
      </c>
      <c r="S876" s="1" t="str">
        <f>"قرارداد فروش"</f>
        <v>قرارداد فروش</v>
      </c>
      <c r="T876" s="1" t="str">
        <f>"ندارد"</f>
        <v>ندارد</v>
      </c>
      <c r="U876" s="1" t="str">
        <f>"حاصليان ترابرجنوب مرتضي حاصلي (4844006)"</f>
        <v>حاصليان ترابرجنوب مرتضي حاصلي (4844006)</v>
      </c>
      <c r="V876" s="1">
        <v>961700018</v>
      </c>
      <c r="W876" s="1">
        <v>961700018</v>
      </c>
      <c r="X876" s="1" t="str">
        <f>"1396485274"</f>
        <v>1396485274</v>
      </c>
      <c r="Y876" s="1" t="str">
        <f>"96/03/13"</f>
        <v>96/03/13</v>
      </c>
      <c r="Z876" s="1" t="str">
        <f>"10911/710"</f>
        <v>10911/710</v>
      </c>
      <c r="AA876" s="1" t="str">
        <f>"راه روستائي -روكش"</f>
        <v>راه روستائي -روكش</v>
      </c>
      <c r="AB876" s="1" t="str">
        <f>"96/03/09"</f>
        <v>96/03/09</v>
      </c>
      <c r="AC876" s="1" t="str">
        <f>"استان كرمان"</f>
        <v>استان كرمان</v>
      </c>
      <c r="AD876" s="1" t="str">
        <f>"96/03/13"</f>
        <v>96/03/13</v>
      </c>
      <c r="AE876" s="1" t="str">
        <f>"اختتام"</f>
        <v>اختتام</v>
      </c>
      <c r="AF876" s="1" t="str">
        <f>""</f>
        <v/>
      </c>
      <c r="AG876" s="1" t="str">
        <f>""</f>
        <v/>
      </c>
      <c r="AH876" s="1" t="str">
        <f>""</f>
        <v/>
      </c>
      <c r="AI876" s="1" t="str">
        <f>""</f>
        <v/>
      </c>
      <c r="AJ876" s="1" t="str">
        <f>""</f>
        <v/>
      </c>
      <c r="AK876" s="1" t="str">
        <f>""</f>
        <v/>
      </c>
    </row>
    <row r="877" spans="1:37">
      <c r="A877" s="1">
        <v>178000</v>
      </c>
      <c r="B877" s="1">
        <v>961700099</v>
      </c>
      <c r="C877" s="1" t="str">
        <f>"تخليه - کرمان-کارخانه آسفالت شهرداري ريحانشهر"</f>
        <v>تخليه - کرمان-کارخانه آسفالت شهرداري ريحانشهر</v>
      </c>
      <c r="D877" s="1">
        <v>13600</v>
      </c>
      <c r="E877" s="1">
        <v>176240</v>
      </c>
      <c r="F877" s="1">
        <v>96</v>
      </c>
      <c r="G877" s="1">
        <v>1760</v>
      </c>
      <c r="H877" s="1" t="str">
        <f>"96/06/22"</f>
        <v>96/06/22</v>
      </c>
      <c r="I877" s="1" t="str">
        <f>"كيلوگرم"</f>
        <v>كيلوگرم</v>
      </c>
      <c r="J877" s="1" t="str">
        <f>"0000000091"</f>
        <v>0000000091</v>
      </c>
      <c r="K877" s="1" t="str">
        <f>"قير  PG64-22"</f>
        <v>قير  PG64-22</v>
      </c>
      <c r="L877" s="1">
        <v>100</v>
      </c>
      <c r="M877" s="1" t="str">
        <f>"مخازن قير اصفهان"</f>
        <v>مخازن قير اصفهان</v>
      </c>
      <c r="N877" s="1">
        <v>7034</v>
      </c>
      <c r="O877" s="1">
        <v>50036025</v>
      </c>
      <c r="P877" s="1" t="str">
        <f>"  اداره كل راه وشهرسازي كرمان"</f>
        <v xml:space="preserve">  اداره كل راه وشهرسازي كرمان</v>
      </c>
      <c r="Q877" s="1">
        <v>17</v>
      </c>
      <c r="R877" s="1" t="str">
        <f>"فروش داخلي تهران - وزارت راه - راه روستايي - روکش"</f>
        <v>فروش داخلي تهران - وزارت راه - راه روستايي - روکش</v>
      </c>
      <c r="S877" s="1" t="str">
        <f>"قرارداد فروش"</f>
        <v>قرارداد فروش</v>
      </c>
      <c r="T877" s="1" t="str">
        <f>"ندارد"</f>
        <v>ندارد</v>
      </c>
      <c r="U877" s="1" t="str">
        <f>"دهقانيان بيژن (4954038)"</f>
        <v>دهقانيان بيژن (4954038)</v>
      </c>
      <c r="V877" s="1">
        <v>961700099</v>
      </c>
      <c r="W877" s="1">
        <v>961700099</v>
      </c>
      <c r="X877" s="1" t="str">
        <f>"1396512378"</f>
        <v>1396512378</v>
      </c>
      <c r="Y877" s="1" t="str">
        <f>"96/06/22"</f>
        <v>96/06/22</v>
      </c>
      <c r="Z877" s="1" t="str">
        <f>"30414/710"</f>
        <v>30414/710</v>
      </c>
      <c r="AA877" s="1" t="str">
        <f>"راه روستائي -روكش"</f>
        <v>راه روستائي -روكش</v>
      </c>
      <c r="AB877" s="1" t="str">
        <f>"96/06/21"</f>
        <v>96/06/21</v>
      </c>
      <c r="AC877" s="1" t="str">
        <f>"استان كرمان"</f>
        <v>استان كرمان</v>
      </c>
      <c r="AD877" s="1" t="str">
        <f>"96/06/22"</f>
        <v>96/06/22</v>
      </c>
      <c r="AE877" s="1" t="str">
        <f>"اختتام"</f>
        <v>اختتام</v>
      </c>
      <c r="AF877" s="1" t="str">
        <f>""</f>
        <v/>
      </c>
      <c r="AG877" s="1" t="str">
        <f>""</f>
        <v/>
      </c>
      <c r="AH877" s="1" t="str">
        <f>""</f>
        <v/>
      </c>
      <c r="AI877" s="1" t="str">
        <f>""</f>
        <v/>
      </c>
      <c r="AJ877" s="1" t="str">
        <f>""</f>
        <v/>
      </c>
      <c r="AK877" s="1" t="str">
        <f>""</f>
        <v/>
      </c>
    </row>
    <row r="878" spans="1:37">
      <c r="A878" s="1">
        <v>60000</v>
      </c>
      <c r="B878" s="1">
        <v>961700166</v>
      </c>
      <c r="C878" s="1" t="str">
        <f>"تخليه كرمان جاده يزدكرمان كارخانه آسفالت شركت زاويه ساز"</f>
        <v>تخليه كرمان جاده يزدكرمان كارخانه آسفالت شركت زاويه ساز</v>
      </c>
      <c r="D878" s="1">
        <v>13600</v>
      </c>
      <c r="E878" s="1">
        <v>60000</v>
      </c>
      <c r="F878" s="1">
        <v>96</v>
      </c>
      <c r="G878" s="1">
        <v>0</v>
      </c>
      <c r="H878" s="1" t="str">
        <f>"96/12/03"</f>
        <v>96/12/03</v>
      </c>
      <c r="I878" s="1" t="str">
        <f>"كيلوگرم"</f>
        <v>كيلوگرم</v>
      </c>
      <c r="J878" s="1" t="str">
        <f>"0000000091"</f>
        <v>0000000091</v>
      </c>
      <c r="K878" s="1" t="str">
        <f>"قير  PG64-22"</f>
        <v>قير  PG64-22</v>
      </c>
      <c r="L878" s="1">
        <v>100</v>
      </c>
      <c r="M878" s="1" t="str">
        <f>"مخازن قير اصفهان"</f>
        <v>مخازن قير اصفهان</v>
      </c>
      <c r="N878" s="1">
        <v>7034</v>
      </c>
      <c r="O878" s="1">
        <v>50038583</v>
      </c>
      <c r="P878" s="1" t="str">
        <f>"  اداره كل راه وشهرسازي كرمان"</f>
        <v xml:space="preserve">  اداره كل راه وشهرسازي كرمان</v>
      </c>
      <c r="Q878" s="1">
        <v>17</v>
      </c>
      <c r="R878" s="1" t="str">
        <f>"فروش داخلي تهران - وزارت راه - راه روستايي - روکش"</f>
        <v>فروش داخلي تهران - وزارت راه - راه روستايي - روکش</v>
      </c>
      <c r="S878" s="1" t="str">
        <f>"قرارداد فروش"</f>
        <v>قرارداد فروش</v>
      </c>
      <c r="T878" s="1" t="str">
        <f>"ندارد"</f>
        <v>ندارد</v>
      </c>
      <c r="U878" s="1" t="str">
        <f>"قانعي محمدرضا(1011ج89)"</f>
        <v>قانعي محمدرضا(1011ج89)</v>
      </c>
      <c r="V878" s="1">
        <v>961700166</v>
      </c>
      <c r="W878" s="1">
        <v>961700166</v>
      </c>
      <c r="X878" s="1" t="str">
        <f>"1396549379"</f>
        <v>1396549379</v>
      </c>
      <c r="Y878" s="1" t="str">
        <f>"96/12/02"</f>
        <v>96/12/02</v>
      </c>
      <c r="Z878" s="1" t="str">
        <f>"48013/710"</f>
        <v>48013/710</v>
      </c>
      <c r="AA878" s="1" t="str">
        <f>"راه روستائي -روكش"</f>
        <v>راه روستائي -روكش</v>
      </c>
      <c r="AB878" s="1" t="str">
        <f>"96/09/19"</f>
        <v>96/09/19</v>
      </c>
      <c r="AC878" s="1" t="str">
        <f>"استان كرمان"</f>
        <v>استان كرمان</v>
      </c>
      <c r="AD878" s="1" t="str">
        <f>"96/11/30"</f>
        <v>96/11/30</v>
      </c>
      <c r="AE878" s="1" t="str">
        <f>"اختتام"</f>
        <v>اختتام</v>
      </c>
      <c r="AF878" s="1" t="str">
        <f>""</f>
        <v/>
      </c>
      <c r="AG878" s="1" t="str">
        <f>""</f>
        <v/>
      </c>
      <c r="AH878" s="1" t="str">
        <f>""</f>
        <v/>
      </c>
      <c r="AI878" s="1" t="str">
        <f>""</f>
        <v/>
      </c>
      <c r="AJ878" s="1" t="str">
        <f>""</f>
        <v/>
      </c>
      <c r="AK878" s="1" t="str">
        <f>""</f>
        <v/>
      </c>
    </row>
    <row r="879" spans="1:37">
      <c r="A879" s="1">
        <v>500000</v>
      </c>
      <c r="B879" s="1">
        <v>961800072</v>
      </c>
      <c r="C879" s="1" t="str">
        <f>"تخليه خراسان شمالي بجنوردكنارگذرشمالي بجنوردكارخانه آسفالت شركت مسكن وعمران آستان قدس رضوي"</f>
        <v>تخليه خراسان شمالي بجنوردكنارگذرشمالي بجنوردكارخانه آسفالت شركت مسكن وعمران آستان قدس رضوي</v>
      </c>
      <c r="D879" s="1">
        <v>13100</v>
      </c>
      <c r="E879" s="1">
        <v>500000</v>
      </c>
      <c r="F879" s="1">
        <v>96</v>
      </c>
      <c r="G879" s="1">
        <v>0</v>
      </c>
      <c r="H879" s="1" t="str">
        <f>"96/12/27"</f>
        <v>96/12/27</v>
      </c>
      <c r="I879" s="1" t="str">
        <f>"كيلوگرم"</f>
        <v>كيلوگرم</v>
      </c>
      <c r="J879" s="1" t="str">
        <f>"0000000091"</f>
        <v>0000000091</v>
      </c>
      <c r="K879" s="1" t="str">
        <f>"قير  PG64-22"</f>
        <v>قير  PG64-22</v>
      </c>
      <c r="L879" s="1">
        <v>100</v>
      </c>
      <c r="M879" s="1" t="str">
        <f>"مخازن قير اصفهان"</f>
        <v>مخازن قير اصفهان</v>
      </c>
      <c r="N879" s="1">
        <v>7091</v>
      </c>
      <c r="O879" s="1">
        <v>50039145</v>
      </c>
      <c r="P879" s="1" t="str">
        <f>"  مسكن وعمران قدس رضوي"</f>
        <v xml:space="preserve">  مسكن وعمران قدس رضوي</v>
      </c>
      <c r="Q879" s="1">
        <v>18</v>
      </c>
      <c r="R879" s="1" t="str">
        <f>"فروش داخلي تهران - وزارت راه - شرکت ساخت و توسعه راهها"</f>
        <v>فروش داخلي تهران - وزارت راه - شرکت ساخت و توسعه راهها</v>
      </c>
      <c r="S879" s="1" t="str">
        <f>"قرارداد فروش"</f>
        <v>قرارداد فروش</v>
      </c>
      <c r="T879" s="1" t="str">
        <f>"ندارد"</f>
        <v>ندارد</v>
      </c>
      <c r="U879" s="1" t="str">
        <f>"عابدي محمود(1018ج89)"</f>
        <v>عابدي محمود(1018ج89)</v>
      </c>
      <c r="V879" s="1">
        <v>961800072</v>
      </c>
      <c r="W879" s="1">
        <v>961800072</v>
      </c>
      <c r="X879" s="1" t="str">
        <f>"1396555509"</f>
        <v>1396555509</v>
      </c>
      <c r="Y879" s="1" t="str">
        <f>"96/12/27"</f>
        <v>96/12/27</v>
      </c>
      <c r="Z879" s="1" t="str">
        <f>"301889/870"</f>
        <v>301889/870</v>
      </c>
      <c r="AA879" s="1" t="str">
        <f>"شركت  ساخت وتوسعه راهها"</f>
        <v>شركت  ساخت وتوسعه راهها</v>
      </c>
      <c r="AB879" s="1" t="str">
        <f>"96/12/27"</f>
        <v>96/12/27</v>
      </c>
      <c r="AC879" s="1" t="str">
        <f>"خراسان شمالي"</f>
        <v>خراسان شمالي</v>
      </c>
      <c r="AD879" s="1" t="str">
        <f>"96/12/27"</f>
        <v>96/12/27</v>
      </c>
      <c r="AE879" s="1" t="str">
        <f>"اختتام"</f>
        <v>اختتام</v>
      </c>
      <c r="AF879" s="1" t="str">
        <f>""</f>
        <v/>
      </c>
      <c r="AG879" s="1" t="str">
        <f>""</f>
        <v/>
      </c>
      <c r="AH879" s="1" t="str">
        <f>""</f>
        <v/>
      </c>
      <c r="AI879" s="1" t="str">
        <f>""</f>
        <v/>
      </c>
      <c r="AJ879" s="1" t="str">
        <f>""</f>
        <v/>
      </c>
      <c r="AK879" s="1" t="str">
        <f>""</f>
        <v/>
      </c>
    </row>
    <row r="880" spans="1:37">
      <c r="A880" s="1">
        <v>217000</v>
      </c>
      <c r="B880" s="1">
        <v>961900178</v>
      </c>
      <c r="C880" s="1" t="str">
        <f>"تخليه ايلام كيلومتر65جاده اسلام آبادغرب به طرف پلدخترنرسيده به شهرك توحيدكارخانه آسفالت آج راه غرب"</f>
        <v>تخليه ايلام كيلومتر65جاده اسلام آبادغرب به طرف پلدخترنرسيده به شهرك توحيدكارخانه آسفالت آج راه غرب</v>
      </c>
      <c r="D880" s="1">
        <v>12970</v>
      </c>
      <c r="E880" s="1">
        <v>216080</v>
      </c>
      <c r="F880" s="1">
        <v>96</v>
      </c>
      <c r="G880" s="1">
        <v>920</v>
      </c>
      <c r="H880" s="1" t="str">
        <f>"96/07/29"</f>
        <v>96/07/29</v>
      </c>
      <c r="I880" s="1" t="str">
        <f>"كيلوگرم"</f>
        <v>كيلوگرم</v>
      </c>
      <c r="J880" s="1" t="str">
        <f>"0000000091"</f>
        <v>0000000091</v>
      </c>
      <c r="K880" s="1" t="str">
        <f>"قير  PG64-22"</f>
        <v>قير  PG64-22</v>
      </c>
      <c r="L880" s="1">
        <v>100</v>
      </c>
      <c r="M880" s="1" t="str">
        <f>"مخازن قير اصفهان"</f>
        <v>مخازن قير اصفهان</v>
      </c>
      <c r="N880" s="1">
        <v>8293</v>
      </c>
      <c r="O880" s="1">
        <v>50036844</v>
      </c>
      <c r="P880" s="1" t="str">
        <f>"  آج راه غرب"</f>
        <v xml:space="preserve">  آج راه غرب</v>
      </c>
      <c r="Q880" s="1">
        <v>19</v>
      </c>
      <c r="R88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880" s="1" t="str">
        <f>"قرارداد فروش"</f>
        <v>قرارداد فروش</v>
      </c>
      <c r="T880" s="1" t="str">
        <f>"ندارد"</f>
        <v>ندارد</v>
      </c>
      <c r="U880" s="1" t="str">
        <f>"قره باغي مجيد(1871065)"</f>
        <v>قره باغي مجيد(1871065)</v>
      </c>
      <c r="V880" s="1">
        <v>961900178</v>
      </c>
      <c r="W880" s="1">
        <v>961900178</v>
      </c>
      <c r="X880" s="1" t="str">
        <f>"1396519914"</f>
        <v>1396519914</v>
      </c>
      <c r="Y880" s="1" t="str">
        <f>"96/07/29"</f>
        <v>96/07/29</v>
      </c>
      <c r="Z880" s="1" t="str">
        <f>"36876/710"</f>
        <v>36876/710</v>
      </c>
      <c r="AA880" s="1" t="str">
        <f>"سازمان راهداري وحمل نقل جاده اي"</f>
        <v>سازمان راهداري وحمل نقل جاده اي</v>
      </c>
      <c r="AB880" s="1" t="str">
        <f>"96/07/25"</f>
        <v>96/07/25</v>
      </c>
      <c r="AC880" s="1" t="str">
        <f>"استان كرمانشاه"</f>
        <v>استان كرمانشاه</v>
      </c>
      <c r="AD880" s="1" t="str">
        <f>"96/07/26"</f>
        <v>96/07/26</v>
      </c>
      <c r="AE880" s="1" t="str">
        <f>"اختتام"</f>
        <v>اختتام</v>
      </c>
      <c r="AF880" s="1" t="str">
        <f>""</f>
        <v/>
      </c>
      <c r="AG880" s="1" t="str">
        <f>""</f>
        <v/>
      </c>
      <c r="AH880" s="1" t="str">
        <f>""</f>
        <v/>
      </c>
      <c r="AI880" s="1" t="str">
        <f>""</f>
        <v/>
      </c>
      <c r="AJ880" s="1" t="str">
        <f>""</f>
        <v/>
      </c>
      <c r="AK880" s="1" t="str">
        <f>""</f>
        <v/>
      </c>
    </row>
    <row r="881" spans="1:37">
      <c r="A881" s="1">
        <v>500000</v>
      </c>
      <c r="B881" s="1">
        <v>961700170</v>
      </c>
      <c r="C881" s="1" t="str">
        <f>"تخليه -لرستان -كمربندي جاده انديمشك -خرم آباد-بعدازپل باباحسين كيلومتر1جاده پيري جدكارخانه آسفالت سپهربستر"</f>
        <v>تخليه -لرستان -كمربندي جاده انديمشك -خرم آباد-بعدازپل باباحسين كيلومتر1جاده پيري جدكارخانه آسفالت سپهربستر</v>
      </c>
      <c r="D881" s="1">
        <v>13600</v>
      </c>
      <c r="E881" s="1">
        <v>498840</v>
      </c>
      <c r="F881" s="1">
        <v>96</v>
      </c>
      <c r="G881" s="1">
        <v>1160</v>
      </c>
      <c r="H881" s="1" t="str">
        <f>"96/12/03"</f>
        <v>96/12/03</v>
      </c>
      <c r="I881" s="1" t="str">
        <f>"كيلوگرم"</f>
        <v>كيلوگرم</v>
      </c>
      <c r="J881" s="1" t="str">
        <f>"0000000091"</f>
        <v>0000000091</v>
      </c>
      <c r="K881" s="1" t="str">
        <f>"قير  PG64-22"</f>
        <v>قير  PG64-22</v>
      </c>
      <c r="L881" s="1">
        <v>100</v>
      </c>
      <c r="M881" s="1" t="str">
        <f>"مخازن قير اصفهان"</f>
        <v>مخازن قير اصفهان</v>
      </c>
      <c r="N881" s="1">
        <v>8305</v>
      </c>
      <c r="O881" s="1">
        <v>50038590</v>
      </c>
      <c r="P881" s="1" t="str">
        <f>"  سپهربستر"</f>
        <v xml:space="preserve">  سپهربستر</v>
      </c>
      <c r="Q881" s="1">
        <v>17</v>
      </c>
      <c r="R881" s="1" t="str">
        <f>"فروش داخلي تهران - وزارت راه - راه روستايي - روکش"</f>
        <v>فروش داخلي تهران - وزارت راه - راه روستايي - روکش</v>
      </c>
      <c r="S881" s="1" t="str">
        <f>"قرارداد فروش"</f>
        <v>قرارداد فروش</v>
      </c>
      <c r="T881" s="1" t="str">
        <f>"ندارد"</f>
        <v>ندارد</v>
      </c>
      <c r="U881" s="1" t="str">
        <f>"حاصليان ترابرجنوب مرتضي حاصلي (4844006)"</f>
        <v>حاصليان ترابرجنوب مرتضي حاصلي (4844006)</v>
      </c>
      <c r="V881" s="1">
        <v>961700170</v>
      </c>
      <c r="W881" s="1">
        <v>961700170</v>
      </c>
      <c r="X881" s="1" t="str">
        <f>"1396549380"</f>
        <v>1396549380</v>
      </c>
      <c r="Y881" s="1" t="str">
        <f>"96/12/02"</f>
        <v>96/12/02</v>
      </c>
      <c r="Z881" s="1" t="str">
        <f>"47275/710"</f>
        <v>47275/710</v>
      </c>
      <c r="AA881" s="1" t="str">
        <f>"راه روستائي -روكش"</f>
        <v>راه روستائي -روكش</v>
      </c>
      <c r="AB881" s="1" t="str">
        <f>"96/09/14"</f>
        <v>96/09/14</v>
      </c>
      <c r="AC881" s="1" t="str">
        <f>"لرستان"</f>
        <v>لرستان</v>
      </c>
      <c r="AD881" s="1" t="str">
        <f>"96/11/30"</f>
        <v>96/11/30</v>
      </c>
      <c r="AE881" s="1" t="str">
        <f>"اختتام"</f>
        <v>اختتام</v>
      </c>
      <c r="AF881" s="1" t="str">
        <f>""</f>
        <v/>
      </c>
      <c r="AG881" s="1" t="str">
        <f>""</f>
        <v/>
      </c>
      <c r="AH881" s="1" t="str">
        <f>""</f>
        <v/>
      </c>
      <c r="AI881" s="1" t="str">
        <f>""</f>
        <v/>
      </c>
      <c r="AJ881" s="1" t="str">
        <f>""</f>
        <v/>
      </c>
      <c r="AK881" s="1" t="str">
        <f>""</f>
        <v/>
      </c>
    </row>
    <row r="882" spans="1:37">
      <c r="A882" s="1">
        <v>800000</v>
      </c>
      <c r="B882" s="1">
        <v>961800019</v>
      </c>
      <c r="C882" s="1" t="str">
        <f>"تخليه - خراسان شمالي - پروژه کنارگذر فاروج -کارخانه آسفالت دهاق"</f>
        <v>تخليه - خراسان شمالي - پروژه کنارگذر فاروج -کارخانه آسفالت دهاق</v>
      </c>
      <c r="D882" s="1">
        <v>8904</v>
      </c>
      <c r="E882" s="1">
        <v>798600</v>
      </c>
      <c r="F882" s="1">
        <v>96</v>
      </c>
      <c r="G882" s="1">
        <v>1400</v>
      </c>
      <c r="H882" s="1" t="str">
        <f>"96/05/03"</f>
        <v>96/05/03</v>
      </c>
      <c r="I882" s="1" t="str">
        <f>"كيلوگرم"</f>
        <v>كيلوگرم</v>
      </c>
      <c r="J882" s="1" t="str">
        <f>"0000000091"</f>
        <v>0000000091</v>
      </c>
      <c r="K882" s="1" t="str">
        <f>"قير  PG64-22"</f>
        <v>قير  PG64-22</v>
      </c>
      <c r="L882" s="1">
        <v>100</v>
      </c>
      <c r="M882" s="1" t="str">
        <f>"مخازن قير اصفهان"</f>
        <v>مخازن قير اصفهان</v>
      </c>
      <c r="N882" s="1">
        <v>8321</v>
      </c>
      <c r="O882" s="1">
        <v>50035341</v>
      </c>
      <c r="P882" s="1" t="str">
        <f>"  راهسازي دهاق"</f>
        <v xml:space="preserve">  راهسازي دهاق</v>
      </c>
      <c r="Q882" s="1">
        <v>18</v>
      </c>
      <c r="R882" s="1" t="str">
        <f>"فروش داخلي تهران - وزارت راه - شرکت ساخت و توسعه راهها"</f>
        <v>فروش داخلي تهران - وزارت راه - شرکت ساخت و توسعه راهها</v>
      </c>
      <c r="S882" s="1" t="str">
        <f>"قرارداد فروش"</f>
        <v>قرارداد فروش</v>
      </c>
      <c r="T882" s="1" t="str">
        <f>"ندارد"</f>
        <v>ندارد</v>
      </c>
      <c r="U882" s="1" t="str">
        <f>"ميهن دوست عبداله(2842010)"</f>
        <v>ميهن دوست عبداله(2842010)</v>
      </c>
      <c r="V882" s="1">
        <v>961800019</v>
      </c>
      <c r="W882" s="1">
        <v>961800019</v>
      </c>
      <c r="X882" s="1" t="str">
        <f>"1396499660"</f>
        <v>1396499660</v>
      </c>
      <c r="Y882" s="1" t="str">
        <f>"96/05/03"</f>
        <v>96/05/03</v>
      </c>
      <c r="Z882" s="1" t="str">
        <f>"20370/710"</f>
        <v>20370/710</v>
      </c>
      <c r="AA882" s="1" t="str">
        <f>"شركت  ساخت وتوسعه راهها"</f>
        <v>شركت  ساخت وتوسعه راهها</v>
      </c>
      <c r="AB882" s="1" t="str">
        <f>"96/05/01"</f>
        <v>96/05/01</v>
      </c>
      <c r="AC882" s="1" t="str">
        <f>"خراسان شمالي"</f>
        <v>خراسان شمالي</v>
      </c>
      <c r="AD882" s="1" t="str">
        <f>"96/05/03"</f>
        <v>96/05/03</v>
      </c>
      <c r="AE882" s="1" t="str">
        <f>"اختتام"</f>
        <v>اختتام</v>
      </c>
      <c r="AF882" s="1" t="str">
        <f>""</f>
        <v/>
      </c>
      <c r="AG882" s="1" t="str">
        <f>""</f>
        <v/>
      </c>
      <c r="AH882" s="1" t="str">
        <f>""</f>
        <v/>
      </c>
      <c r="AI882" s="1" t="str">
        <f>""</f>
        <v/>
      </c>
      <c r="AJ882" s="1" t="str">
        <f>""</f>
        <v/>
      </c>
      <c r="AK882" s="1" t="str">
        <f>""</f>
        <v/>
      </c>
    </row>
    <row r="883" spans="1:37">
      <c r="A883" s="1">
        <v>500000</v>
      </c>
      <c r="B883" s="1">
        <v>961900172</v>
      </c>
      <c r="C883" s="1" t="str">
        <f>"تخليه خراسان رضوي مشهدكيلومتر25جاده مشهدبه فريمان قبل ازروستاي سنگ بست كارخانه آسفالت سنگ بست"</f>
        <v>تخليه خراسان رضوي مشهدكيلومتر25جاده مشهدبه فريمان قبل ازروستاي سنگ بست كارخانه آسفالت سنگ بست</v>
      </c>
      <c r="D883" s="1">
        <v>13600</v>
      </c>
      <c r="E883" s="1">
        <v>499820</v>
      </c>
      <c r="F883" s="1">
        <v>96</v>
      </c>
      <c r="G883" s="1">
        <v>180</v>
      </c>
      <c r="H883" s="1" t="str">
        <f>"96/07/20"</f>
        <v>96/07/20</v>
      </c>
      <c r="I883" s="1" t="str">
        <f>"كيلوگرم"</f>
        <v>كيلوگرم</v>
      </c>
      <c r="J883" s="1" t="str">
        <f>"0000000091"</f>
        <v>0000000091</v>
      </c>
      <c r="K883" s="1" t="str">
        <f>"قير  PG64-22"</f>
        <v>قير  PG64-22</v>
      </c>
      <c r="L883" s="1">
        <v>100</v>
      </c>
      <c r="M883" s="1" t="str">
        <f>"مخازن قير اصفهان"</f>
        <v>مخازن قير اصفهان</v>
      </c>
      <c r="N883" s="1">
        <v>8333</v>
      </c>
      <c r="O883" s="1">
        <v>50036696</v>
      </c>
      <c r="P883" s="1" t="str">
        <f>"  گيتي گسترخاوران"</f>
        <v xml:space="preserve">  گيتي گسترخاوران</v>
      </c>
      <c r="Q883" s="1">
        <v>19</v>
      </c>
      <c r="R88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883" s="1" t="str">
        <f>"قرارداد فروش"</f>
        <v>قرارداد فروش</v>
      </c>
      <c r="T883" s="1" t="str">
        <f>"ندارد"</f>
        <v>ندارد</v>
      </c>
      <c r="U883" s="1" t="str">
        <f>"نظام دوست امين (1911102)"</f>
        <v>نظام دوست امين (1911102)</v>
      </c>
      <c r="V883" s="1">
        <v>961900172</v>
      </c>
      <c r="W883" s="1">
        <v>961900172</v>
      </c>
      <c r="X883" s="1" t="str">
        <f>"1396518388"</f>
        <v>1396518388</v>
      </c>
      <c r="Y883" s="1" t="str">
        <f>"96/07/20"</f>
        <v>96/07/20</v>
      </c>
      <c r="Z883" s="1" t="str">
        <f>"43345/710"</f>
        <v>43345/710</v>
      </c>
      <c r="AA883" s="1" t="str">
        <f>"سازمان راهداري وحمل نقل جاده اي"</f>
        <v>سازمان راهداري وحمل نقل جاده اي</v>
      </c>
      <c r="AB883" s="1" t="str">
        <f>"96/07/12"</f>
        <v>96/07/12</v>
      </c>
      <c r="AC883" s="1" t="str">
        <f>"خراسان رضوي"</f>
        <v>خراسان رضوي</v>
      </c>
      <c r="AD883" s="1" t="str">
        <f>"96/07/19"</f>
        <v>96/07/19</v>
      </c>
      <c r="AE883" s="1" t="str">
        <f>"اختتام"</f>
        <v>اختتام</v>
      </c>
      <c r="AF883" s="1" t="str">
        <f>""</f>
        <v/>
      </c>
      <c r="AG883" s="1" t="str">
        <f>""</f>
        <v/>
      </c>
      <c r="AH883" s="1" t="str">
        <f>""</f>
        <v/>
      </c>
      <c r="AI883" s="1" t="str">
        <f>""</f>
        <v/>
      </c>
      <c r="AJ883" s="1" t="str">
        <f>""</f>
        <v/>
      </c>
      <c r="AK883" s="1" t="str">
        <f>""</f>
        <v/>
      </c>
    </row>
    <row r="884" spans="1:37">
      <c r="A884" s="1">
        <v>830000</v>
      </c>
      <c r="B884" s="1">
        <v>961800066</v>
      </c>
      <c r="C884" s="1" t="str">
        <f>"تخليه -جاده تربت جام -تايباد15كيلومتري مانده به تايباد-استحكام انديش توس"</f>
        <v>تخليه -جاده تربت جام -تايباد15كيلومتري مانده به تايباد-استحكام انديش توس</v>
      </c>
      <c r="D884" s="1">
        <v>16350</v>
      </c>
      <c r="E884" s="1">
        <v>830000</v>
      </c>
      <c r="F884" s="1">
        <v>96</v>
      </c>
      <c r="G884" s="1">
        <v>0</v>
      </c>
      <c r="H884" s="1" t="str">
        <f>"96/07/18"</f>
        <v>96/07/18</v>
      </c>
      <c r="I884" s="1" t="str">
        <f>"كيلوگرم"</f>
        <v>كيلوگرم</v>
      </c>
      <c r="J884" s="1" t="str">
        <f>"0000000091"</f>
        <v>0000000091</v>
      </c>
      <c r="K884" s="1" t="str">
        <f>"قير  PG64-22"</f>
        <v>قير  PG64-22</v>
      </c>
      <c r="L884" s="1">
        <v>100</v>
      </c>
      <c r="M884" s="1" t="str">
        <f>"مخازن قير اصفهان"</f>
        <v>مخازن قير اصفهان</v>
      </c>
      <c r="N884" s="1">
        <v>8337</v>
      </c>
      <c r="O884" s="1">
        <v>50036656</v>
      </c>
      <c r="P884" s="1" t="str">
        <f>"  استحكام انديش توس"</f>
        <v xml:space="preserve">  استحكام انديش توس</v>
      </c>
      <c r="Q884" s="1">
        <v>18</v>
      </c>
      <c r="R884" s="1" t="str">
        <f>"فروش داخلي تهران - وزارت راه - شرکت ساخت و توسعه راهها"</f>
        <v>فروش داخلي تهران - وزارت راه - شرکت ساخت و توسعه راهها</v>
      </c>
      <c r="S884" s="1" t="str">
        <f>"قرارداد فروش"</f>
        <v>قرارداد فروش</v>
      </c>
      <c r="T884" s="1" t="str">
        <f>"ندارد"</f>
        <v>ندارد</v>
      </c>
      <c r="U884" s="1" t="str">
        <f>"نظام دوست امين (1911102)"</f>
        <v>نظام دوست امين (1911102)</v>
      </c>
      <c r="V884" s="1">
        <v>961800066</v>
      </c>
      <c r="W884" s="1">
        <v>961800066</v>
      </c>
      <c r="X884" s="1" t="str">
        <f>"1396517388"</f>
        <v>1396517388</v>
      </c>
      <c r="Y884" s="1" t="str">
        <f>"96/07/18"</f>
        <v>96/07/18</v>
      </c>
      <c r="Z884" s="1" t="str">
        <f>"34637/710"</f>
        <v>34637/710</v>
      </c>
      <c r="AA884" s="1" t="str">
        <f>"شركت  ساخت وتوسعه راهها"</f>
        <v>شركت  ساخت وتوسعه راهها</v>
      </c>
      <c r="AB884" s="1" t="str">
        <f>"96/07/15"</f>
        <v>96/07/15</v>
      </c>
      <c r="AC884" s="1" t="str">
        <f>"خراسان رضوي"</f>
        <v>خراسان رضوي</v>
      </c>
      <c r="AD884" s="1" t="str">
        <f>"96/07/17"</f>
        <v>96/07/17</v>
      </c>
      <c r="AE884" s="1" t="str">
        <f>"اختتام"</f>
        <v>اختتام</v>
      </c>
      <c r="AF884" s="1" t="str">
        <f>""</f>
        <v/>
      </c>
      <c r="AG884" s="1" t="str">
        <f>""</f>
        <v/>
      </c>
      <c r="AH884" s="1" t="str">
        <f>""</f>
        <v/>
      </c>
      <c r="AI884" s="1" t="str">
        <f>""</f>
        <v/>
      </c>
      <c r="AJ884" s="1" t="str">
        <f>""</f>
        <v/>
      </c>
      <c r="AK884" s="1" t="str">
        <f>""</f>
        <v/>
      </c>
    </row>
    <row r="885" spans="1:37">
      <c r="A885" s="1">
        <v>1740000</v>
      </c>
      <c r="B885" s="1">
        <v>961600005</v>
      </c>
      <c r="C885" s="1" t="str">
        <f>"تخليه -کهگيلويه و بويراحمد-کارخانه آسفالت شهرداري چرام"</f>
        <v>تخليه -کهگيلويه و بويراحمد-کارخانه آسفالت شهرداري چرام</v>
      </c>
      <c r="D885" s="1">
        <v>9354</v>
      </c>
      <c r="E885" s="1">
        <v>1739100</v>
      </c>
      <c r="F885" s="1">
        <v>96</v>
      </c>
      <c r="G885" s="1">
        <v>900</v>
      </c>
      <c r="H885" s="1" t="str">
        <f>"96/03/03"</f>
        <v>96/03/03</v>
      </c>
      <c r="I885" s="1" t="str">
        <f>"كيلوگرم"</f>
        <v>كيلوگرم</v>
      </c>
      <c r="J885" s="1" t="str">
        <f>"0000000091"</f>
        <v>0000000091</v>
      </c>
      <c r="K885" s="1" t="str">
        <f>"قير  PG64-22"</f>
        <v>قير  PG64-22</v>
      </c>
      <c r="L885" s="1">
        <v>100</v>
      </c>
      <c r="M885" s="1" t="str">
        <f>"مخازن قير اصفهان"</f>
        <v>مخازن قير اصفهان</v>
      </c>
      <c r="N885" s="1">
        <v>11367</v>
      </c>
      <c r="O885" s="1">
        <v>50034894</v>
      </c>
      <c r="P885" s="1" t="str">
        <f>"  راه و ساختمان روشن کاران ايلام"</f>
        <v xml:space="preserve">  راه و ساختمان روشن کاران ايلام</v>
      </c>
      <c r="Q885" s="1">
        <v>16</v>
      </c>
      <c r="R885" s="1" t="str">
        <f>"فروش داخلي تهران - وزارت راه - معاونت اقتصاد"</f>
        <v>فروش داخلي تهران - وزارت راه - معاونت اقتصاد</v>
      </c>
      <c r="S885" s="1" t="str">
        <f>"قرارداد فروش"</f>
        <v>قرارداد فروش</v>
      </c>
      <c r="T885" s="1" t="str">
        <f>"ندارد"</f>
        <v>ندارد</v>
      </c>
      <c r="U885" s="1" t="str">
        <f>"غلام نجفي سيامك‌‌‌‌‌‌(1881082)"</f>
        <v>غلام نجفي سيامك‌‌‌‌‌‌(1881082)</v>
      </c>
      <c r="V885" s="1">
        <v>961600005</v>
      </c>
      <c r="W885" s="1">
        <v>961600005</v>
      </c>
      <c r="X885" s="1" t="str">
        <f>"1396483415"</f>
        <v>1396483415</v>
      </c>
      <c r="Y885" s="1" t="str">
        <f>"96/03/03"</f>
        <v>96/03/03</v>
      </c>
      <c r="Z885" s="1" t="str">
        <f>"9099/710"</f>
        <v>9099/710</v>
      </c>
      <c r="AA885" s="1" t="str">
        <f>"معاونت اقتصادوزارت راه وشهرسازي"</f>
        <v>معاونت اقتصادوزارت راه وشهرسازي</v>
      </c>
      <c r="AB885" s="1" t="str">
        <f>"96/02/31"</f>
        <v>96/02/31</v>
      </c>
      <c r="AC885" s="1" t="str">
        <f>"كهكيلويه و بوير احمد"</f>
        <v>كهكيلويه و بوير احمد</v>
      </c>
      <c r="AD885" s="1" t="str">
        <f>"96/03/03"</f>
        <v>96/03/03</v>
      </c>
      <c r="AE885" s="1" t="str">
        <f>"اختتام"</f>
        <v>اختتام</v>
      </c>
      <c r="AF885" s="1" t="str">
        <f>""</f>
        <v/>
      </c>
      <c r="AG885" s="1" t="str">
        <f>""</f>
        <v/>
      </c>
      <c r="AH885" s="1" t="str">
        <f>""</f>
        <v/>
      </c>
      <c r="AI885" s="1" t="str">
        <f>""</f>
        <v/>
      </c>
      <c r="AJ885" s="1" t="str">
        <f>""</f>
        <v/>
      </c>
      <c r="AK885" s="1" t="str">
        <f>""</f>
        <v/>
      </c>
    </row>
    <row r="886" spans="1:37">
      <c r="A886" s="1">
        <v>450000</v>
      </c>
      <c r="B886" s="1">
        <v>961700060</v>
      </c>
      <c r="C886" s="1" t="str">
        <f>"تخليه - فارس-شيراز-کارخانه آسفالت شرکت سد سازه فارس"</f>
        <v>تخليه - فارس-شيراز-کارخانه آسفالت شرکت سد سازه فارس</v>
      </c>
      <c r="D886" s="1">
        <v>9204</v>
      </c>
      <c r="E886" s="1">
        <v>449000</v>
      </c>
      <c r="F886" s="1">
        <v>96</v>
      </c>
      <c r="G886" s="1">
        <v>1000</v>
      </c>
      <c r="H886" s="1" t="str">
        <f>"96/05/24"</f>
        <v>96/05/24</v>
      </c>
      <c r="I886" s="1" t="str">
        <f>"كيلوگرم"</f>
        <v>كيلوگرم</v>
      </c>
      <c r="J886" s="1" t="str">
        <f>"0000000091"</f>
        <v>0000000091</v>
      </c>
      <c r="K886" s="1" t="str">
        <f>"قير  PG64-22"</f>
        <v>قير  PG64-22</v>
      </c>
      <c r="L886" s="1">
        <v>100</v>
      </c>
      <c r="M886" s="1" t="str">
        <f>"مخازن قير اصفهان"</f>
        <v>مخازن قير اصفهان</v>
      </c>
      <c r="N886" s="1">
        <v>11391</v>
      </c>
      <c r="O886" s="1">
        <v>50035666</v>
      </c>
      <c r="P886" s="1" t="str">
        <f>"  ساختماني عمران تنگاب"</f>
        <v xml:space="preserve">  ساختماني عمران تنگاب</v>
      </c>
      <c r="Q886" s="1">
        <v>17</v>
      </c>
      <c r="R886" s="1" t="str">
        <f>"فروش داخلي تهران - وزارت راه - راه روستايي - روکش"</f>
        <v>فروش داخلي تهران - وزارت راه - راه روستايي - روکش</v>
      </c>
      <c r="S886" s="1" t="str">
        <f>"قرارداد فروش"</f>
        <v>قرارداد فروش</v>
      </c>
      <c r="T886" s="1" t="str">
        <f>"ندارد"</f>
        <v>ندارد</v>
      </c>
      <c r="U886" s="1" t="str">
        <f>"اژدري مسعود(4844011)"</f>
        <v>اژدري مسعود(4844011)</v>
      </c>
      <c r="V886" s="1">
        <v>961700060</v>
      </c>
      <c r="W886" s="1">
        <v>961700060</v>
      </c>
      <c r="X886" s="1" t="str">
        <f>"1396505524"</f>
        <v>1396505524</v>
      </c>
      <c r="Y886" s="1" t="str">
        <f>"96/05/24"</f>
        <v>96/05/24</v>
      </c>
      <c r="Z886" s="1" t="str">
        <f>"24741/710"</f>
        <v>24741/710</v>
      </c>
      <c r="AA886" s="1" t="str">
        <f>"راه روستائي -روكش"</f>
        <v>راه روستائي -روكش</v>
      </c>
      <c r="AB886" s="1" t="str">
        <f>"96/05/23"</f>
        <v>96/05/23</v>
      </c>
      <c r="AC886" s="1" t="str">
        <f>"استان فارس"</f>
        <v>استان فارس</v>
      </c>
      <c r="AD886" s="1" t="str">
        <f>"96/05/24"</f>
        <v>96/05/24</v>
      </c>
      <c r="AE886" s="1" t="str">
        <f>"اختتام"</f>
        <v>اختتام</v>
      </c>
      <c r="AF886" s="1" t="str">
        <f>""</f>
        <v/>
      </c>
      <c r="AG886" s="1" t="str">
        <f>""</f>
        <v/>
      </c>
      <c r="AH886" s="1" t="str">
        <f>""</f>
        <v/>
      </c>
      <c r="AI886" s="1" t="str">
        <f>""</f>
        <v/>
      </c>
      <c r="AJ886" s="1" t="str">
        <f>""</f>
        <v/>
      </c>
      <c r="AK886" s="1" t="str">
        <f>""</f>
        <v/>
      </c>
    </row>
    <row r="887" spans="1:37">
      <c r="A887" s="1">
        <v>128000</v>
      </c>
      <c r="B887" s="1">
        <v>961700101</v>
      </c>
      <c r="C887" s="1" t="str">
        <f>"تخليه - کرمانشاه-صحنه-کارخانه آسفالت زرين گستربيستون"</f>
        <v>تخليه - کرمانشاه-صحنه-کارخانه آسفالت زرين گستربيستون</v>
      </c>
      <c r="D887" s="1">
        <v>9363</v>
      </c>
      <c r="E887" s="1">
        <v>127160</v>
      </c>
      <c r="F887" s="1">
        <v>96</v>
      </c>
      <c r="G887" s="1">
        <v>840</v>
      </c>
      <c r="H887" s="1" t="str">
        <f>"96/06/26"</f>
        <v>96/06/26</v>
      </c>
      <c r="I887" s="1" t="str">
        <f>"كيلوگرم"</f>
        <v>كيلوگرم</v>
      </c>
      <c r="J887" s="1" t="str">
        <f>"0000000091"</f>
        <v>0000000091</v>
      </c>
      <c r="K887" s="1" t="str">
        <f>"قير  PG64-22"</f>
        <v>قير  PG64-22</v>
      </c>
      <c r="L887" s="1">
        <v>100</v>
      </c>
      <c r="M887" s="1" t="str">
        <f>"مخازن قير اصفهان"</f>
        <v>مخازن قير اصفهان</v>
      </c>
      <c r="N887" s="1">
        <v>11407</v>
      </c>
      <c r="O887" s="1">
        <v>50036066</v>
      </c>
      <c r="P887" s="1" t="str">
        <f>"  زاگرس آب دلفان"</f>
        <v xml:space="preserve">  زاگرس آب دلفان</v>
      </c>
      <c r="Q887" s="1">
        <v>17</v>
      </c>
      <c r="R887" s="1" t="str">
        <f>"فروش داخلي تهران - وزارت راه - راه روستايي - روکش"</f>
        <v>فروش داخلي تهران - وزارت راه - راه روستايي - روکش</v>
      </c>
      <c r="S887" s="1" t="str">
        <f>"قرارداد فروش"</f>
        <v>قرارداد فروش</v>
      </c>
      <c r="T887" s="1" t="str">
        <f>"ندارد"</f>
        <v>ندارد</v>
      </c>
      <c r="U887" s="1" t="str">
        <f>"پيرالي مجيد(1045ج 94)"</f>
        <v>پيرالي مجيد(1045ج 94)</v>
      </c>
      <c r="V887" s="1">
        <v>961700101</v>
      </c>
      <c r="W887" s="1">
        <v>961700101</v>
      </c>
      <c r="X887" s="1" t="str">
        <f>"1396512884"</f>
        <v>1396512884</v>
      </c>
      <c r="Y887" s="1" t="str">
        <f>"96/06/26"</f>
        <v>96/06/26</v>
      </c>
      <c r="Z887" s="1" t="str">
        <f>"29746/710"</f>
        <v>29746/710</v>
      </c>
      <c r="AA887" s="1" t="str">
        <f>"راه روستائي -روكش"</f>
        <v>راه روستائي -روكش</v>
      </c>
      <c r="AB887" s="1" t="str">
        <f>"96/06/15"</f>
        <v>96/06/15</v>
      </c>
      <c r="AC887" s="1" t="str">
        <f>"استان كرمانشاه"</f>
        <v>استان كرمانشاه</v>
      </c>
      <c r="AD887" s="1" t="str">
        <f>"96/06/26"</f>
        <v>96/06/26</v>
      </c>
      <c r="AE887" s="1" t="str">
        <f>"اختتام"</f>
        <v>اختتام</v>
      </c>
      <c r="AF887" s="1" t="str">
        <f>""</f>
        <v/>
      </c>
      <c r="AG887" s="1" t="str">
        <f>""</f>
        <v/>
      </c>
      <c r="AH887" s="1" t="str">
        <f>""</f>
        <v/>
      </c>
      <c r="AI887" s="1" t="str">
        <f>""</f>
        <v/>
      </c>
      <c r="AJ887" s="1" t="str">
        <f>""</f>
        <v/>
      </c>
      <c r="AK887" s="1" t="str">
        <f>""</f>
        <v/>
      </c>
    </row>
    <row r="888" spans="1:37">
      <c r="A888" s="1">
        <v>180000</v>
      </c>
      <c r="B888" s="1">
        <v>961900180</v>
      </c>
      <c r="C888" s="1" t="str">
        <f>"تخليه كهگيلويه وبويراحمدياسوج كارخانه آسفالت دارشاهي"</f>
        <v>تخليه كهگيلويه وبويراحمدياسوج كارخانه آسفالت دارشاهي</v>
      </c>
      <c r="D888" s="1">
        <v>9716</v>
      </c>
      <c r="E888" s="1">
        <v>179460</v>
      </c>
      <c r="F888" s="1">
        <v>96</v>
      </c>
      <c r="G888" s="1">
        <v>540</v>
      </c>
      <c r="H888" s="1" t="str">
        <f>"96/08/06"</f>
        <v>96/08/06</v>
      </c>
      <c r="I888" s="1" t="str">
        <f>"كيلوگرم"</f>
        <v>كيلوگرم</v>
      </c>
      <c r="J888" s="1" t="str">
        <f>"0000000091"</f>
        <v>0000000091</v>
      </c>
      <c r="K888" s="1" t="str">
        <f>"قير  PG64-22"</f>
        <v>قير  PG64-22</v>
      </c>
      <c r="L888" s="1">
        <v>100</v>
      </c>
      <c r="M888" s="1" t="str">
        <f>"مخازن قير اصفهان"</f>
        <v>مخازن قير اصفهان</v>
      </c>
      <c r="N888" s="1">
        <v>11485</v>
      </c>
      <c r="O888" s="1">
        <v>50036911</v>
      </c>
      <c r="P888" s="1" t="str">
        <f>"  موليان ياسوج"</f>
        <v xml:space="preserve">  موليان ياسوج</v>
      </c>
      <c r="Q888" s="1">
        <v>19</v>
      </c>
      <c r="R88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888" s="1" t="str">
        <f>"قرارداد فروش"</f>
        <v>قرارداد فروش</v>
      </c>
      <c r="T888" s="1" t="str">
        <f>"ندارد"</f>
        <v>ندارد</v>
      </c>
      <c r="U888" s="1" t="str">
        <f>"غلام نجفي سيامك‌‌‌‌‌‌(1881082)"</f>
        <v>غلام نجفي سيامك‌‌‌‌‌‌(1881082)</v>
      </c>
      <c r="V888" s="1">
        <v>961900180</v>
      </c>
      <c r="W888" s="1">
        <v>961900180</v>
      </c>
      <c r="X888" s="1" t="str">
        <f>"1396521787"</f>
        <v>1396521787</v>
      </c>
      <c r="Y888" s="1" t="str">
        <f>"96/08/06"</f>
        <v>96/08/06</v>
      </c>
      <c r="Z888" s="1" t="str">
        <f>"37153/710"</f>
        <v>37153/710</v>
      </c>
      <c r="AA888" s="1" t="str">
        <f>"سازمان راهداري وحمل نقل جاده اي"</f>
        <v>سازمان راهداري وحمل نقل جاده اي</v>
      </c>
      <c r="AB888" s="1" t="str">
        <f>"96/07/26"</f>
        <v>96/07/26</v>
      </c>
      <c r="AC888" s="1" t="str">
        <f>"كهكيلويه و بوير احمد"</f>
        <v>كهكيلويه و بوير احمد</v>
      </c>
      <c r="AD888" s="1" t="str">
        <f>"96/08/06"</f>
        <v>96/08/06</v>
      </c>
      <c r="AE888" s="1" t="str">
        <f>"اختتام"</f>
        <v>اختتام</v>
      </c>
      <c r="AF888" s="1" t="str">
        <f>""</f>
        <v/>
      </c>
      <c r="AG888" s="1" t="str">
        <f>""</f>
        <v/>
      </c>
      <c r="AH888" s="1" t="str">
        <f>""</f>
        <v/>
      </c>
      <c r="AI888" s="1" t="str">
        <f>""</f>
        <v/>
      </c>
      <c r="AJ888" s="1" t="str">
        <f>""</f>
        <v/>
      </c>
      <c r="AK888" s="1" t="str">
        <f>""</f>
        <v/>
      </c>
    </row>
    <row r="889" spans="1:37">
      <c r="A889" s="1">
        <v>270000</v>
      </c>
      <c r="B889" s="1">
        <v>961700144</v>
      </c>
      <c r="C889" s="1" t="str">
        <f>"تخليه كردستان سقزكيلومتر15جاده بوكان كارخانه آسفالت ماردين گستر"</f>
        <v>تخليه كردستان سقزكيلومتر15جاده بوكان كارخانه آسفالت ماردين گستر</v>
      </c>
      <c r="D889" s="1">
        <v>13600</v>
      </c>
      <c r="E889" s="1">
        <v>268700</v>
      </c>
      <c r="F889" s="1">
        <v>96</v>
      </c>
      <c r="G889" s="1">
        <v>1300</v>
      </c>
      <c r="H889" s="1" t="str">
        <f>"96/08/06"</f>
        <v>96/08/06</v>
      </c>
      <c r="I889" s="1" t="str">
        <f>"كيلوگرم"</f>
        <v>كيلوگرم</v>
      </c>
      <c r="J889" s="1" t="str">
        <f>"0000000091"</f>
        <v>0000000091</v>
      </c>
      <c r="K889" s="1" t="str">
        <f>"قير  PG64-22"</f>
        <v>قير  PG64-22</v>
      </c>
      <c r="L889" s="1">
        <v>100</v>
      </c>
      <c r="M889" s="1" t="str">
        <f>"مخازن قير اصفهان"</f>
        <v>مخازن قير اصفهان</v>
      </c>
      <c r="N889" s="1">
        <v>11486</v>
      </c>
      <c r="O889" s="1">
        <v>50036910</v>
      </c>
      <c r="P889" s="1" t="str">
        <f>"  راه و ساختماني وتاسيساتي بالاسازنوين"</f>
        <v xml:space="preserve">  راه و ساختماني وتاسيساتي بالاسازنوين</v>
      </c>
      <c r="Q889" s="1">
        <v>17</v>
      </c>
      <c r="R889" s="1" t="str">
        <f>"فروش داخلي تهران - وزارت راه - راه روستايي - روکش"</f>
        <v>فروش داخلي تهران - وزارت راه - راه روستايي - روکش</v>
      </c>
      <c r="S889" s="1" t="str">
        <f>"قرارداد فروش"</f>
        <v>قرارداد فروش</v>
      </c>
      <c r="T889" s="1" t="str">
        <f>"ندارد"</f>
        <v>ندارد</v>
      </c>
      <c r="U889" s="1" t="str">
        <f>"ميهن دوست عبداله(2842010)"</f>
        <v>ميهن دوست عبداله(2842010)</v>
      </c>
      <c r="V889" s="1">
        <v>961700144</v>
      </c>
      <c r="W889" s="1">
        <v>961700144</v>
      </c>
      <c r="X889" s="1" t="str">
        <f>"1396521787"</f>
        <v>1396521787</v>
      </c>
      <c r="Y889" s="1" t="str">
        <f>"96/08/06"</f>
        <v>96/08/06</v>
      </c>
      <c r="Z889" s="1" t="str">
        <f>"38322/710"</f>
        <v>38322/710</v>
      </c>
      <c r="AA889" s="1" t="str">
        <f>"راه روستائي -روكش"</f>
        <v>راه روستائي -روكش</v>
      </c>
      <c r="AB889" s="1" t="str">
        <f>"96/08/01"</f>
        <v>96/08/01</v>
      </c>
      <c r="AC889" s="1" t="str">
        <f>"استان كردستان"</f>
        <v>استان كردستان</v>
      </c>
      <c r="AD889" s="1" t="str">
        <f>"96/08/06"</f>
        <v>96/08/06</v>
      </c>
      <c r="AE889" s="1" t="str">
        <f>"اختتام"</f>
        <v>اختتام</v>
      </c>
      <c r="AF889" s="1" t="str">
        <f>""</f>
        <v/>
      </c>
      <c r="AG889" s="1" t="str">
        <f>""</f>
        <v/>
      </c>
      <c r="AH889" s="1" t="str">
        <f>""</f>
        <v/>
      </c>
      <c r="AI889" s="1" t="str">
        <f>""</f>
        <v/>
      </c>
      <c r="AJ889" s="1" t="str">
        <f>""</f>
        <v/>
      </c>
      <c r="AK889" s="1" t="str">
        <f>""</f>
        <v/>
      </c>
    </row>
    <row r="890" spans="1:37">
      <c r="A890" s="1">
        <v>700000</v>
      </c>
      <c r="B890" s="1">
        <v>966100023</v>
      </c>
      <c r="C890" s="1" t="str">
        <f>"تخليه -خراسان رضوي -چناران جاده روستاي محسن آبادبعدازخان آبادكارخانه آسفالت توس راديه"</f>
        <v>تخليه -خراسان رضوي -چناران جاده روستاي محسن آبادبعدازخان آبادكارخانه آسفالت توس راديه</v>
      </c>
      <c r="D890" s="1">
        <v>16350</v>
      </c>
      <c r="E890" s="1">
        <v>699620</v>
      </c>
      <c r="F890" s="1">
        <v>96</v>
      </c>
      <c r="G890" s="1">
        <v>380</v>
      </c>
      <c r="H890" s="1" t="str">
        <f>"96/12/24"</f>
        <v>96/12/24</v>
      </c>
      <c r="I890" s="1" t="str">
        <f>"كيلوگرم"</f>
        <v>كيلوگرم</v>
      </c>
      <c r="J890" s="1" t="str">
        <f>"0000000091"</f>
        <v>0000000091</v>
      </c>
      <c r="K890" s="1" t="str">
        <f>"قير  PG64-22"</f>
        <v>قير  PG64-22</v>
      </c>
      <c r="L890" s="1">
        <v>100</v>
      </c>
      <c r="M890" s="1" t="str">
        <f>"مخازن قير اصفهان"</f>
        <v>مخازن قير اصفهان</v>
      </c>
      <c r="N890" s="1">
        <v>4060</v>
      </c>
      <c r="O890" s="1">
        <v>50039021</v>
      </c>
      <c r="P890" s="1" t="str">
        <f>"  توس راديه"</f>
        <v xml:space="preserve">  توس راديه</v>
      </c>
      <c r="Q890" s="1">
        <v>61</v>
      </c>
      <c r="R890" s="1" t="str">
        <f>"فروش داخلي - وزارت راه - مسكن مهر"</f>
        <v>فروش داخلي - وزارت راه - مسكن مهر</v>
      </c>
      <c r="S890" s="1" t="str">
        <f>"قرارداد فروش"</f>
        <v>قرارداد فروش</v>
      </c>
      <c r="T890" s="1" t="str">
        <f>"ندارد"</f>
        <v>ندارد</v>
      </c>
      <c r="U890" s="1" t="str">
        <f>"نظام دوست امين (1911102)"</f>
        <v>نظام دوست امين (1911102)</v>
      </c>
      <c r="V890" s="1">
        <v>966100023</v>
      </c>
      <c r="W890" s="1">
        <v>966100023</v>
      </c>
      <c r="X890" s="1" t="str">
        <f>"1396554105"</f>
        <v>1396554105</v>
      </c>
      <c r="Y890" s="1" t="str">
        <f>"96/12/24"</f>
        <v>96/12/24</v>
      </c>
      <c r="Z890" s="1" t="str">
        <f>"50658/710"</f>
        <v>50658/710</v>
      </c>
      <c r="AA890" s="1" t="str">
        <f>"مسكن مهر-وزارت راه"</f>
        <v>مسكن مهر-وزارت راه</v>
      </c>
      <c r="AB890" s="1" t="str">
        <f>"96/10/02"</f>
        <v>96/10/02</v>
      </c>
      <c r="AC890" s="1" t="str">
        <f>"خراسان رضوي"</f>
        <v>خراسان رضوي</v>
      </c>
      <c r="AD890" s="1" t="str">
        <f>"96/12/21"</f>
        <v>96/12/21</v>
      </c>
      <c r="AE890" s="1" t="str">
        <f>"اختتام"</f>
        <v>اختتام</v>
      </c>
      <c r="AF890" s="1" t="str">
        <f>""</f>
        <v/>
      </c>
      <c r="AG890" s="1" t="str">
        <f>""</f>
        <v/>
      </c>
      <c r="AH890" s="1" t="str">
        <f>""</f>
        <v/>
      </c>
      <c r="AI890" s="1" t="str">
        <f>""</f>
        <v/>
      </c>
      <c r="AJ890" s="1" t="str">
        <f>""</f>
        <v/>
      </c>
      <c r="AK890" s="1" t="str">
        <f>""</f>
        <v/>
      </c>
    </row>
    <row r="891" spans="1:37">
      <c r="A891" s="1">
        <v>920000</v>
      </c>
      <c r="B891" s="1">
        <v>961600001</v>
      </c>
      <c r="C891" s="1" t="str">
        <f>"تخليه لرستان محورخرم آبادسپيددشت كارخانه آسفالت شركت آبادراهان پارس"</f>
        <v>تخليه لرستان محورخرم آبادسپيددشت كارخانه آسفالت شركت آبادراهان پارس</v>
      </c>
      <c r="D891" s="1">
        <v>9068</v>
      </c>
      <c r="E891" s="1">
        <v>919840</v>
      </c>
      <c r="F891" s="1">
        <v>96</v>
      </c>
      <c r="G891" s="1">
        <v>160</v>
      </c>
      <c r="H891" s="1" t="str">
        <f>"96/01/15"</f>
        <v>96/01/15</v>
      </c>
      <c r="I891" s="1" t="str">
        <f>"كيلوگرم"</f>
        <v>كيلوگرم</v>
      </c>
      <c r="J891" s="1" t="str">
        <f>"0000000091"</f>
        <v>0000000091</v>
      </c>
      <c r="K891" s="1" t="str">
        <f>"قير  PG64-22"</f>
        <v>قير  PG64-22</v>
      </c>
      <c r="L891" s="1">
        <v>100</v>
      </c>
      <c r="M891" s="1" t="str">
        <f>"مخازن قير اصفهان"</f>
        <v>مخازن قير اصفهان</v>
      </c>
      <c r="N891" s="1">
        <v>4088</v>
      </c>
      <c r="O891" s="1">
        <v>50034346</v>
      </c>
      <c r="P891" s="1" t="str">
        <f>"  گروه بين المللي آبادراهان پارس"</f>
        <v xml:space="preserve">  گروه بين المللي آبادراهان پارس</v>
      </c>
      <c r="Q891" s="1">
        <v>16</v>
      </c>
      <c r="R891" s="1" t="str">
        <f>"فروش داخلي تهران - وزارت راه - معاونت اقتصاد"</f>
        <v>فروش داخلي تهران - وزارت راه - معاونت اقتصاد</v>
      </c>
      <c r="S891" s="1" t="str">
        <f>"قرارداد فروش"</f>
        <v>قرارداد فروش</v>
      </c>
      <c r="T891" s="1" t="str">
        <f>"ندارد"</f>
        <v>ندارد</v>
      </c>
      <c r="U891" s="1" t="str">
        <f>"قره باغي مجيد(1871065)"</f>
        <v>قره باغي مجيد(1871065)</v>
      </c>
      <c r="V891" s="1">
        <v>961600001</v>
      </c>
      <c r="W891" s="1">
        <v>961600001</v>
      </c>
      <c r="X891" s="1" t="str">
        <f>"1395471092"</f>
        <v>1395471092</v>
      </c>
      <c r="Y891" s="1" t="str">
        <f>"96/01/15"</f>
        <v>96/01/15</v>
      </c>
      <c r="Z891" s="1" t="str">
        <f>"67224/710"</f>
        <v>67224/710</v>
      </c>
      <c r="AA891" s="1" t="str">
        <f>"معاونت اقتصادوزارت راه وشهرسازي"</f>
        <v>معاونت اقتصادوزارت راه وشهرسازي</v>
      </c>
      <c r="AB891" s="1" t="str">
        <f>"95/12/25"</f>
        <v>95/12/25</v>
      </c>
      <c r="AC891" s="1" t="str">
        <f>"لرستان"</f>
        <v>لرستان</v>
      </c>
      <c r="AD891" s="1" t="str">
        <f>"95/12/28"</f>
        <v>95/12/28</v>
      </c>
      <c r="AE891" s="1" t="str">
        <f>"اختتام"</f>
        <v>اختتام</v>
      </c>
      <c r="AF891" s="1" t="str">
        <f>""</f>
        <v/>
      </c>
      <c r="AG891" s="1" t="str">
        <f>""</f>
        <v/>
      </c>
      <c r="AH891" s="1" t="str">
        <f>""</f>
        <v/>
      </c>
      <c r="AI891" s="1" t="str">
        <f>""</f>
        <v/>
      </c>
      <c r="AJ891" s="1" t="str">
        <f>""</f>
        <v/>
      </c>
      <c r="AK891" s="1" t="str">
        <f>""</f>
        <v/>
      </c>
    </row>
    <row r="892" spans="1:37">
      <c r="A892" s="1">
        <v>1000000</v>
      </c>
      <c r="B892" s="1">
        <v>961800069</v>
      </c>
      <c r="C892" s="1" t="str">
        <f>"تخليه -قزوين -كيلومتر45جاده ساوه -بوئين زهرا-چهارراه خشكرود-رازقان -روبروي رستوران لاله صحرا-كارگاه بنادر"</f>
        <v>تخليه -قزوين -كيلومتر45جاده ساوه -بوئين زهرا-چهارراه خشكرود-رازقان -روبروي رستوران لاله صحرا-كارگاه بنادر</v>
      </c>
      <c r="D892" s="1">
        <v>12970</v>
      </c>
      <c r="E892" s="1">
        <v>998740</v>
      </c>
      <c r="F892" s="1">
        <v>96</v>
      </c>
      <c r="G892" s="1">
        <v>1260</v>
      </c>
      <c r="H892" s="1" t="str">
        <f>"96/07/29"</f>
        <v>96/07/29</v>
      </c>
      <c r="I892" s="1" t="str">
        <f>"كيلوگرم"</f>
        <v>كيلوگرم</v>
      </c>
      <c r="J892" s="1" t="str">
        <f>"0000000091"</f>
        <v>0000000091</v>
      </c>
      <c r="K892" s="1" t="str">
        <f>"قير  PG64-22"</f>
        <v>قير  PG64-22</v>
      </c>
      <c r="L892" s="1">
        <v>100</v>
      </c>
      <c r="M892" s="1" t="str">
        <f>"مخازن قير اصفهان"</f>
        <v>مخازن قير اصفهان</v>
      </c>
      <c r="N892" s="1">
        <v>8072</v>
      </c>
      <c r="O892" s="1">
        <v>50036860</v>
      </c>
      <c r="P892" s="1" t="str">
        <f>"  بنادر"</f>
        <v xml:space="preserve">  بنادر</v>
      </c>
      <c r="Q892" s="1">
        <v>18</v>
      </c>
      <c r="R892" s="1" t="str">
        <f>"فروش داخلي تهران - وزارت راه - شرکت ساخت و توسعه راهها"</f>
        <v>فروش داخلي تهران - وزارت راه - شرکت ساخت و توسعه راهها</v>
      </c>
      <c r="S892" s="1" t="str">
        <f>"قرارداد فروش"</f>
        <v>قرارداد فروش</v>
      </c>
      <c r="T892" s="1" t="str">
        <f>"ندارد"</f>
        <v>ندارد</v>
      </c>
      <c r="U892" s="1" t="str">
        <f>"عزيزي صفر(1006ج 89)"</f>
        <v>عزيزي صفر(1006ج 89)</v>
      </c>
      <c r="V892" s="1">
        <v>961800069</v>
      </c>
      <c r="W892" s="1">
        <v>961800069</v>
      </c>
      <c r="X892" s="1" t="str">
        <f>"1396520116"</f>
        <v>1396520116</v>
      </c>
      <c r="Y892" s="1" t="str">
        <f>"96/07/29"</f>
        <v>96/07/29</v>
      </c>
      <c r="Z892" s="1" t="str">
        <f>"37164/710"</f>
        <v>37164/710</v>
      </c>
      <c r="AA892" s="1" t="str">
        <f>"شركت  ساخت وتوسعه راهها"</f>
        <v>شركت  ساخت وتوسعه راهها</v>
      </c>
      <c r="AB892" s="1" t="str">
        <f>"96/07/26"</f>
        <v>96/07/26</v>
      </c>
      <c r="AC892" s="1" t="str">
        <f>"قزوين"</f>
        <v>قزوين</v>
      </c>
      <c r="AD892" s="1" t="str">
        <f>"96/07/29"</f>
        <v>96/07/29</v>
      </c>
      <c r="AE892" s="1" t="str">
        <f>"اختتام"</f>
        <v>اختتام</v>
      </c>
      <c r="AF892" s="1" t="str">
        <f>""</f>
        <v/>
      </c>
      <c r="AG892" s="1" t="str">
        <f>""</f>
        <v/>
      </c>
      <c r="AH892" s="1" t="str">
        <f>""</f>
        <v/>
      </c>
      <c r="AI892" s="1" t="str">
        <f>""</f>
        <v/>
      </c>
      <c r="AJ892" s="1" t="str">
        <f>""</f>
        <v/>
      </c>
      <c r="AK892" s="1" t="str">
        <f>""</f>
        <v/>
      </c>
    </row>
    <row r="893" spans="1:37">
      <c r="A893" s="1">
        <v>415000</v>
      </c>
      <c r="B893" s="1">
        <v>961700162</v>
      </c>
      <c r="C893" s="1" t="str">
        <f>"تخليه يزدكارخانه آسفالت شركت زاويه سازيزد"</f>
        <v>تخليه يزدكارخانه آسفالت شركت زاويه سازيزد</v>
      </c>
      <c r="D893" s="1">
        <v>14000</v>
      </c>
      <c r="E893" s="1">
        <v>415000</v>
      </c>
      <c r="F893" s="1">
        <v>96</v>
      </c>
      <c r="G893" s="1">
        <v>0</v>
      </c>
      <c r="H893" s="1" t="str">
        <f>"96/09/19"</f>
        <v>96/09/19</v>
      </c>
      <c r="I893" s="1" t="str">
        <f>"كيلوگرم"</f>
        <v>كيلوگرم</v>
      </c>
      <c r="J893" s="1" t="str">
        <f>"0000000091"</f>
        <v>0000000091</v>
      </c>
      <c r="K893" s="1" t="str">
        <f>"قير  PG64-22"</f>
        <v>قير  PG64-22</v>
      </c>
      <c r="L893" s="1">
        <v>100</v>
      </c>
      <c r="M893" s="1" t="str">
        <f>"مخازن قير اصفهان"</f>
        <v>مخازن قير اصفهان</v>
      </c>
      <c r="N893" s="1">
        <v>1602</v>
      </c>
      <c r="O893" s="1">
        <v>50037571</v>
      </c>
      <c r="P893" s="1" t="str">
        <f>"  اداره كل راه و شهرسازي يزد"</f>
        <v xml:space="preserve">  اداره كل راه و شهرسازي يزد</v>
      </c>
      <c r="Q893" s="1">
        <v>17</v>
      </c>
      <c r="R893" s="1" t="str">
        <f>"فروش داخلي تهران - وزارت راه - راه روستايي - روکش"</f>
        <v>فروش داخلي تهران - وزارت راه - راه روستايي - روکش</v>
      </c>
      <c r="S893" s="1" t="str">
        <f>"قرارداد فروش"</f>
        <v>قرارداد فروش</v>
      </c>
      <c r="T893" s="1" t="str">
        <f>"ندارد"</f>
        <v>ندارد</v>
      </c>
      <c r="U893" s="1" t="str">
        <f>"شيخي خيراله (1841012)"</f>
        <v>شيخي خيراله (1841012)</v>
      </c>
      <c r="V893" s="1">
        <v>961700162</v>
      </c>
      <c r="W893" s="1">
        <v>961700162</v>
      </c>
      <c r="X893" s="1" t="str">
        <f>"1396531056"</f>
        <v>1396531056</v>
      </c>
      <c r="Y893" s="1" t="str">
        <f>"96/09/19"</f>
        <v>96/09/19</v>
      </c>
      <c r="Z893" s="1" t="str">
        <f>"46821/710"</f>
        <v>46821/710</v>
      </c>
      <c r="AA893" s="1" t="str">
        <f>"راه روستائي -روكش"</f>
        <v>راه روستائي -روكش</v>
      </c>
      <c r="AB893" s="1" t="str">
        <f>"96/09/13"</f>
        <v>96/09/13</v>
      </c>
      <c r="AC893" s="1" t="str">
        <f>"استان يزد"</f>
        <v>استان يزد</v>
      </c>
      <c r="AD893" s="1" t="str">
        <f>"96/09/18"</f>
        <v>96/09/18</v>
      </c>
      <c r="AE893" s="1" t="str">
        <f>"اختتام"</f>
        <v>اختتام</v>
      </c>
      <c r="AF893" s="1" t="str">
        <f>""</f>
        <v/>
      </c>
      <c r="AG893" s="1" t="str">
        <f>""</f>
        <v/>
      </c>
      <c r="AH893" s="1" t="str">
        <f>""</f>
        <v/>
      </c>
      <c r="AI893" s="1" t="str">
        <f>""</f>
        <v/>
      </c>
      <c r="AJ893" s="1" t="str">
        <f>""</f>
        <v/>
      </c>
      <c r="AK893" s="1" t="str">
        <f>""</f>
        <v/>
      </c>
    </row>
    <row r="894" spans="1:37">
      <c r="A894" s="1">
        <v>4000000</v>
      </c>
      <c r="B894" s="1">
        <v>961800054</v>
      </c>
      <c r="C894" s="1" t="str">
        <f>"تخليه اصفهان قطعه 3آزادراه اصفهان شيرازآباده 5كيلومتربعدازسده كارگاه شركت راهسازي وعمران ايران"</f>
        <v>تخليه اصفهان قطعه 3آزادراه اصفهان شيرازآباده 5كيلومتربعدازسده كارگاه شركت راهسازي وعمران ايران</v>
      </c>
      <c r="D894" s="1">
        <v>15810</v>
      </c>
      <c r="E894" s="1">
        <v>1068600</v>
      </c>
      <c r="F894" s="1">
        <v>96</v>
      </c>
      <c r="G894" s="1">
        <v>2931400</v>
      </c>
      <c r="H894" s="1" t="str">
        <f>"96/07/06"</f>
        <v>96/07/06</v>
      </c>
      <c r="I894" s="1" t="str">
        <f>"كيلوگرم"</f>
        <v>كيلوگرم</v>
      </c>
      <c r="J894" s="1" t="str">
        <f>"0000000091"</f>
        <v>0000000091</v>
      </c>
      <c r="K894" s="1" t="str">
        <f>"قير  PG64-22"</f>
        <v>قير  PG64-22</v>
      </c>
      <c r="L894" s="1">
        <v>100</v>
      </c>
      <c r="M894" s="1" t="str">
        <f>"مخازن قير اصفهان"</f>
        <v>مخازن قير اصفهان</v>
      </c>
      <c r="N894" s="1">
        <v>1726</v>
      </c>
      <c r="O894" s="1">
        <v>50036409</v>
      </c>
      <c r="P894" s="1" t="str">
        <f>"  راهسازي و عمران ايران"</f>
        <v xml:space="preserve">  راهسازي و عمران ايران</v>
      </c>
      <c r="Q894" s="1">
        <v>18</v>
      </c>
      <c r="R894" s="1" t="str">
        <f>"فروش داخلي تهران - وزارت راه - شرکت ساخت و توسعه راهها"</f>
        <v>فروش داخلي تهران - وزارت راه - شرکت ساخت و توسعه راهها</v>
      </c>
      <c r="S894" s="1" t="str">
        <f>"قرارداد فروش"</f>
        <v>قرارداد فروش</v>
      </c>
      <c r="T894" s="1" t="str">
        <f>"ندارد"</f>
        <v>ندارد</v>
      </c>
      <c r="U894" s="1" t="str">
        <f>"عظيمي محمد(2842015)"</f>
        <v>عظيمي محمد(2842015)</v>
      </c>
      <c r="V894" s="1">
        <v>961800054</v>
      </c>
      <c r="W894" s="1">
        <v>961800054</v>
      </c>
      <c r="X894" s="1" t="str">
        <f>"1396515519"</f>
        <v>1396515519</v>
      </c>
      <c r="Y894" s="1" t="str">
        <f>"96/07/06"</f>
        <v>96/07/06</v>
      </c>
      <c r="Z894" s="1" t="str">
        <f>"32510/710"</f>
        <v>32510/710</v>
      </c>
      <c r="AA894" s="1" t="str">
        <f>"شركت  ساخت وتوسعه راهها"</f>
        <v>شركت  ساخت وتوسعه راهها</v>
      </c>
      <c r="AB894" s="1" t="str">
        <f>"96/07/01"</f>
        <v>96/07/01</v>
      </c>
      <c r="AC894" s="1" t="str">
        <f>"استان اصفهان"</f>
        <v>استان اصفهان</v>
      </c>
      <c r="AD894" s="1" t="str">
        <f>"96/07/05"</f>
        <v>96/07/05</v>
      </c>
      <c r="AE894" s="1" t="str">
        <f>"اختتام"</f>
        <v>اختتام</v>
      </c>
      <c r="AF894" s="1" t="str">
        <f>""</f>
        <v/>
      </c>
      <c r="AG894" s="1" t="str">
        <f>""</f>
        <v/>
      </c>
      <c r="AH894" s="1" t="str">
        <f>""</f>
        <v/>
      </c>
      <c r="AI894" s="1" t="str">
        <f>""</f>
        <v/>
      </c>
      <c r="AJ894" s="1" t="str">
        <f>""</f>
        <v/>
      </c>
      <c r="AK894" s="1" t="str">
        <f>""</f>
        <v/>
      </c>
    </row>
    <row r="895" spans="1:37">
      <c r="A895" s="1">
        <v>75000</v>
      </c>
      <c r="B895" s="1">
        <v>961700003</v>
      </c>
      <c r="C895" s="1" t="str">
        <f>"تخليه كرمان كيلومتر15جاده كرمان زرندكارخانه آسفالت گستران زنگلان"</f>
        <v>تخليه كرمان كيلومتر15جاده كرمان زرندكارخانه آسفالت گستران زنگلان</v>
      </c>
      <c r="D895" s="1">
        <v>9068</v>
      </c>
      <c r="E895" s="1">
        <v>74360</v>
      </c>
      <c r="F895" s="1">
        <v>96</v>
      </c>
      <c r="G895" s="1">
        <v>640</v>
      </c>
      <c r="H895" s="1" t="str">
        <f>"96/01/16"</f>
        <v>96/01/16</v>
      </c>
      <c r="I895" s="1" t="str">
        <f>"كيلوگرم"</f>
        <v>كيلوگرم</v>
      </c>
      <c r="J895" s="1" t="str">
        <f>"0000000091"</f>
        <v>0000000091</v>
      </c>
      <c r="K895" s="1" t="str">
        <f>"قير  PG64-22"</f>
        <v>قير  PG64-22</v>
      </c>
      <c r="L895" s="1">
        <v>100</v>
      </c>
      <c r="M895" s="1" t="str">
        <f>"مخازن قير اصفهان"</f>
        <v>مخازن قير اصفهان</v>
      </c>
      <c r="N895" s="1">
        <v>7034</v>
      </c>
      <c r="O895" s="1">
        <v>50034401</v>
      </c>
      <c r="P895" s="1" t="str">
        <f>"  اداره كل راه وشهرسازي كرمان"</f>
        <v xml:space="preserve">  اداره كل راه وشهرسازي كرمان</v>
      </c>
      <c r="Q895" s="1">
        <v>17</v>
      </c>
      <c r="R895" s="1" t="str">
        <f>"فروش داخلي تهران - وزارت راه - راه روستايي - روکش"</f>
        <v>فروش داخلي تهران - وزارت راه - راه روستايي - روکش</v>
      </c>
      <c r="S895" s="1" t="str">
        <f>"قرارداد فروش"</f>
        <v>قرارداد فروش</v>
      </c>
      <c r="T895" s="1" t="str">
        <f>"ندارد"</f>
        <v>ندارد</v>
      </c>
      <c r="U895" s="1" t="str">
        <f>"دهقانيان بيژن (4954038)"</f>
        <v>دهقانيان بيژن (4954038)</v>
      </c>
      <c r="V895" s="1">
        <v>961700003</v>
      </c>
      <c r="W895" s="1">
        <v>961700003</v>
      </c>
      <c r="X895" s="1" t="str">
        <f>"1395470943"</f>
        <v>1395470943</v>
      </c>
      <c r="Y895" s="1" t="str">
        <f>"96/01/16"</f>
        <v>96/01/16</v>
      </c>
      <c r="Z895" s="1" t="str">
        <f>"65867/710"</f>
        <v>65867/710</v>
      </c>
      <c r="AA895" s="1" t="str">
        <f>"راه روستائي -روكش"</f>
        <v>راه روستائي -روكش</v>
      </c>
      <c r="AB895" s="1" t="str">
        <f>"95/12/22"</f>
        <v>95/12/22</v>
      </c>
      <c r="AC895" s="1" t="str">
        <f>"استان كرمان"</f>
        <v>استان كرمان</v>
      </c>
      <c r="AD895" s="1" t="str">
        <f>"95/12/24"</f>
        <v>95/12/24</v>
      </c>
      <c r="AE895" s="1" t="str">
        <f>"اختتام"</f>
        <v>اختتام</v>
      </c>
      <c r="AF895" s="1" t="str">
        <f>""</f>
        <v/>
      </c>
      <c r="AG895" s="1" t="str">
        <f>""</f>
        <v/>
      </c>
      <c r="AH895" s="1" t="str">
        <f>""</f>
        <v/>
      </c>
      <c r="AI895" s="1" t="str">
        <f>""</f>
        <v/>
      </c>
      <c r="AJ895" s="1" t="str">
        <f>""</f>
        <v/>
      </c>
      <c r="AK895" s="1" t="str">
        <f>""</f>
        <v/>
      </c>
    </row>
    <row r="896" spans="1:37">
      <c r="A896" s="1">
        <v>57000</v>
      </c>
      <c r="B896" s="1">
        <v>961700136</v>
      </c>
      <c r="C896" s="1" t="str">
        <f>"تخليه كرمان  كيلومتر28جاده كرمان .نگاركارخانه آسفالت طلايي"</f>
        <v>تخليه كرمان  كيلومتر28جاده كرمان .نگاركارخانه آسفالت طلايي</v>
      </c>
      <c r="D896" s="1">
        <v>12970</v>
      </c>
      <c r="E896" s="1">
        <v>57000</v>
      </c>
      <c r="F896" s="1">
        <v>96</v>
      </c>
      <c r="G896" s="1">
        <v>0</v>
      </c>
      <c r="H896" s="1" t="str">
        <f>"96/07/18"</f>
        <v>96/07/18</v>
      </c>
      <c r="I896" s="1" t="str">
        <f>"كيلوگرم"</f>
        <v>كيلوگرم</v>
      </c>
      <c r="J896" s="1" t="str">
        <f>"0000000091"</f>
        <v>0000000091</v>
      </c>
      <c r="K896" s="1" t="str">
        <f>"قير  PG64-22"</f>
        <v>قير  PG64-22</v>
      </c>
      <c r="L896" s="1">
        <v>100</v>
      </c>
      <c r="M896" s="1" t="str">
        <f>"مخازن قير اصفهان"</f>
        <v>مخازن قير اصفهان</v>
      </c>
      <c r="N896" s="1">
        <v>7034</v>
      </c>
      <c r="O896" s="1">
        <v>50036651</v>
      </c>
      <c r="P896" s="1" t="str">
        <f>"  اداره كل راه وشهرسازي كرمان"</f>
        <v xml:space="preserve">  اداره كل راه وشهرسازي كرمان</v>
      </c>
      <c r="Q896" s="1">
        <v>17</v>
      </c>
      <c r="R896" s="1" t="str">
        <f>"فروش داخلي تهران - وزارت راه - راه روستايي - روکش"</f>
        <v>فروش داخلي تهران - وزارت راه - راه روستايي - روکش</v>
      </c>
      <c r="S896" s="1" t="str">
        <f>"قرارداد فروش"</f>
        <v>قرارداد فروش</v>
      </c>
      <c r="T896" s="1" t="str">
        <f>"ندارد"</f>
        <v>ندارد</v>
      </c>
      <c r="U896" s="1" t="str">
        <f>"ميرحسيني سيناترابر سيدمحمد(4854031)"</f>
        <v>ميرحسيني سيناترابر سيدمحمد(4854031)</v>
      </c>
      <c r="V896" s="1">
        <v>961700136</v>
      </c>
      <c r="W896" s="1">
        <v>961700136</v>
      </c>
      <c r="X896" s="1" t="str">
        <f>"1396517391"</f>
        <v>1396517391</v>
      </c>
      <c r="Y896" s="1" t="str">
        <f>"96/07/17"</f>
        <v>96/07/17</v>
      </c>
      <c r="Z896" s="1" t="str">
        <f>"34611/710"</f>
        <v>34611/710</v>
      </c>
      <c r="AA896" s="1" t="str">
        <f>"راه روستائي -روكش"</f>
        <v>راه روستائي -روكش</v>
      </c>
      <c r="AB896" s="1" t="str">
        <f>"96/07/15"</f>
        <v>96/07/15</v>
      </c>
      <c r="AC896" s="1" t="str">
        <f>"استان كرمان"</f>
        <v>استان كرمان</v>
      </c>
      <c r="AD896" s="1" t="str">
        <f>"96/07/17"</f>
        <v>96/07/17</v>
      </c>
      <c r="AE896" s="1" t="str">
        <f>"اختتام"</f>
        <v>اختتام</v>
      </c>
      <c r="AF896" s="1" t="str">
        <f>""</f>
        <v/>
      </c>
      <c r="AG896" s="1" t="str">
        <f>""</f>
        <v/>
      </c>
      <c r="AH896" s="1" t="str">
        <f>""</f>
        <v/>
      </c>
      <c r="AI896" s="1" t="str">
        <f>""</f>
        <v/>
      </c>
      <c r="AJ896" s="1" t="str">
        <f>""</f>
        <v/>
      </c>
      <c r="AK896" s="1" t="str">
        <f>""</f>
        <v/>
      </c>
    </row>
    <row r="897" spans="1:37">
      <c r="A897" s="1">
        <v>188000</v>
      </c>
      <c r="B897" s="1">
        <v>966200550</v>
      </c>
      <c r="C897" s="1" t="str">
        <f>"تخليه -لرستان -سه راهي پليس راه سلسله بطرف فيروزآباد-شركت زاگرس راه نصر"</f>
        <v>تخليه -لرستان -سه راهي پليس راه سلسله بطرف فيروزآباد-شركت زاگرس راه نصر</v>
      </c>
      <c r="D897" s="1">
        <v>13200</v>
      </c>
      <c r="E897" s="1">
        <v>187200</v>
      </c>
      <c r="F897" s="1">
        <v>96</v>
      </c>
      <c r="G897" s="1">
        <v>800</v>
      </c>
      <c r="H897" s="1" t="str">
        <f>"96/11/14"</f>
        <v>96/11/14</v>
      </c>
      <c r="I897" s="1" t="str">
        <f>"كيلوگرم"</f>
        <v>كيلوگرم</v>
      </c>
      <c r="J897" s="1" t="str">
        <f>"0000000076"</f>
        <v>0000000076</v>
      </c>
      <c r="K897" s="1" t="str">
        <f>"قير 60/70 - فله"</f>
        <v>قير 60/70 - فله</v>
      </c>
      <c r="L897" s="1">
        <v>100</v>
      </c>
      <c r="M897" s="1" t="str">
        <f>"مخازن قير اصفهان"</f>
        <v>مخازن قير اصفهان</v>
      </c>
      <c r="N897" s="1">
        <v>8147</v>
      </c>
      <c r="O897" s="1">
        <v>50038355</v>
      </c>
      <c r="P897" s="1" t="str">
        <f>"  زاگرس راه نصر"</f>
        <v xml:space="preserve">  زاگرس راه نصر</v>
      </c>
      <c r="Q897" s="1">
        <v>62</v>
      </c>
      <c r="R897" s="1" t="str">
        <f>"فروش داخلي - سازمان بنيادمسكن انقلاب اسلامي"</f>
        <v>فروش داخلي - سازمان بنيادمسكن انقلاب اسلامي</v>
      </c>
      <c r="S897" s="1" t="str">
        <f>"قرارداد فروش"</f>
        <v>قرارداد فروش</v>
      </c>
      <c r="T897" s="1" t="str">
        <f>"ندارد"</f>
        <v>ندارد</v>
      </c>
      <c r="U897" s="1" t="str">
        <f>"عظيمي محمد(2842015)"</f>
        <v>عظيمي محمد(2842015)</v>
      </c>
      <c r="V897" s="1">
        <v>966200550</v>
      </c>
      <c r="W897" s="1">
        <v>966200550</v>
      </c>
      <c r="X897" s="1" t="str">
        <f>"1396545121"</f>
        <v>1396545121</v>
      </c>
      <c r="Y897" s="1" t="str">
        <f>"96/11/14"</f>
        <v>96/11/14</v>
      </c>
      <c r="Z897" s="1" t="str">
        <f>"50725/د"</f>
        <v>50725/د</v>
      </c>
      <c r="AA897" s="1" t="str">
        <f>"بنيادمسكن انقلاب اسلامي"</f>
        <v>بنيادمسكن انقلاب اسلامي</v>
      </c>
      <c r="AB897" s="1" t="str">
        <f>"96/11/11"</f>
        <v>96/11/11</v>
      </c>
      <c r="AC897" s="1" t="str">
        <f>"استان كرمان"</f>
        <v>استان كرمان</v>
      </c>
      <c r="AD897" s="1" t="str">
        <f>"96/11/14"</f>
        <v>96/11/14</v>
      </c>
      <c r="AE897" s="1" t="str">
        <f>"اختتام"</f>
        <v>اختتام</v>
      </c>
      <c r="AF897" s="1" t="str">
        <f>""</f>
        <v/>
      </c>
      <c r="AG897" s="1" t="str">
        <f>""</f>
        <v/>
      </c>
      <c r="AH897" s="1" t="str">
        <f>""</f>
        <v/>
      </c>
      <c r="AI897" s="1" t="str">
        <f>""</f>
        <v/>
      </c>
      <c r="AJ897" s="1" t="str">
        <f>""</f>
        <v/>
      </c>
      <c r="AK897" s="1" t="str">
        <f>""</f>
        <v/>
      </c>
    </row>
    <row r="898" spans="1:37">
      <c r="A898" s="1">
        <v>100000</v>
      </c>
      <c r="B898" s="1">
        <v>961100054</v>
      </c>
      <c r="C898" s="1" t="str">
        <f>"تخليه كرمانشاه محوركرمانشاه -هرسين ازپليس راه كيلومتر9روبروي روستاي چهر"</f>
        <v>تخليه كرمانشاه محوركرمانشاه -هرسين ازپليس راه كيلومتر9روبروي روستاي چهر</v>
      </c>
      <c r="D898" s="1">
        <v>8904</v>
      </c>
      <c r="E898" s="1">
        <v>100000</v>
      </c>
      <c r="F898" s="1">
        <v>96</v>
      </c>
      <c r="G898" s="1">
        <v>0</v>
      </c>
      <c r="H898" s="1" t="str">
        <f>"96/05/31"</f>
        <v>96/05/31</v>
      </c>
      <c r="I898" s="1" t="str">
        <f>"كيلوگرم"</f>
        <v>كيلوگرم</v>
      </c>
      <c r="J898" s="1" t="str">
        <f>"0000000091"</f>
        <v>0000000091</v>
      </c>
      <c r="K898" s="1" t="str">
        <f>"قير  PG64-22"</f>
        <v>قير  PG64-22</v>
      </c>
      <c r="L898" s="1">
        <v>100</v>
      </c>
      <c r="M898" s="1" t="str">
        <f>"مخازن قير اصفهان"</f>
        <v>مخازن قير اصفهان</v>
      </c>
      <c r="N898" s="1">
        <v>8120</v>
      </c>
      <c r="O898" s="1">
        <v>50035779</v>
      </c>
      <c r="P898" s="1" t="str">
        <f>"  مرزراه"</f>
        <v xml:space="preserve">  مرزراه</v>
      </c>
      <c r="Q898" s="1">
        <v>11</v>
      </c>
      <c r="R898" s="1" t="str">
        <f>"فروش داخلي تهران - بورس"</f>
        <v>فروش داخلي تهران - بورس</v>
      </c>
      <c r="S898" s="1" t="str">
        <f>"قرارداد فروش"</f>
        <v>قرارداد فروش</v>
      </c>
      <c r="T898" s="1" t="str">
        <f>"ندارد"</f>
        <v>ندارد</v>
      </c>
      <c r="U898" s="1" t="str">
        <f>"شمسيان پور حبيب اله(2842034)"</f>
        <v>شمسيان پور حبيب اله(2842034)</v>
      </c>
      <c r="V898" s="1">
        <v>961100054</v>
      </c>
      <c r="W898" s="1">
        <v>961100054</v>
      </c>
      <c r="X898" s="1" t="str">
        <f>"1396506624"</f>
        <v>1396506624</v>
      </c>
      <c r="Y898" s="1" t="str">
        <f>"96/05/31"</f>
        <v>96/05/31</v>
      </c>
      <c r="Z898" s="1" t="str">
        <f>"96-36060"</f>
        <v>96-36060</v>
      </c>
      <c r="AA898" s="1" t="str">
        <f>"راه سازي"</f>
        <v>راه سازي</v>
      </c>
      <c r="AB898" s="1" t="str">
        <f>"96/05/30"</f>
        <v>96/05/30</v>
      </c>
      <c r="AC898" s="1" t="str">
        <f>"استان كرمانشاه"</f>
        <v>استان كرمانشاه</v>
      </c>
      <c r="AD898" s="1" t="str">
        <f>"96/05/29"</f>
        <v>96/05/29</v>
      </c>
      <c r="AE898" s="1" t="str">
        <f>"اختتام"</f>
        <v>اختتام</v>
      </c>
      <c r="AF898" s="1" t="str">
        <f>""</f>
        <v/>
      </c>
      <c r="AG898" s="1" t="str">
        <f>""</f>
        <v/>
      </c>
      <c r="AH898" s="1" t="str">
        <f>""</f>
        <v/>
      </c>
      <c r="AI898" s="1" t="str">
        <f>""</f>
        <v/>
      </c>
      <c r="AJ898" s="1" t="str">
        <f>""</f>
        <v/>
      </c>
      <c r="AK898" s="1" t="str">
        <f>""</f>
        <v/>
      </c>
    </row>
    <row r="899" spans="1:37">
      <c r="A899" s="1">
        <v>200000</v>
      </c>
      <c r="B899" s="1">
        <v>961100059</v>
      </c>
      <c r="C899" s="1" t="str">
        <f>"تخليه -كرمانشاه -5كيلومترقبل ازكرندكارخانه آسفالت همياردالاهو"</f>
        <v>تخليه -كرمانشاه -5كيلومترقبل ازكرندكارخانه آسفالت همياردالاهو</v>
      </c>
      <c r="D899" s="1">
        <v>9204</v>
      </c>
      <c r="E899" s="1">
        <v>200000</v>
      </c>
      <c r="F899" s="1">
        <v>96</v>
      </c>
      <c r="G899" s="1">
        <v>0</v>
      </c>
      <c r="H899" s="1" t="str">
        <f>"96/06/08"</f>
        <v>96/06/08</v>
      </c>
      <c r="I899" s="1" t="str">
        <f>"كيلوگرم"</f>
        <v>كيلوگرم</v>
      </c>
      <c r="J899" s="1" t="str">
        <f>"0000000091"</f>
        <v>0000000091</v>
      </c>
      <c r="K899" s="1" t="str">
        <f>"قير  PG64-22"</f>
        <v>قير  PG64-22</v>
      </c>
      <c r="L899" s="1">
        <v>100</v>
      </c>
      <c r="M899" s="1" t="str">
        <f>"مخازن قير اصفهان"</f>
        <v>مخازن قير اصفهان</v>
      </c>
      <c r="N899" s="1">
        <v>8120</v>
      </c>
      <c r="O899" s="1">
        <v>50035867</v>
      </c>
      <c r="P899" s="1" t="str">
        <f>"  مرزراه"</f>
        <v xml:space="preserve">  مرزراه</v>
      </c>
      <c r="Q899" s="1">
        <v>11</v>
      </c>
      <c r="R899" s="1" t="str">
        <f>"فروش داخلي تهران - بورس"</f>
        <v>فروش داخلي تهران - بورس</v>
      </c>
      <c r="S899" s="1" t="str">
        <f>"قرارداد فروش"</f>
        <v>قرارداد فروش</v>
      </c>
      <c r="T899" s="1" t="str">
        <f>"ندارد"</f>
        <v>ندارد</v>
      </c>
      <c r="U899" s="1" t="str">
        <f>"شمسيان پور حبيب اله(2842034)"</f>
        <v>شمسيان پور حبيب اله(2842034)</v>
      </c>
      <c r="V899" s="1">
        <v>961100059</v>
      </c>
      <c r="W899" s="1">
        <v>961100059</v>
      </c>
      <c r="X899" s="1" t="str">
        <f>"1396508319"</f>
        <v>1396508319</v>
      </c>
      <c r="Y899" s="1" t="str">
        <f>"96/06/07"</f>
        <v>96/06/07</v>
      </c>
      <c r="Z899" s="1" t="str">
        <f>"96-36114"</f>
        <v>96-36114</v>
      </c>
      <c r="AA899" s="1" t="str">
        <f>"راه سازي"</f>
        <v>راه سازي</v>
      </c>
      <c r="AB899" s="1" t="str">
        <f>"96/06/07"</f>
        <v>96/06/07</v>
      </c>
      <c r="AC899" s="1" t="str">
        <f>"استان كرمانشاه"</f>
        <v>استان كرمانشاه</v>
      </c>
      <c r="AD899" s="1" t="str">
        <f>"96/06/06"</f>
        <v>96/06/06</v>
      </c>
      <c r="AE899" s="1" t="str">
        <f>"اختتام"</f>
        <v>اختتام</v>
      </c>
      <c r="AF899" s="1" t="str">
        <f>""</f>
        <v/>
      </c>
      <c r="AG899" s="1" t="str">
        <f>""</f>
        <v/>
      </c>
      <c r="AH899" s="1" t="str">
        <f>""</f>
        <v/>
      </c>
      <c r="AI899" s="1" t="str">
        <f>""</f>
        <v/>
      </c>
      <c r="AJ899" s="1" t="str">
        <f>""</f>
        <v/>
      </c>
      <c r="AK899" s="1" t="str">
        <f>""</f>
        <v/>
      </c>
    </row>
    <row r="900" spans="1:37">
      <c r="A900" s="1">
        <v>261000</v>
      </c>
      <c r="B900" s="1">
        <v>961400003</v>
      </c>
      <c r="C900" s="1" t="str">
        <f>"تخليه -خراسان جنوبي -بيرجند-كارخانه آسفالت شماره 2"</f>
        <v>تخليه -خراسان جنوبي -بيرجند-كارخانه آسفالت شماره 2</v>
      </c>
      <c r="D900" s="1">
        <v>8854</v>
      </c>
      <c r="E900" s="1">
        <v>261000</v>
      </c>
      <c r="F900" s="1">
        <v>96</v>
      </c>
      <c r="G900" s="1">
        <v>0</v>
      </c>
      <c r="H900" s="1" t="str">
        <f>"96/01/23"</f>
        <v>96/01/23</v>
      </c>
      <c r="I900" s="1" t="str">
        <f>"كيلوگرم"</f>
        <v>كيلوگرم</v>
      </c>
      <c r="J900" s="1" t="str">
        <f>"0000000091"</f>
        <v>0000000091</v>
      </c>
      <c r="K900" s="1" t="str">
        <f>"قير  PG64-22"</f>
        <v>قير  PG64-22</v>
      </c>
      <c r="L900" s="1">
        <v>100</v>
      </c>
      <c r="M900" s="1" t="str">
        <f>"مخازن قير اصفهان"</f>
        <v>مخازن قير اصفهان</v>
      </c>
      <c r="N900" s="1">
        <v>4012</v>
      </c>
      <c r="O900" s="1">
        <v>50034984</v>
      </c>
      <c r="P900" s="1" t="str">
        <f>"  اداره كل راه و شهرسازي خراسان جنوبي"</f>
        <v xml:space="preserve">  اداره كل راه و شهرسازي خراسان جنوبي</v>
      </c>
      <c r="Q900" s="1">
        <v>14</v>
      </c>
      <c r="R900" s="1" t="str">
        <f>"فروش داخلي - وزارت راه - حوزه راه روستايي ساخت"</f>
        <v>فروش داخلي - وزارت راه - حوزه راه روستايي ساخت</v>
      </c>
      <c r="S900" s="1" t="str">
        <f>"قرارداد فروش"</f>
        <v>قرارداد فروش</v>
      </c>
      <c r="T900" s="1" t="str">
        <f>"ندارد"</f>
        <v>ندارد</v>
      </c>
      <c r="U900" s="1" t="str">
        <f>"شيخي خيراله (1841012)"</f>
        <v>شيخي خيراله (1841012)</v>
      </c>
      <c r="V900" s="1">
        <v>961400003</v>
      </c>
      <c r="W900" s="1">
        <v>961400003</v>
      </c>
      <c r="X900" s="1" t="str">
        <f>"1396472559"</f>
        <v>1396472559</v>
      </c>
      <c r="Y900" s="1" t="str">
        <f>"96/01/23"</f>
        <v>96/01/23</v>
      </c>
      <c r="Z900" s="1" t="str">
        <f>"66966/710"</f>
        <v>66966/710</v>
      </c>
      <c r="AA900" s="1" t="str">
        <f>"راه وروستايي -ساخت"</f>
        <v>راه وروستايي -ساخت</v>
      </c>
      <c r="AB900" s="1" t="str">
        <f>"95/12/25"</f>
        <v>95/12/25</v>
      </c>
      <c r="AC900" s="1" t="str">
        <f>"خراسان جنوبي"</f>
        <v>خراسان جنوبي</v>
      </c>
      <c r="AD900" s="1" t="str">
        <f>"96/01/19"</f>
        <v>96/01/19</v>
      </c>
      <c r="AE900" s="1" t="str">
        <f>"اختتام"</f>
        <v>اختتام</v>
      </c>
      <c r="AF900" s="1" t="str">
        <f>""</f>
        <v/>
      </c>
      <c r="AG900" s="1" t="str">
        <f>""</f>
        <v/>
      </c>
      <c r="AH900" s="1" t="str">
        <f>""</f>
        <v/>
      </c>
      <c r="AI900" s="1" t="str">
        <f>""</f>
        <v/>
      </c>
      <c r="AJ900" s="1" t="str">
        <f>""</f>
        <v/>
      </c>
      <c r="AK900" s="1" t="str">
        <f>""</f>
        <v/>
      </c>
    </row>
    <row r="901" spans="1:37">
      <c r="A901" s="1">
        <v>232000</v>
      </c>
      <c r="B901" s="1">
        <v>961700137</v>
      </c>
      <c r="C901" s="1" t="str">
        <f>"تخليه كرمان  كيلومتر28جاده كرمان .نگاركارخانه آسفالت طلايي"</f>
        <v>تخليه كرمان  كيلومتر28جاده كرمان .نگاركارخانه آسفالت طلايي</v>
      </c>
      <c r="D901" s="1">
        <v>12970</v>
      </c>
      <c r="E901" s="1">
        <v>228540</v>
      </c>
      <c r="F901" s="1">
        <v>96</v>
      </c>
      <c r="G901" s="1">
        <v>3460</v>
      </c>
      <c r="H901" s="1" t="str">
        <f>"96/07/18"</f>
        <v>96/07/18</v>
      </c>
      <c r="I901" s="1" t="str">
        <f>"كيلوگرم"</f>
        <v>كيلوگرم</v>
      </c>
      <c r="J901" s="1" t="str">
        <f>"0000000091"</f>
        <v>0000000091</v>
      </c>
      <c r="K901" s="1" t="str">
        <f>"قير  PG64-22"</f>
        <v>قير  PG64-22</v>
      </c>
      <c r="L901" s="1">
        <v>100</v>
      </c>
      <c r="M901" s="1" t="str">
        <f>"مخازن قير اصفهان"</f>
        <v>مخازن قير اصفهان</v>
      </c>
      <c r="N901" s="1">
        <v>7034</v>
      </c>
      <c r="O901" s="1">
        <v>50036652</v>
      </c>
      <c r="P901" s="1" t="str">
        <f>"  اداره كل راه وشهرسازي كرمان"</f>
        <v xml:space="preserve">  اداره كل راه وشهرسازي كرمان</v>
      </c>
      <c r="Q901" s="1">
        <v>17</v>
      </c>
      <c r="R901" s="1" t="str">
        <f>"فروش داخلي تهران - وزارت راه - راه روستايي - روکش"</f>
        <v>فروش داخلي تهران - وزارت راه - راه روستايي - روکش</v>
      </c>
      <c r="S901" s="1" t="str">
        <f>"قرارداد فروش"</f>
        <v>قرارداد فروش</v>
      </c>
      <c r="T901" s="1" t="str">
        <f>"ندارد"</f>
        <v>ندارد</v>
      </c>
      <c r="U901" s="1" t="str">
        <f>"ميرحسيني سيناترابر سيدمحمد(4854031)"</f>
        <v>ميرحسيني سيناترابر سيدمحمد(4854031)</v>
      </c>
      <c r="V901" s="1">
        <v>961700137</v>
      </c>
      <c r="W901" s="1">
        <v>961700137</v>
      </c>
      <c r="X901" s="1" t="str">
        <f>"1396517391"</f>
        <v>1396517391</v>
      </c>
      <c r="Y901" s="1" t="str">
        <f>"96/07/17"</f>
        <v>96/07/17</v>
      </c>
      <c r="Z901" s="1" t="str">
        <f>"34619/710"</f>
        <v>34619/710</v>
      </c>
      <c r="AA901" s="1" t="str">
        <f>"راه روستائي -روكش"</f>
        <v>راه روستائي -روكش</v>
      </c>
      <c r="AB901" s="1" t="str">
        <f>"96/07/15"</f>
        <v>96/07/15</v>
      </c>
      <c r="AC901" s="1" t="str">
        <f>"استان كرمان"</f>
        <v>استان كرمان</v>
      </c>
      <c r="AD901" s="1" t="str">
        <f>"96/07/17"</f>
        <v>96/07/17</v>
      </c>
      <c r="AE901" s="1" t="str">
        <f>"اختتام"</f>
        <v>اختتام</v>
      </c>
      <c r="AF901" s="1" t="str">
        <f>""</f>
        <v/>
      </c>
      <c r="AG901" s="1" t="str">
        <f>""</f>
        <v/>
      </c>
      <c r="AH901" s="1" t="str">
        <f>""</f>
        <v/>
      </c>
      <c r="AI901" s="1" t="str">
        <f>""</f>
        <v/>
      </c>
      <c r="AJ901" s="1" t="str">
        <f>""</f>
        <v/>
      </c>
      <c r="AK901" s="1" t="str">
        <f>""</f>
        <v/>
      </c>
    </row>
    <row r="902" spans="1:37">
      <c r="A902" s="1">
        <v>237000</v>
      </c>
      <c r="B902" s="1">
        <v>961700169</v>
      </c>
      <c r="C902" s="1" t="str">
        <f>"تخليه كرمان جاده يزدكرمان كارخانه آسفالت شركت زاويه ساز"</f>
        <v>تخليه كرمان جاده يزدكرمان كارخانه آسفالت شركت زاويه ساز</v>
      </c>
      <c r="D902" s="1">
        <v>13600</v>
      </c>
      <c r="E902" s="1">
        <v>236980</v>
      </c>
      <c r="F902" s="1">
        <v>96</v>
      </c>
      <c r="G902" s="1">
        <v>20</v>
      </c>
      <c r="H902" s="1" t="str">
        <f>"96/12/03"</f>
        <v>96/12/03</v>
      </c>
      <c r="I902" s="1" t="str">
        <f>"كيلوگرم"</f>
        <v>كيلوگرم</v>
      </c>
      <c r="J902" s="1" t="str">
        <f>"0000000091"</f>
        <v>0000000091</v>
      </c>
      <c r="K902" s="1" t="str">
        <f>"قير  PG64-22"</f>
        <v>قير  PG64-22</v>
      </c>
      <c r="L902" s="1">
        <v>100</v>
      </c>
      <c r="M902" s="1" t="str">
        <f>"مخازن قير اصفهان"</f>
        <v>مخازن قير اصفهان</v>
      </c>
      <c r="N902" s="1">
        <v>7034</v>
      </c>
      <c r="O902" s="1">
        <v>50038586</v>
      </c>
      <c r="P902" s="1" t="str">
        <f>"  اداره كل راه وشهرسازي كرمان"</f>
        <v xml:space="preserve">  اداره كل راه وشهرسازي كرمان</v>
      </c>
      <c r="Q902" s="1">
        <v>17</v>
      </c>
      <c r="R902" s="1" t="str">
        <f>"فروش داخلي تهران - وزارت راه - راه روستايي - روکش"</f>
        <v>فروش داخلي تهران - وزارت راه - راه روستايي - روکش</v>
      </c>
      <c r="S902" s="1" t="str">
        <f>"قرارداد فروش"</f>
        <v>قرارداد فروش</v>
      </c>
      <c r="T902" s="1" t="str">
        <f>"ندارد"</f>
        <v>ندارد</v>
      </c>
      <c r="U902" s="1" t="str">
        <f>"قانعي محمدرضا(1011ج89)"</f>
        <v>قانعي محمدرضا(1011ج89)</v>
      </c>
      <c r="V902" s="1">
        <v>961700169</v>
      </c>
      <c r="W902" s="1">
        <v>961700169</v>
      </c>
      <c r="X902" s="1" t="str">
        <f>"1396549379"</f>
        <v>1396549379</v>
      </c>
      <c r="Y902" s="1" t="str">
        <f>"96/12/02"</f>
        <v>96/12/02</v>
      </c>
      <c r="Z902" s="1" t="str">
        <f>"58463/710"</f>
        <v>58463/710</v>
      </c>
      <c r="AA902" s="1" t="str">
        <f>"راه روستائي -روكش"</f>
        <v>راه روستائي -روكش</v>
      </c>
      <c r="AB902" s="1" t="str">
        <f>"96/11/10"</f>
        <v>96/11/10</v>
      </c>
      <c r="AC902" s="1" t="str">
        <f>"استان كرمان"</f>
        <v>استان كرمان</v>
      </c>
      <c r="AD902" s="1" t="str">
        <f>"96/11/30"</f>
        <v>96/11/30</v>
      </c>
      <c r="AE902" s="1" t="str">
        <f>"اختتام"</f>
        <v>اختتام</v>
      </c>
      <c r="AF902" s="1" t="str">
        <f>""</f>
        <v/>
      </c>
      <c r="AG902" s="1" t="str">
        <f>""</f>
        <v/>
      </c>
      <c r="AH902" s="1" t="str">
        <f>""</f>
        <v/>
      </c>
      <c r="AI902" s="1" t="str">
        <f>""</f>
        <v/>
      </c>
      <c r="AJ902" s="1" t="str">
        <f>""</f>
        <v/>
      </c>
      <c r="AK902" s="1" t="str">
        <f>""</f>
        <v/>
      </c>
    </row>
    <row r="903" spans="1:37">
      <c r="A903" s="1">
        <v>2000000</v>
      </c>
      <c r="B903" s="1">
        <v>961800045</v>
      </c>
      <c r="C903" s="1" t="str">
        <f>"تخليه -اصفهان كنار گذر غربي كيلومتر 15كارگاه سيمين سپاهان"</f>
        <v>تخليه -اصفهان كنار گذر غربي كيلومتر 15كارگاه سيمين سپاهان</v>
      </c>
      <c r="D903" s="1">
        <v>9363</v>
      </c>
      <c r="E903" s="1">
        <v>2000000</v>
      </c>
      <c r="F903" s="1">
        <v>96</v>
      </c>
      <c r="G903" s="1">
        <v>0</v>
      </c>
      <c r="H903" s="1" t="str">
        <f>"96/06/26"</f>
        <v>96/06/26</v>
      </c>
      <c r="I903" s="1" t="str">
        <f>"كيلوگرم"</f>
        <v>كيلوگرم</v>
      </c>
      <c r="J903" s="1" t="str">
        <f>"0000000091"</f>
        <v>0000000091</v>
      </c>
      <c r="K903" s="1" t="str">
        <f>"قير  PG64-22"</f>
        <v>قير  PG64-22</v>
      </c>
      <c r="L903" s="1">
        <v>100</v>
      </c>
      <c r="M903" s="1" t="str">
        <f>"مخازن قير اصفهان"</f>
        <v>مخازن قير اصفهان</v>
      </c>
      <c r="N903" s="1">
        <v>7079</v>
      </c>
      <c r="O903" s="1">
        <v>50036067</v>
      </c>
      <c r="P903" s="1" t="str">
        <f>"  ساختماني سيمين سپاهان"</f>
        <v xml:space="preserve">  ساختماني سيمين سپاهان</v>
      </c>
      <c r="Q903" s="1">
        <v>18</v>
      </c>
      <c r="R903" s="1" t="str">
        <f>"فروش داخلي تهران - وزارت راه - شرکت ساخت و توسعه راهها"</f>
        <v>فروش داخلي تهران - وزارت راه - شرکت ساخت و توسعه راهها</v>
      </c>
      <c r="S903" s="1" t="str">
        <f>"قرارداد فروش"</f>
        <v>قرارداد فروش</v>
      </c>
      <c r="T903" s="1" t="str">
        <f>"ندارد"</f>
        <v>ندارد</v>
      </c>
      <c r="U903" s="1" t="str">
        <f>"گل زاد فرزاد(1014ج89)"</f>
        <v>گل زاد فرزاد(1014ج89)</v>
      </c>
      <c r="V903" s="1">
        <v>961800045</v>
      </c>
      <c r="W903" s="1">
        <v>961800045</v>
      </c>
      <c r="X903" s="1" t="str">
        <f>"1396512678"</f>
        <v>1396512678</v>
      </c>
      <c r="Y903" s="1" t="str">
        <f>"96/06/26"</f>
        <v>96/06/26</v>
      </c>
      <c r="Z903" s="1" t="str">
        <f>"30774/710"</f>
        <v>30774/710</v>
      </c>
      <c r="AA903" s="1" t="str">
        <f>"شركت  ساخت وتوسعه راهها"</f>
        <v>شركت  ساخت وتوسعه راهها</v>
      </c>
      <c r="AB903" s="1" t="str">
        <f>"96/06/22"</f>
        <v>96/06/22</v>
      </c>
      <c r="AC903" s="1" t="str">
        <f>"استان اصفهان"</f>
        <v>استان اصفهان</v>
      </c>
      <c r="AD903" s="1" t="str">
        <f>"96/06/25"</f>
        <v>96/06/25</v>
      </c>
      <c r="AE903" s="1" t="str">
        <f>"اختتام"</f>
        <v>اختتام</v>
      </c>
      <c r="AF903" s="1" t="str">
        <f>""</f>
        <v/>
      </c>
      <c r="AG903" s="1" t="str">
        <f>""</f>
        <v/>
      </c>
      <c r="AH903" s="1" t="str">
        <f>""</f>
        <v/>
      </c>
      <c r="AI903" s="1" t="str">
        <f>""</f>
        <v/>
      </c>
      <c r="AJ903" s="1" t="str">
        <f>""</f>
        <v/>
      </c>
      <c r="AK903" s="1" t="str">
        <f>""</f>
        <v/>
      </c>
    </row>
    <row r="904" spans="1:37">
      <c r="A904" s="1">
        <v>600000</v>
      </c>
      <c r="B904" s="1">
        <v>961700260</v>
      </c>
      <c r="C904" s="1" t="str">
        <f>"تخليه -جاده كرمان بم -كارخانه آسفالت كرمان تسطيح"</f>
        <v>تخليه -جاده كرمان بم -كارخانه آسفالت كرمان تسطيح</v>
      </c>
      <c r="D904" s="1">
        <v>13100</v>
      </c>
      <c r="E904" s="1">
        <v>599240</v>
      </c>
      <c r="F904" s="1">
        <v>96</v>
      </c>
      <c r="G904" s="1">
        <v>760</v>
      </c>
      <c r="H904" s="1" t="str">
        <f>"96/12/27"</f>
        <v>96/12/27</v>
      </c>
      <c r="I904" s="1" t="str">
        <f>"كيلوگرم"</f>
        <v>كيلوگرم</v>
      </c>
      <c r="J904" s="1" t="str">
        <f>"0000000091"</f>
        <v>0000000091</v>
      </c>
      <c r="K904" s="1" t="str">
        <f>"قير  PG64-22"</f>
        <v>قير  PG64-22</v>
      </c>
      <c r="L904" s="1">
        <v>100</v>
      </c>
      <c r="M904" s="1" t="str">
        <f>"مخازن قير اصفهان"</f>
        <v>مخازن قير اصفهان</v>
      </c>
      <c r="N904" s="1">
        <v>7161</v>
      </c>
      <c r="O904" s="1">
        <v>50039139</v>
      </c>
      <c r="P904" s="1" t="str">
        <f>"  كرمان تسطيح"</f>
        <v xml:space="preserve">  كرمان تسطيح</v>
      </c>
      <c r="Q904" s="1">
        <v>17</v>
      </c>
      <c r="R904" s="1" t="str">
        <f>"فروش داخلي تهران - وزارت راه - راه روستايي - روکش"</f>
        <v>فروش داخلي تهران - وزارت راه - راه روستايي - روکش</v>
      </c>
      <c r="S904" s="1" t="str">
        <f>"قرارداد فروش"</f>
        <v>قرارداد فروش</v>
      </c>
      <c r="T904" s="1" t="str">
        <f>"ندارد"</f>
        <v>ندارد</v>
      </c>
      <c r="U904" s="1" t="str">
        <f>"خضرائي فريدون(4844003)"</f>
        <v>خضرائي فريدون(4844003)</v>
      </c>
      <c r="V904" s="1">
        <v>961700260</v>
      </c>
      <c r="W904" s="1">
        <v>961700260</v>
      </c>
      <c r="X904" s="1" t="str">
        <f>"1396555470"</f>
        <v>1396555470</v>
      </c>
      <c r="Y904" s="1" t="str">
        <f>"96/12/27"</f>
        <v>96/12/27</v>
      </c>
      <c r="Z904" s="1" t="str">
        <f>"300843/870"</f>
        <v>300843/870</v>
      </c>
      <c r="AA904" s="1" t="str">
        <f>"راه روستائي -روكش"</f>
        <v>راه روستائي -روكش</v>
      </c>
      <c r="AB904" s="1" t="str">
        <f>"96/12/23"</f>
        <v>96/12/23</v>
      </c>
      <c r="AC904" s="1" t="str">
        <f>"استان كرمان"</f>
        <v>استان كرمان</v>
      </c>
      <c r="AD904" s="1" t="str">
        <f>"96/12/27"</f>
        <v>96/12/27</v>
      </c>
      <c r="AE904" s="1" t="str">
        <f>"اختتام"</f>
        <v>اختتام</v>
      </c>
      <c r="AF904" s="1" t="str">
        <f>""</f>
        <v/>
      </c>
      <c r="AG904" s="1" t="str">
        <f>""</f>
        <v/>
      </c>
      <c r="AH904" s="1" t="str">
        <f>""</f>
        <v/>
      </c>
      <c r="AI904" s="1" t="str">
        <f>""</f>
        <v/>
      </c>
      <c r="AJ904" s="1" t="str">
        <f>""</f>
        <v/>
      </c>
      <c r="AK904" s="1" t="str">
        <f>""</f>
        <v/>
      </c>
    </row>
    <row r="905" spans="1:37">
      <c r="A905" s="1">
        <v>300000</v>
      </c>
      <c r="B905" s="1">
        <v>961900009</v>
      </c>
      <c r="C905" s="1" t="str">
        <f>"تخليه -كرمانشاه -جاده هرسين كارگاه چهر-مزرراه"</f>
        <v>تخليه -كرمانشاه -جاده هرسين كارگاه چهر-مزرراه</v>
      </c>
      <c r="D905" s="1">
        <v>8854</v>
      </c>
      <c r="E905" s="1">
        <v>297000</v>
      </c>
      <c r="F905" s="1">
        <v>96</v>
      </c>
      <c r="G905" s="1">
        <v>3000</v>
      </c>
      <c r="H905" s="1" t="str">
        <f>"96/01/15"</f>
        <v>96/01/15</v>
      </c>
      <c r="I905" s="1" t="str">
        <f>"كيلوگرم"</f>
        <v>كيلوگرم</v>
      </c>
      <c r="J905" s="1" t="str">
        <f>"0000000091"</f>
        <v>0000000091</v>
      </c>
      <c r="K905" s="1" t="str">
        <f>"قير  PG64-22"</f>
        <v>قير  PG64-22</v>
      </c>
      <c r="L905" s="1">
        <v>100</v>
      </c>
      <c r="M905" s="1" t="str">
        <f>"مخازن قير اصفهان"</f>
        <v>مخازن قير اصفهان</v>
      </c>
      <c r="N905" s="1">
        <v>9382</v>
      </c>
      <c r="O905" s="1">
        <v>50034366</v>
      </c>
      <c r="P905" s="1" t="str">
        <f>"  مهندسين ساگارت سيوند"</f>
        <v xml:space="preserve">  مهندسين ساگارت سيوند</v>
      </c>
      <c r="Q905" s="1">
        <v>19</v>
      </c>
      <c r="R90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05" s="1" t="str">
        <f>"قرارداد فروش"</f>
        <v>قرارداد فروش</v>
      </c>
      <c r="T905" s="1" t="str">
        <f>"ندارد"</f>
        <v>ندارد</v>
      </c>
      <c r="U905" s="1" t="str">
        <f>"شمسيان پور حبيب اله(2842034)"</f>
        <v>شمسيان پور حبيب اله(2842034)</v>
      </c>
      <c r="V905" s="1">
        <v>961900009</v>
      </c>
      <c r="W905" s="1">
        <v>961900009</v>
      </c>
      <c r="X905" s="1" t="str">
        <f>"1395471092"</f>
        <v>1395471092</v>
      </c>
      <c r="Y905" s="1" t="str">
        <f>"96/01/15"</f>
        <v>96/01/15</v>
      </c>
      <c r="Z905" s="1" t="str">
        <f>"67149/710"</f>
        <v>67149/710</v>
      </c>
      <c r="AA905" s="1" t="str">
        <f>"سازمان راهداري وحمل نقل جاده اي"</f>
        <v>سازمان راهداري وحمل نقل جاده اي</v>
      </c>
      <c r="AB905" s="1" t="str">
        <f>"95/12/25"</f>
        <v>95/12/25</v>
      </c>
      <c r="AC905" s="1" t="str">
        <f>"استان كرمانشاه"</f>
        <v>استان كرمانشاه</v>
      </c>
      <c r="AD905" s="1" t="str">
        <f>"95/12/28"</f>
        <v>95/12/28</v>
      </c>
      <c r="AE905" s="1" t="str">
        <f>"اختتام"</f>
        <v>اختتام</v>
      </c>
      <c r="AF905" s="1" t="str">
        <f>""</f>
        <v/>
      </c>
      <c r="AG905" s="1" t="str">
        <f>""</f>
        <v/>
      </c>
      <c r="AH905" s="1" t="str">
        <f>""</f>
        <v/>
      </c>
      <c r="AI905" s="1" t="str">
        <f>""</f>
        <v/>
      </c>
      <c r="AJ905" s="1" t="str">
        <f>""</f>
        <v/>
      </c>
      <c r="AK905" s="1" t="str">
        <f>""</f>
        <v/>
      </c>
    </row>
    <row r="906" spans="1:37">
      <c r="A906" s="1">
        <v>367000</v>
      </c>
      <c r="B906" s="1">
        <v>961700094</v>
      </c>
      <c r="C906" s="1" t="str">
        <f>"تخليه - خراسان جنوبي- اسديه-کارخانه شهرداري اسديه"</f>
        <v>تخليه - خراسان جنوبي- اسديه-کارخانه شهرداري اسديه</v>
      </c>
      <c r="D906" s="1">
        <v>13600</v>
      </c>
      <c r="E906" s="1">
        <v>366080</v>
      </c>
      <c r="F906" s="1">
        <v>96</v>
      </c>
      <c r="G906" s="1">
        <v>920</v>
      </c>
      <c r="H906" s="1" t="str">
        <f>"96/06/21"</f>
        <v>96/06/21</v>
      </c>
      <c r="I906" s="1" t="str">
        <f>"كيلوگرم"</f>
        <v>كيلوگرم</v>
      </c>
      <c r="J906" s="1" t="str">
        <f>"0000000091"</f>
        <v>0000000091</v>
      </c>
      <c r="K906" s="1" t="str">
        <f>"قير  PG64-22"</f>
        <v>قير  PG64-22</v>
      </c>
      <c r="L906" s="1">
        <v>100</v>
      </c>
      <c r="M906" s="1" t="str">
        <f>"مخازن قير اصفهان"</f>
        <v>مخازن قير اصفهان</v>
      </c>
      <c r="N906" s="1">
        <v>4012</v>
      </c>
      <c r="O906" s="1">
        <v>50035988</v>
      </c>
      <c r="P906" s="1" t="str">
        <f>"  اداره كل راه و شهرسازي خراسان جنوبي"</f>
        <v xml:space="preserve">  اداره كل راه و شهرسازي خراسان جنوبي</v>
      </c>
      <c r="Q906" s="1">
        <v>17</v>
      </c>
      <c r="R906" s="1" t="str">
        <f>"فروش داخلي تهران - وزارت راه - راه روستايي - روکش"</f>
        <v>فروش داخلي تهران - وزارت راه - راه روستايي - روکش</v>
      </c>
      <c r="S906" s="1" t="str">
        <f>"قرارداد فروش"</f>
        <v>قرارداد فروش</v>
      </c>
      <c r="T906" s="1" t="str">
        <f>"ندارد"</f>
        <v>ندارد</v>
      </c>
      <c r="U906" s="1" t="str">
        <f>"كاردان اسپادان راه مصطفي  (1911100)"</f>
        <v>كاردان اسپادان راه مصطفي  (1911100)</v>
      </c>
      <c r="V906" s="1">
        <v>961700094</v>
      </c>
      <c r="W906" s="1">
        <v>961700094</v>
      </c>
      <c r="X906" s="1" t="str">
        <f>"1396511612"</f>
        <v>1396511612</v>
      </c>
      <c r="Y906" s="1" t="str">
        <f>"96/06/21"</f>
        <v>96/06/21</v>
      </c>
      <c r="Z906" s="1" t="str">
        <f>"29799/710"</f>
        <v>29799/710</v>
      </c>
      <c r="AA906" s="1" t="str">
        <f>"راه روستائي -روكش"</f>
        <v>راه روستائي -روكش</v>
      </c>
      <c r="AB906" s="1" t="str">
        <f>"96/06/15"</f>
        <v>96/06/15</v>
      </c>
      <c r="AC906" s="1" t="str">
        <f>"خراسان جنوبي"</f>
        <v>خراسان جنوبي</v>
      </c>
      <c r="AD906" s="1" t="str">
        <f>"96/06/21"</f>
        <v>96/06/21</v>
      </c>
      <c r="AE906" s="1" t="str">
        <f>"اختتام"</f>
        <v>اختتام</v>
      </c>
      <c r="AF906" s="1" t="str">
        <f>""</f>
        <v/>
      </c>
      <c r="AG906" s="1" t="str">
        <f>""</f>
        <v/>
      </c>
      <c r="AH906" s="1" t="str">
        <f>""</f>
        <v/>
      </c>
      <c r="AI906" s="1" t="str">
        <f>""</f>
        <v/>
      </c>
      <c r="AJ906" s="1" t="str">
        <f>""</f>
        <v/>
      </c>
      <c r="AK906" s="1" t="str">
        <f>""</f>
        <v/>
      </c>
    </row>
    <row r="907" spans="1:37">
      <c r="A907" s="1">
        <v>62000</v>
      </c>
      <c r="B907" s="1">
        <v>961700130</v>
      </c>
      <c r="C907" s="1" t="str">
        <f>"تخليه - خراسان جنوبي - کارخانه آسفلت دليلي"</f>
        <v>تخليه - خراسان جنوبي - کارخانه آسفلت دليلي</v>
      </c>
      <c r="D907" s="1">
        <v>12970</v>
      </c>
      <c r="E907" s="1">
        <v>62000</v>
      </c>
      <c r="F907" s="1">
        <v>96</v>
      </c>
      <c r="G907" s="1">
        <v>0</v>
      </c>
      <c r="H907" s="1" t="str">
        <f>"96/07/17"</f>
        <v>96/07/17</v>
      </c>
      <c r="I907" s="1" t="str">
        <f>"كيلوگرم"</f>
        <v>كيلوگرم</v>
      </c>
      <c r="J907" s="1" t="str">
        <f>"0000000091"</f>
        <v>0000000091</v>
      </c>
      <c r="K907" s="1" t="str">
        <f>"قير  PG64-22"</f>
        <v>قير  PG64-22</v>
      </c>
      <c r="L907" s="1">
        <v>100</v>
      </c>
      <c r="M907" s="1" t="str">
        <f>"مخازن قير اصفهان"</f>
        <v>مخازن قير اصفهان</v>
      </c>
      <c r="N907" s="1">
        <v>4012</v>
      </c>
      <c r="O907" s="1">
        <v>50036644</v>
      </c>
      <c r="P907" s="1" t="str">
        <f>"  اداره كل راه و شهرسازي خراسان جنوبي"</f>
        <v xml:space="preserve">  اداره كل راه و شهرسازي خراسان جنوبي</v>
      </c>
      <c r="Q907" s="1">
        <v>17</v>
      </c>
      <c r="R907" s="1" t="str">
        <f>"فروش داخلي تهران - وزارت راه - راه روستايي - روکش"</f>
        <v>فروش داخلي تهران - وزارت راه - راه روستايي - روکش</v>
      </c>
      <c r="S907" s="1" t="str">
        <f>"قرارداد فروش"</f>
        <v>قرارداد فروش</v>
      </c>
      <c r="T907" s="1" t="str">
        <f>"ندارد"</f>
        <v>ندارد</v>
      </c>
      <c r="U907" s="1" t="str">
        <f>"بابامحمدي عنايت اله(4844000)"</f>
        <v>بابامحمدي عنايت اله(4844000)</v>
      </c>
      <c r="V907" s="1">
        <v>961700130</v>
      </c>
      <c r="W907" s="1">
        <v>961700130</v>
      </c>
      <c r="X907" s="1" t="str">
        <f>"1396517390"</f>
        <v>1396517390</v>
      </c>
      <c r="Y907" s="1" t="str">
        <f>"96/07/17"</f>
        <v>96/07/17</v>
      </c>
      <c r="Z907" s="1" t="str">
        <f>"34616/710"</f>
        <v>34616/710</v>
      </c>
      <c r="AA907" s="1" t="str">
        <f>"راه روستائي -روكش"</f>
        <v>راه روستائي -روكش</v>
      </c>
      <c r="AB907" s="1" t="str">
        <f>"96/07/15"</f>
        <v>96/07/15</v>
      </c>
      <c r="AC907" s="1" t="str">
        <f>"خراسان جنوبي"</f>
        <v>خراسان جنوبي</v>
      </c>
      <c r="AD907" s="1" t="str">
        <f>"96/07/17"</f>
        <v>96/07/17</v>
      </c>
      <c r="AE907" s="1" t="str">
        <f>"اختتام"</f>
        <v>اختتام</v>
      </c>
      <c r="AF907" s="1" t="str">
        <f>""</f>
        <v/>
      </c>
      <c r="AG907" s="1" t="str">
        <f>""</f>
        <v/>
      </c>
      <c r="AH907" s="1" t="str">
        <f>""</f>
        <v/>
      </c>
      <c r="AI907" s="1" t="str">
        <f>""</f>
        <v/>
      </c>
      <c r="AJ907" s="1" t="str">
        <f>""</f>
        <v/>
      </c>
      <c r="AK907" s="1" t="str">
        <f>""</f>
        <v/>
      </c>
    </row>
    <row r="908" spans="1:37">
      <c r="A908" s="1">
        <v>275000</v>
      </c>
      <c r="B908" s="1">
        <v>961700128</v>
      </c>
      <c r="C908" s="1" t="str">
        <f>"تخليه -خراسان جنوبي بيرجندكيلومتر15محورزاهدان كارخانه آسفالت شهرداري بيرجند"</f>
        <v>تخليه -خراسان جنوبي بيرجندكيلومتر15محورزاهدان كارخانه آسفالت شهرداري بيرجند</v>
      </c>
      <c r="D908" s="1">
        <v>12970</v>
      </c>
      <c r="E908" s="1">
        <v>273680</v>
      </c>
      <c r="F908" s="1">
        <v>96</v>
      </c>
      <c r="G908" s="1">
        <v>1320</v>
      </c>
      <c r="H908" s="1" t="str">
        <f>"96/07/17"</f>
        <v>96/07/17</v>
      </c>
      <c r="I908" s="1" t="str">
        <f>"كيلوگرم"</f>
        <v>كيلوگرم</v>
      </c>
      <c r="J908" s="1" t="str">
        <f>"0000000091"</f>
        <v>0000000091</v>
      </c>
      <c r="K908" s="1" t="str">
        <f>"قير  PG64-22"</f>
        <v>قير  PG64-22</v>
      </c>
      <c r="L908" s="1">
        <v>100</v>
      </c>
      <c r="M908" s="1" t="str">
        <f>"مخازن قير اصفهان"</f>
        <v>مخازن قير اصفهان</v>
      </c>
      <c r="N908" s="1">
        <v>4012</v>
      </c>
      <c r="O908" s="1">
        <v>50037065</v>
      </c>
      <c r="P908" s="1" t="str">
        <f>"  اداره كل راه و شهرسازي خراسان جنوبي"</f>
        <v xml:space="preserve">  اداره كل راه و شهرسازي خراسان جنوبي</v>
      </c>
      <c r="Q908" s="1">
        <v>17</v>
      </c>
      <c r="R908" s="1" t="str">
        <f>"فروش داخلي تهران - وزارت راه - راه روستايي - روکش"</f>
        <v>فروش داخلي تهران - وزارت راه - راه روستايي - روکش</v>
      </c>
      <c r="S908" s="1" t="str">
        <f>"قرارداد فروش"</f>
        <v>قرارداد فروش</v>
      </c>
      <c r="T908" s="1" t="str">
        <f>"ندارد"</f>
        <v>ندارد</v>
      </c>
      <c r="U908" s="1" t="str">
        <f>"آقا علي منوچهر(1016ج89)"</f>
        <v>آقا علي منوچهر(1016ج89)</v>
      </c>
      <c r="V908" s="1">
        <v>961700128</v>
      </c>
      <c r="W908" s="1">
        <v>961700128</v>
      </c>
      <c r="X908" s="1" t="str">
        <f>"1396517390"</f>
        <v>1396517390</v>
      </c>
      <c r="Y908" s="1" t="str">
        <f>"96/07/17"</f>
        <v>96/07/17</v>
      </c>
      <c r="Z908" s="1" t="str">
        <f>"34620/710"</f>
        <v>34620/710</v>
      </c>
      <c r="AA908" s="1" t="str">
        <f>"راه روستائي -روكش"</f>
        <v>راه روستائي -روكش</v>
      </c>
      <c r="AB908" s="1" t="str">
        <f>"96/07/15"</f>
        <v>96/07/15</v>
      </c>
      <c r="AC908" s="1" t="str">
        <f>"خراسان جنوبي"</f>
        <v>خراسان جنوبي</v>
      </c>
      <c r="AD908" s="1" t="str">
        <f>"96/07/17"</f>
        <v>96/07/17</v>
      </c>
      <c r="AE908" s="1" t="str">
        <f>"اختتام"</f>
        <v>اختتام</v>
      </c>
      <c r="AF908" s="1" t="str">
        <f>""</f>
        <v/>
      </c>
      <c r="AG908" s="1" t="str">
        <f>""</f>
        <v/>
      </c>
      <c r="AH908" s="1" t="str">
        <f>""</f>
        <v/>
      </c>
      <c r="AI908" s="1" t="str">
        <f>""</f>
        <v/>
      </c>
      <c r="AJ908" s="1" t="str">
        <f>""</f>
        <v/>
      </c>
      <c r="AK908" s="1" t="str">
        <f>""</f>
        <v/>
      </c>
    </row>
    <row r="909" spans="1:37">
      <c r="A909" s="1">
        <v>1000000</v>
      </c>
      <c r="B909" s="1">
        <v>961900002</v>
      </c>
      <c r="C909" s="1" t="str">
        <f>""</f>
        <v/>
      </c>
      <c r="D909" s="1">
        <v>9068</v>
      </c>
      <c r="E909" s="1">
        <v>990740</v>
      </c>
      <c r="F909" s="1">
        <v>96</v>
      </c>
      <c r="G909" s="1">
        <v>9260</v>
      </c>
      <c r="H909" s="1" t="str">
        <f>"96/01/15"</f>
        <v>96/01/15</v>
      </c>
      <c r="I909" s="1" t="str">
        <f>"كيلوگرم"</f>
        <v>كيلوگرم</v>
      </c>
      <c r="J909" s="1" t="str">
        <f>"0000000091"</f>
        <v>0000000091</v>
      </c>
      <c r="K909" s="1" t="str">
        <f>"قير  PG64-22"</f>
        <v>قير  PG64-22</v>
      </c>
      <c r="L909" s="1">
        <v>100</v>
      </c>
      <c r="M909" s="1" t="str">
        <f>"مخازن قير اصفهان"</f>
        <v>مخازن قير اصفهان</v>
      </c>
      <c r="N909" s="1">
        <v>8333</v>
      </c>
      <c r="O909" s="1">
        <v>50034353</v>
      </c>
      <c r="P909" s="1" t="str">
        <f>"  گيتي گسترخاوران"</f>
        <v xml:space="preserve">  گيتي گسترخاوران</v>
      </c>
      <c r="Q909" s="1">
        <v>19</v>
      </c>
      <c r="R90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09" s="1" t="str">
        <f>"قرارداد فروش"</f>
        <v>قرارداد فروش</v>
      </c>
      <c r="T909" s="1" t="str">
        <f>"ندارد"</f>
        <v>ندارد</v>
      </c>
      <c r="U909" s="1" t="str">
        <f>"نظام دوست امين (1911102)"</f>
        <v>نظام دوست امين (1911102)</v>
      </c>
      <c r="V909" s="1">
        <v>961900002</v>
      </c>
      <c r="W909" s="1">
        <v>961900002</v>
      </c>
      <c r="X909" s="1" t="str">
        <f>"1395471086"</f>
        <v>1395471086</v>
      </c>
      <c r="Y909" s="1" t="str">
        <f>"96/01/15"</f>
        <v>96/01/15</v>
      </c>
      <c r="Z909" s="1" t="str">
        <f>"66950/710"</f>
        <v>66950/710</v>
      </c>
      <c r="AA909" s="1" t="str">
        <f>"سازمان راهداري وحمل نقل جاده اي"</f>
        <v>سازمان راهداري وحمل نقل جاده اي</v>
      </c>
      <c r="AB909" s="1" t="str">
        <f>"95/12/25"</f>
        <v>95/12/25</v>
      </c>
      <c r="AC909" s="1" t="str">
        <f>"خراسان رضوي"</f>
        <v>خراسان رضوي</v>
      </c>
      <c r="AD909" s="1" t="str">
        <f>"95/12/28"</f>
        <v>95/12/28</v>
      </c>
      <c r="AE909" s="1" t="str">
        <f>"اختتام"</f>
        <v>اختتام</v>
      </c>
      <c r="AF909" s="1" t="str">
        <f>""</f>
        <v/>
      </c>
      <c r="AG909" s="1" t="str">
        <f>""</f>
        <v/>
      </c>
      <c r="AH909" s="1" t="str">
        <f>""</f>
        <v/>
      </c>
      <c r="AI909" s="1" t="str">
        <f>""</f>
        <v/>
      </c>
      <c r="AJ909" s="1" t="str">
        <f>""</f>
        <v/>
      </c>
      <c r="AK909" s="1" t="str">
        <f>""</f>
        <v/>
      </c>
    </row>
    <row r="910" spans="1:37">
      <c r="A910" s="1">
        <v>500000</v>
      </c>
      <c r="B910" s="1">
        <v>961800058</v>
      </c>
      <c r="C910" s="1" t="str">
        <f>"تخليه -مشهد-كارخانه آسفالت پروژه آزادراه مشهد-باغچه"</f>
        <v>تخليه -مشهد-كارخانه آسفالت پروژه آزادراه مشهد-باغچه</v>
      </c>
      <c r="D910" s="1">
        <v>13600</v>
      </c>
      <c r="E910" s="1">
        <v>499240</v>
      </c>
      <c r="F910" s="1">
        <v>96</v>
      </c>
      <c r="G910" s="1">
        <v>760</v>
      </c>
      <c r="H910" s="1" t="str">
        <f>"96/07/11"</f>
        <v>96/07/11</v>
      </c>
      <c r="I910" s="1" t="str">
        <f>"كيلوگرم"</f>
        <v>كيلوگرم</v>
      </c>
      <c r="J910" s="1" t="str">
        <f>"0000000092"</f>
        <v>0000000092</v>
      </c>
      <c r="K910" s="1" t="str">
        <f>"قير  PG64-16"</f>
        <v>قير  PG64-16</v>
      </c>
      <c r="L910" s="1">
        <v>100</v>
      </c>
      <c r="M910" s="1" t="str">
        <f>"مخازن قير اصفهان"</f>
        <v>مخازن قير اصفهان</v>
      </c>
      <c r="N910" s="1">
        <v>7091</v>
      </c>
      <c r="O910" s="1">
        <v>50036501</v>
      </c>
      <c r="P910" s="1" t="str">
        <f>"  مسكن وعمران قدس رضوي"</f>
        <v xml:space="preserve">  مسكن وعمران قدس رضوي</v>
      </c>
      <c r="Q910" s="1">
        <v>18</v>
      </c>
      <c r="R910" s="1" t="str">
        <f>"فروش داخلي تهران - وزارت راه - شرکت ساخت و توسعه راهها"</f>
        <v>فروش داخلي تهران - وزارت راه - شرکت ساخت و توسعه راهها</v>
      </c>
      <c r="S910" s="1" t="str">
        <f>"قرارداد فروش"</f>
        <v>قرارداد فروش</v>
      </c>
      <c r="T910" s="1" t="str">
        <f>"ندارد"</f>
        <v>ندارد</v>
      </c>
      <c r="U910" s="1" t="str">
        <f>"عابدي محمود(1018ج89)"</f>
        <v>عابدي محمود(1018ج89)</v>
      </c>
      <c r="V910" s="1">
        <v>961800058</v>
      </c>
      <c r="W910" s="1">
        <v>961800058</v>
      </c>
      <c r="X910" s="1" t="str">
        <f>"1396515915"</f>
        <v>1396515915</v>
      </c>
      <c r="Y910" s="1" t="str">
        <f>"96/07/11"</f>
        <v>96/07/11</v>
      </c>
      <c r="Z910" s="1" t="str">
        <f>"32508/710"</f>
        <v>32508/710</v>
      </c>
      <c r="AA910" s="1" t="str">
        <f>"شركت  ساخت وتوسعه راهها"</f>
        <v>شركت  ساخت وتوسعه راهها</v>
      </c>
      <c r="AB910" s="1" t="str">
        <f>"96/07/01"</f>
        <v>96/07/01</v>
      </c>
      <c r="AC910" s="1" t="str">
        <f>"خراسان رضوي"</f>
        <v>خراسان رضوي</v>
      </c>
      <c r="AD910" s="1" t="str">
        <f>"96/07/11"</f>
        <v>96/07/11</v>
      </c>
      <c r="AE910" s="1" t="str">
        <f>"اختتام"</f>
        <v>اختتام</v>
      </c>
      <c r="AF910" s="1" t="str">
        <f>""</f>
        <v/>
      </c>
      <c r="AG910" s="1" t="str">
        <f>""</f>
        <v/>
      </c>
      <c r="AH910" s="1" t="str">
        <f>""</f>
        <v/>
      </c>
      <c r="AI910" s="1" t="str">
        <f>""</f>
        <v/>
      </c>
      <c r="AJ910" s="1" t="str">
        <f>""</f>
        <v/>
      </c>
      <c r="AK910" s="1" t="str">
        <f>""</f>
        <v/>
      </c>
    </row>
    <row r="911" spans="1:37">
      <c r="A911" s="1">
        <v>214000</v>
      </c>
      <c r="B911" s="1">
        <v>961700027</v>
      </c>
      <c r="C911" s="1" t="str">
        <f>"تخليه - ايرانشهر-کارخانه تخليه آسفالت"</f>
        <v>تخليه - ايرانشهر-کارخانه تخليه آسفالت</v>
      </c>
      <c r="D911" s="1">
        <v>8904</v>
      </c>
      <c r="E911" s="1">
        <v>213480</v>
      </c>
      <c r="F911" s="1">
        <v>96</v>
      </c>
      <c r="G911" s="1">
        <v>520</v>
      </c>
      <c r="H911" s="1" t="str">
        <f>"96/04/26"</f>
        <v>96/04/26</v>
      </c>
      <c r="I911" s="1" t="str">
        <f>"كيلوگرم"</f>
        <v>كيلوگرم</v>
      </c>
      <c r="J911" s="1" t="str">
        <f>"0000000092"</f>
        <v>0000000092</v>
      </c>
      <c r="K911" s="1" t="str">
        <f>"قير  PG64-16"</f>
        <v>قير  PG64-16</v>
      </c>
      <c r="L911" s="1">
        <v>100</v>
      </c>
      <c r="M911" s="1" t="str">
        <f>"مخازن قير اصفهان"</f>
        <v>مخازن قير اصفهان</v>
      </c>
      <c r="N911" s="1">
        <v>8068</v>
      </c>
      <c r="O911" s="1">
        <v>50035238</v>
      </c>
      <c r="P911" s="1" t="str">
        <f>"  اداره كل راه وشهرسازي ايرانشهر"</f>
        <v xml:space="preserve">  اداره كل راه وشهرسازي ايرانشهر</v>
      </c>
      <c r="Q911" s="1">
        <v>17</v>
      </c>
      <c r="R911" s="1" t="str">
        <f>"فروش داخلي تهران - وزارت راه - راه روستايي - روکش"</f>
        <v>فروش داخلي تهران - وزارت راه - راه روستايي - روکش</v>
      </c>
      <c r="S911" s="1" t="str">
        <f>"قرارداد فروش"</f>
        <v>قرارداد فروش</v>
      </c>
      <c r="T911" s="1" t="str">
        <f>"ندارد"</f>
        <v>ندارد</v>
      </c>
      <c r="U911" s="1" t="str">
        <f>"بلوچ پاسارگاد(5965002)"</f>
        <v>بلوچ پاسارگاد(5965002)</v>
      </c>
      <c r="V911" s="1">
        <v>961700027</v>
      </c>
      <c r="W911" s="1">
        <v>961700027</v>
      </c>
      <c r="X911" s="1" t="str">
        <f>"1396496996"</f>
        <v>1396496996</v>
      </c>
      <c r="Y911" s="1" t="str">
        <f>"96/04/26"</f>
        <v>96/04/26</v>
      </c>
      <c r="Z911" s="1" t="str">
        <f>"18346/710"</f>
        <v>18346/710</v>
      </c>
      <c r="AA911" s="1" t="str">
        <f>"راه روستائي -روكش"</f>
        <v>راه روستائي -روكش</v>
      </c>
      <c r="AB911" s="1" t="str">
        <f>"96/04/24"</f>
        <v>96/04/24</v>
      </c>
      <c r="AC911" s="1" t="str">
        <f>"ايرانشهر"</f>
        <v>ايرانشهر</v>
      </c>
      <c r="AD911" s="1" t="str">
        <f>"96/04/25"</f>
        <v>96/04/25</v>
      </c>
      <c r="AE911" s="1" t="str">
        <f>"اختتام"</f>
        <v>اختتام</v>
      </c>
      <c r="AF911" s="1" t="str">
        <f>""</f>
        <v/>
      </c>
      <c r="AG911" s="1" t="str">
        <f>""</f>
        <v/>
      </c>
      <c r="AH911" s="1" t="str">
        <f>""</f>
        <v/>
      </c>
      <c r="AI911" s="1" t="str">
        <f>""</f>
        <v/>
      </c>
      <c r="AJ911" s="1" t="str">
        <f>""</f>
        <v/>
      </c>
      <c r="AK911" s="1" t="str">
        <f>""</f>
        <v/>
      </c>
    </row>
    <row r="912" spans="1:37">
      <c r="A912" s="1">
        <v>800000</v>
      </c>
      <c r="B912" s="1">
        <v>961700261</v>
      </c>
      <c r="C912" s="1" t="str">
        <f>"تخليه -اصفهان -نطنزكيلومتر5جاده گل آباد-روبروي ايستگاه راه آهن -كارخانه آسفالت ايران مترو"</f>
        <v>تخليه -اصفهان -نطنزكيلومتر5جاده گل آباد-روبروي ايستگاه راه آهن -كارخانه آسفالت ايران مترو</v>
      </c>
      <c r="D912" s="1">
        <v>16350</v>
      </c>
      <c r="E912" s="1">
        <v>791640</v>
      </c>
      <c r="F912" s="1">
        <v>96</v>
      </c>
      <c r="G912" s="1">
        <v>8360</v>
      </c>
      <c r="H912" s="1" t="str">
        <f>"96/12/27"</f>
        <v>96/12/27</v>
      </c>
      <c r="I912" s="1" t="str">
        <f>"كيلوگرم"</f>
        <v>كيلوگرم</v>
      </c>
      <c r="J912" s="1" t="str">
        <f>"0000000091"</f>
        <v>0000000091</v>
      </c>
      <c r="K912" s="1" t="str">
        <f>"قير  PG64-22"</f>
        <v>قير  PG64-22</v>
      </c>
      <c r="L912" s="1">
        <v>100</v>
      </c>
      <c r="M912" s="1" t="str">
        <f>"مخازن قير اصفهان"</f>
        <v>مخازن قير اصفهان</v>
      </c>
      <c r="N912" s="1">
        <v>8091</v>
      </c>
      <c r="O912" s="1">
        <v>50039143</v>
      </c>
      <c r="P912" s="1" t="str">
        <f>"  اداره كل راه وشهرسازي اصفهان"</f>
        <v xml:space="preserve">  اداره كل راه وشهرسازي اصفهان</v>
      </c>
      <c r="Q912" s="1">
        <v>17</v>
      </c>
      <c r="R912" s="1" t="str">
        <f>"فروش داخلي تهران - وزارت راه - راه روستايي - روکش"</f>
        <v>فروش داخلي تهران - وزارت راه - راه روستايي - روکش</v>
      </c>
      <c r="S912" s="1" t="str">
        <f>"قرارداد فروش"</f>
        <v>قرارداد فروش</v>
      </c>
      <c r="T912" s="1" t="str">
        <f>"ندارد"</f>
        <v>ندارد</v>
      </c>
      <c r="U912" s="1" t="str">
        <f>"عزيزي صفر(1006ج 89)"</f>
        <v>عزيزي صفر(1006ج 89)</v>
      </c>
      <c r="V912" s="1">
        <v>961700261</v>
      </c>
      <c r="W912" s="1">
        <v>961700261</v>
      </c>
      <c r="X912" s="1" t="str">
        <f>"1396555511"</f>
        <v>1396555511</v>
      </c>
      <c r="Y912" s="1" t="str">
        <f>"96/12/27"</f>
        <v>96/12/27</v>
      </c>
      <c r="Z912" s="1" t="str">
        <f>"301974/870"</f>
        <v>301974/870</v>
      </c>
      <c r="AA912" s="1" t="str">
        <f>"راه روستائي -روكش"</f>
        <v>راه روستائي -روكش</v>
      </c>
      <c r="AB912" s="1" t="str">
        <f>"96/12/27"</f>
        <v>96/12/27</v>
      </c>
      <c r="AC912" s="1" t="str">
        <f>"استان اصفهان"</f>
        <v>استان اصفهان</v>
      </c>
      <c r="AD912" s="1" t="str">
        <f>"96/12/27"</f>
        <v>96/12/27</v>
      </c>
      <c r="AE912" s="1" t="str">
        <f>"اختتام"</f>
        <v>اختتام</v>
      </c>
      <c r="AF912" s="1" t="str">
        <f>""</f>
        <v/>
      </c>
      <c r="AG912" s="1" t="str">
        <f>""</f>
        <v/>
      </c>
      <c r="AH912" s="1" t="str">
        <f>""</f>
        <v/>
      </c>
      <c r="AI912" s="1" t="str">
        <f>""</f>
        <v/>
      </c>
      <c r="AJ912" s="1" t="str">
        <f>""</f>
        <v/>
      </c>
      <c r="AK912" s="1" t="str">
        <f>""</f>
        <v/>
      </c>
    </row>
    <row r="913" spans="1:37">
      <c r="A913" s="1">
        <v>900000</v>
      </c>
      <c r="B913" s="1">
        <v>961400014</v>
      </c>
      <c r="C913" s="1" t="str">
        <f>"تخليه -لرستان محورخرم آباد-كوهدشت -پل كشكان -نورآباد-شركت آبادگران راه خرم"</f>
        <v>تخليه -لرستان محورخرم آباد-كوهدشت -پل كشكان -نورآباد-شركت آبادگران راه خرم</v>
      </c>
      <c r="D913" s="1">
        <v>8904</v>
      </c>
      <c r="E913" s="1">
        <v>899180</v>
      </c>
      <c r="F913" s="1">
        <v>96</v>
      </c>
      <c r="G913" s="1">
        <v>820</v>
      </c>
      <c r="H913" s="1" t="str">
        <f>"96/04/13"</f>
        <v>96/04/13</v>
      </c>
      <c r="I913" s="1" t="str">
        <f>"كيلوگرم"</f>
        <v>كيلوگرم</v>
      </c>
      <c r="J913" s="1" t="str">
        <f>"0000000091"</f>
        <v>0000000091</v>
      </c>
      <c r="K913" s="1" t="str">
        <f>"قير  PG64-22"</f>
        <v>قير  PG64-22</v>
      </c>
      <c r="L913" s="1">
        <v>100</v>
      </c>
      <c r="M913" s="1" t="str">
        <f>"مخازن قير اصفهان"</f>
        <v>مخازن قير اصفهان</v>
      </c>
      <c r="N913" s="1">
        <v>9527</v>
      </c>
      <c r="O913" s="1">
        <v>50035096</v>
      </c>
      <c r="P913" s="1" t="str">
        <f>"  آبادگران راه خرم"</f>
        <v xml:space="preserve">  آبادگران راه خرم</v>
      </c>
      <c r="Q913" s="1">
        <v>14</v>
      </c>
      <c r="R913" s="1" t="str">
        <f>"فروش داخلي - وزارت راه - حوزه راه روستايي ساخت"</f>
        <v>فروش داخلي - وزارت راه - حوزه راه روستايي ساخت</v>
      </c>
      <c r="S913" s="1" t="str">
        <f>"قرارداد فروش"</f>
        <v>قرارداد فروش</v>
      </c>
      <c r="T913" s="1" t="str">
        <f>"ندارد"</f>
        <v>ندارد</v>
      </c>
      <c r="U913" s="1" t="str">
        <f>"بستاني محسن (2882039)"</f>
        <v>بستاني محسن (2882039)</v>
      </c>
      <c r="V913" s="1">
        <v>961400014</v>
      </c>
      <c r="W913" s="1">
        <v>961400014</v>
      </c>
      <c r="X913" s="1" t="str">
        <f>"1396493155"</f>
        <v>1396493155</v>
      </c>
      <c r="Y913" s="1" t="str">
        <f>"96/04/13"</f>
        <v>96/04/13</v>
      </c>
      <c r="Z913" s="1" t="str">
        <f>"16356/710"</f>
        <v>16356/710</v>
      </c>
      <c r="AA913" s="1" t="str">
        <f>"راه وروستايي -ساخت"</f>
        <v>راه وروستايي -ساخت</v>
      </c>
      <c r="AB913" s="1" t="str">
        <f>"96/04/12"</f>
        <v>96/04/12</v>
      </c>
      <c r="AC913" s="1" t="str">
        <f>"لرستان"</f>
        <v>لرستان</v>
      </c>
      <c r="AD913" s="1" t="str">
        <f>"96/04/13"</f>
        <v>96/04/13</v>
      </c>
      <c r="AE913" s="1" t="str">
        <f>"اختتام"</f>
        <v>اختتام</v>
      </c>
      <c r="AF913" s="1" t="str">
        <f>""</f>
        <v/>
      </c>
      <c r="AG913" s="1" t="str">
        <f>""</f>
        <v/>
      </c>
      <c r="AH913" s="1" t="str">
        <f>""</f>
        <v/>
      </c>
      <c r="AI913" s="1" t="str">
        <f>""</f>
        <v/>
      </c>
      <c r="AJ913" s="1" t="str">
        <f>""</f>
        <v/>
      </c>
      <c r="AK913" s="1" t="str">
        <f>""</f>
        <v/>
      </c>
    </row>
    <row r="914" spans="1:37">
      <c r="A914" s="1">
        <v>1000000</v>
      </c>
      <c r="B914" s="1">
        <v>961900181</v>
      </c>
      <c r="C914" s="1" t="str">
        <f>"تخليه -كرمانشاه -اسلام آبادغرب كيلومتر10جاده اهواز-كارخانه آسفالت قاضي وندفيروزآباد"</f>
        <v>تخليه -كرمانشاه -اسلام آبادغرب كيلومتر10جاده اهواز-كارخانه آسفالت قاضي وندفيروزآباد</v>
      </c>
      <c r="D914" s="1">
        <v>13600</v>
      </c>
      <c r="E914" s="1">
        <v>999700</v>
      </c>
      <c r="F914" s="1">
        <v>96</v>
      </c>
      <c r="G914" s="1">
        <v>300</v>
      </c>
      <c r="H914" s="1" t="str">
        <f>"96/08/06"</f>
        <v>96/08/06</v>
      </c>
      <c r="I914" s="1" t="str">
        <f>"كيلوگرم"</f>
        <v>كيلوگرم</v>
      </c>
      <c r="J914" s="1" t="str">
        <f>"0000000091"</f>
        <v>0000000091</v>
      </c>
      <c r="K914" s="1" t="str">
        <f>"قير  PG64-22"</f>
        <v>قير  PG64-22</v>
      </c>
      <c r="L914" s="1">
        <v>100</v>
      </c>
      <c r="M914" s="1" t="str">
        <f>"مخازن قير اصفهان"</f>
        <v>مخازن قير اصفهان</v>
      </c>
      <c r="N914" s="1">
        <v>9734</v>
      </c>
      <c r="O914" s="1">
        <v>50037128</v>
      </c>
      <c r="P914" s="1" t="str">
        <f>"  تيسفون راه زاگرس(زرين بام هليلان )"</f>
        <v xml:space="preserve">  تيسفون راه زاگرس(زرين بام هليلان )</v>
      </c>
      <c r="Q914" s="1">
        <v>19</v>
      </c>
      <c r="R91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14" s="1" t="str">
        <f>"قرارداد فروش"</f>
        <v>قرارداد فروش</v>
      </c>
      <c r="T914" s="1" t="str">
        <f>"ندارد"</f>
        <v>ندارد</v>
      </c>
      <c r="U914" s="1" t="str">
        <f>"قره باغي مجيد(1871065)"</f>
        <v>قره باغي مجيد(1871065)</v>
      </c>
      <c r="V914" s="1">
        <v>961900181</v>
      </c>
      <c r="W914" s="1">
        <v>961900181</v>
      </c>
      <c r="X914" s="1" t="str">
        <f>"1396521789"</f>
        <v>1396521789</v>
      </c>
      <c r="Y914" s="1" t="str">
        <f>"96/08/06"</f>
        <v>96/08/06</v>
      </c>
      <c r="Z914" s="1" t="str">
        <f>"37625/710"</f>
        <v>37625/710</v>
      </c>
      <c r="AA914" s="1" t="str">
        <f>"سازمان راهداري وحمل نقل جاده اي"</f>
        <v>سازمان راهداري وحمل نقل جاده اي</v>
      </c>
      <c r="AB914" s="1" t="str">
        <f>"96/07/29"</f>
        <v>96/07/29</v>
      </c>
      <c r="AC914" s="1" t="str">
        <f>"استان كرمانشاه"</f>
        <v>استان كرمانشاه</v>
      </c>
      <c r="AD914" s="1" t="str">
        <f>"96/08/06"</f>
        <v>96/08/06</v>
      </c>
      <c r="AE914" s="1" t="str">
        <f>"اختتام"</f>
        <v>اختتام</v>
      </c>
      <c r="AF914" s="1" t="str">
        <f>""</f>
        <v/>
      </c>
      <c r="AG914" s="1" t="str">
        <f>""</f>
        <v/>
      </c>
      <c r="AH914" s="1" t="str">
        <f>""</f>
        <v/>
      </c>
      <c r="AI914" s="1" t="str">
        <f>""</f>
        <v/>
      </c>
      <c r="AJ914" s="1" t="str">
        <f>""</f>
        <v/>
      </c>
      <c r="AK914" s="1" t="str">
        <f>""</f>
        <v/>
      </c>
    </row>
    <row r="915" spans="1:37">
      <c r="A915" s="1">
        <v>500000</v>
      </c>
      <c r="B915" s="1">
        <v>961600012</v>
      </c>
      <c r="C915" s="1" t="str">
        <f>"تخليه -كردستان محورجوانرود-ثلات كارخانه آسفالت قنديل ساز"</f>
        <v>تخليه -كردستان محورجوانرود-ثلات كارخانه آسفالت قنديل ساز</v>
      </c>
      <c r="D915" s="1">
        <v>12970</v>
      </c>
      <c r="E915" s="1">
        <v>497220</v>
      </c>
      <c r="F915" s="1">
        <v>96</v>
      </c>
      <c r="G915" s="1">
        <v>2780</v>
      </c>
      <c r="H915" s="1" t="str">
        <f>"96/06/22"</f>
        <v>96/06/22</v>
      </c>
      <c r="I915" s="1" t="str">
        <f>"كيلوگرم"</f>
        <v>كيلوگرم</v>
      </c>
      <c r="J915" s="1" t="str">
        <f>"0000000091"</f>
        <v>0000000091</v>
      </c>
      <c r="K915" s="1" t="str">
        <f>"قير  PG64-22"</f>
        <v>قير  PG64-22</v>
      </c>
      <c r="L915" s="1">
        <v>100</v>
      </c>
      <c r="M915" s="1" t="str">
        <f>"مخازن قير اصفهان"</f>
        <v>مخازن قير اصفهان</v>
      </c>
      <c r="N915" s="1">
        <v>8380</v>
      </c>
      <c r="O915" s="1">
        <v>50036008</v>
      </c>
      <c r="P915" s="1" t="str">
        <f>"  عمران پويش كردستان"</f>
        <v xml:space="preserve">  عمران پويش كردستان</v>
      </c>
      <c r="Q915" s="1">
        <v>16</v>
      </c>
      <c r="R915" s="1" t="str">
        <f>"فروش داخلي تهران - وزارت راه - معاونت اقتصاد"</f>
        <v>فروش داخلي تهران - وزارت راه - معاونت اقتصاد</v>
      </c>
      <c r="S915" s="1" t="str">
        <f>"قرارداد فروش"</f>
        <v>قرارداد فروش</v>
      </c>
      <c r="T915" s="1" t="str">
        <f>"ندارد"</f>
        <v>ندارد</v>
      </c>
      <c r="U915" s="1" t="str">
        <f>"ميهن دوست عبداله(2842010)"</f>
        <v>ميهن دوست عبداله(2842010)</v>
      </c>
      <c r="V915" s="1">
        <v>961600012</v>
      </c>
      <c r="W915" s="1">
        <v>961600012</v>
      </c>
      <c r="X915" s="1" t="str">
        <f>"1396511622"</f>
        <v>1396511622</v>
      </c>
      <c r="Y915" s="1" t="str">
        <f>"96/06/22"</f>
        <v>96/06/22</v>
      </c>
      <c r="Z915" s="1" t="str">
        <f>"29805/710"</f>
        <v>29805/710</v>
      </c>
      <c r="AA915" s="1" t="str">
        <f>"معاونت اقتصادوزارت راه وشهرسازي"</f>
        <v>معاونت اقتصادوزارت راه وشهرسازي</v>
      </c>
      <c r="AB915" s="1" t="str">
        <f>"96/06/15"</f>
        <v>96/06/15</v>
      </c>
      <c r="AC915" s="1" t="str">
        <f>"استان كرمانشاه"</f>
        <v>استان كرمانشاه</v>
      </c>
      <c r="AD915" s="1" t="str">
        <f>"96/06/21"</f>
        <v>96/06/21</v>
      </c>
      <c r="AE915" s="1" t="str">
        <f>"اختتام"</f>
        <v>اختتام</v>
      </c>
      <c r="AF915" s="1" t="str">
        <f>""</f>
        <v/>
      </c>
      <c r="AG915" s="1" t="str">
        <f>""</f>
        <v/>
      </c>
      <c r="AH915" s="1" t="str">
        <f>""</f>
        <v/>
      </c>
      <c r="AI915" s="1" t="str">
        <f>""</f>
        <v/>
      </c>
      <c r="AJ915" s="1" t="str">
        <f>""</f>
        <v/>
      </c>
      <c r="AK915" s="1" t="str">
        <f>""</f>
        <v/>
      </c>
    </row>
    <row r="916" spans="1:37">
      <c r="A916" s="1">
        <v>1000000</v>
      </c>
      <c r="B916" s="1">
        <v>961600027</v>
      </c>
      <c r="C916" s="1" t="str">
        <f>"تخليه خراسان جنوبي بيرجند شهرستان اسديه كارخانه آسفالت شهرداري اسديه"</f>
        <v>تخليه خراسان جنوبي بيرجند شهرستان اسديه كارخانه آسفالت شهرداري اسديه</v>
      </c>
      <c r="D916" s="1">
        <v>13100</v>
      </c>
      <c r="E916" s="1">
        <v>998840</v>
      </c>
      <c r="F916" s="1">
        <v>96</v>
      </c>
      <c r="G916" s="1">
        <v>1160</v>
      </c>
      <c r="H916" s="1" t="str">
        <f>"96/12/23"</f>
        <v>96/12/23</v>
      </c>
      <c r="I916" s="1" t="str">
        <f>"كيلوگرم"</f>
        <v>كيلوگرم</v>
      </c>
      <c r="J916" s="1" t="str">
        <f>"0000000091"</f>
        <v>0000000091</v>
      </c>
      <c r="K916" s="1" t="str">
        <f>"قير  PG64-22"</f>
        <v>قير  PG64-22</v>
      </c>
      <c r="L916" s="1">
        <v>100</v>
      </c>
      <c r="M916" s="1" t="str">
        <f>"مخازن قير اصفهان"</f>
        <v>مخازن قير اصفهان</v>
      </c>
      <c r="N916" s="1">
        <v>8679</v>
      </c>
      <c r="O916" s="1">
        <v>50038937</v>
      </c>
      <c r="P916" s="1" t="str">
        <f>"  ساختماني راهسازي كيهان راه شرق"</f>
        <v xml:space="preserve">  ساختماني راهسازي كيهان راه شرق</v>
      </c>
      <c r="Q916" s="1">
        <v>16</v>
      </c>
      <c r="R916" s="1" t="str">
        <f>"فروش داخلي تهران - وزارت راه - معاونت اقتصاد"</f>
        <v>فروش داخلي تهران - وزارت راه - معاونت اقتصاد</v>
      </c>
      <c r="S916" s="1" t="str">
        <f>"قرارداد فروش"</f>
        <v>قرارداد فروش</v>
      </c>
      <c r="T916" s="1" t="str">
        <f>"ندارد"</f>
        <v>ندارد</v>
      </c>
      <c r="U916" s="1" t="str">
        <f>"نظام دوست امين (1911102)"</f>
        <v>نظام دوست امين (1911102)</v>
      </c>
      <c r="V916" s="1">
        <v>961600027</v>
      </c>
      <c r="W916" s="1">
        <v>961600027</v>
      </c>
      <c r="X916" s="1" t="str">
        <f>"1396554552"</f>
        <v>1396554552</v>
      </c>
      <c r="Y916" s="1" t="str">
        <f>"96/12/23"</f>
        <v>96/12/23</v>
      </c>
      <c r="Z916" s="1" t="str">
        <f>"47409/710"</f>
        <v>47409/710</v>
      </c>
      <c r="AA916" s="1" t="str">
        <f>"معاونت اقتصادوزارت راه وشهرسازي"</f>
        <v>معاونت اقتصادوزارت راه وشهرسازي</v>
      </c>
      <c r="AB916" s="1" t="str">
        <f>"96/09/14"</f>
        <v>96/09/14</v>
      </c>
      <c r="AC916" s="1" t="str">
        <f>"خراسان جنوبي"</f>
        <v>خراسان جنوبي</v>
      </c>
      <c r="AD916" s="1" t="str">
        <f>"96/12/22"</f>
        <v>96/12/22</v>
      </c>
      <c r="AE916" s="1" t="str">
        <f>"اختتام"</f>
        <v>اختتام</v>
      </c>
      <c r="AF916" s="1" t="str">
        <f>""</f>
        <v/>
      </c>
      <c r="AG916" s="1" t="str">
        <f>""</f>
        <v/>
      </c>
      <c r="AH916" s="1" t="str">
        <f>""</f>
        <v/>
      </c>
      <c r="AI916" s="1" t="str">
        <f>""</f>
        <v/>
      </c>
      <c r="AJ916" s="1" t="str">
        <f>""</f>
        <v/>
      </c>
      <c r="AK916" s="1" t="str">
        <f>""</f>
        <v/>
      </c>
    </row>
    <row r="917" spans="1:37">
      <c r="A917" s="1">
        <v>143000</v>
      </c>
      <c r="B917" s="1">
        <v>961700208</v>
      </c>
      <c r="C917" s="1" t="str">
        <f>"تخليه كردستان محورسنندج مريوان كارخانه آسفالت نيل گستر"</f>
        <v>تخليه كردستان محورسنندج مريوان كارخانه آسفالت نيل گستر</v>
      </c>
      <c r="D917" s="1">
        <v>14000</v>
      </c>
      <c r="E917" s="1">
        <v>142020</v>
      </c>
      <c r="F917" s="1">
        <v>96</v>
      </c>
      <c r="G917" s="1">
        <v>980</v>
      </c>
      <c r="H917" s="1" t="str">
        <f>"96/12/23"</f>
        <v>96/12/23</v>
      </c>
      <c r="I917" s="1" t="str">
        <f>"كيلوگرم"</f>
        <v>كيلوگرم</v>
      </c>
      <c r="J917" s="1" t="str">
        <f>"0000000091"</f>
        <v>0000000091</v>
      </c>
      <c r="K917" s="1" t="str">
        <f>"قير  PG64-22"</f>
        <v>قير  PG64-22</v>
      </c>
      <c r="L917" s="1">
        <v>100</v>
      </c>
      <c r="M917" s="1" t="str">
        <f>"مخازن قير اصفهان"</f>
        <v>مخازن قير اصفهان</v>
      </c>
      <c r="N917" s="1">
        <v>8846</v>
      </c>
      <c r="O917" s="1">
        <v>50038982</v>
      </c>
      <c r="P917" s="1" t="str">
        <f>"  سامان راه توانا"</f>
        <v xml:space="preserve">  سامان راه توانا</v>
      </c>
      <c r="Q917" s="1">
        <v>17</v>
      </c>
      <c r="R917" s="1" t="str">
        <f>"فروش داخلي تهران - وزارت راه - راه روستايي - روکش"</f>
        <v>فروش داخلي تهران - وزارت راه - راه روستايي - روکش</v>
      </c>
      <c r="S917" s="1" t="str">
        <f>"قرارداد فروش"</f>
        <v>قرارداد فروش</v>
      </c>
      <c r="T917" s="1" t="str">
        <f>"ندارد"</f>
        <v>ندارد</v>
      </c>
      <c r="U917" s="1" t="str">
        <f>"ميهن دوست عبداله(2842010)"</f>
        <v>ميهن دوست عبداله(2842010)</v>
      </c>
      <c r="V917" s="1">
        <v>961700208</v>
      </c>
      <c r="W917" s="1">
        <v>961700208</v>
      </c>
      <c r="X917" s="1" t="str">
        <f>"1396554556"</f>
        <v>1396554556</v>
      </c>
      <c r="Y917" s="1" t="str">
        <f>"96/12/23"</f>
        <v>96/12/23</v>
      </c>
      <c r="Z917" s="1" t="str">
        <f>"48504/710"</f>
        <v>48504/710</v>
      </c>
      <c r="AA917" s="1" t="str">
        <f>"راه روستائي -روكش"</f>
        <v>راه روستائي -روكش</v>
      </c>
      <c r="AB917" s="1" t="str">
        <f>"96/09/21"</f>
        <v>96/09/21</v>
      </c>
      <c r="AC917" s="1" t="str">
        <f>"استان كردستان"</f>
        <v>استان كردستان</v>
      </c>
      <c r="AD917" s="1" t="str">
        <f>"96/12/22"</f>
        <v>96/12/22</v>
      </c>
      <c r="AE917" s="1" t="str">
        <f>"اختتام"</f>
        <v>اختتام</v>
      </c>
      <c r="AF917" s="1" t="str">
        <f>""</f>
        <v/>
      </c>
      <c r="AG917" s="1" t="str">
        <f>""</f>
        <v/>
      </c>
      <c r="AH917" s="1" t="str">
        <f>""</f>
        <v/>
      </c>
      <c r="AI917" s="1" t="str">
        <f>""</f>
        <v/>
      </c>
      <c r="AJ917" s="1" t="str">
        <f>""</f>
        <v/>
      </c>
      <c r="AK917" s="1" t="str">
        <f>""</f>
        <v/>
      </c>
    </row>
    <row r="918" spans="1:37">
      <c r="A918" s="1">
        <v>831000</v>
      </c>
      <c r="B918" s="1">
        <v>961700032</v>
      </c>
      <c r="C918" s="1" t="str">
        <f>"تخليه - ايرانشهر-کارخانه فرآوري قيري بلوچ پاسارگاد"</f>
        <v>تخليه - ايرانشهر-کارخانه فرآوري قيري بلوچ پاسارگاد</v>
      </c>
      <c r="D918" s="1">
        <v>8904</v>
      </c>
      <c r="E918" s="1">
        <v>831000</v>
      </c>
      <c r="F918" s="1">
        <v>96</v>
      </c>
      <c r="G918" s="1">
        <v>0</v>
      </c>
      <c r="H918" s="1" t="str">
        <f>"96/05/04"</f>
        <v>96/05/04</v>
      </c>
      <c r="I918" s="1" t="str">
        <f>"كيلوگرم"</f>
        <v>كيلوگرم</v>
      </c>
      <c r="J918" s="1" t="str">
        <f>"0000000092"</f>
        <v>0000000092</v>
      </c>
      <c r="K918" s="1" t="str">
        <f>"قير  PG64-16"</f>
        <v>قير  PG64-16</v>
      </c>
      <c r="L918" s="1">
        <v>100</v>
      </c>
      <c r="M918" s="1" t="str">
        <f>"مخازن قير اصفهان"</f>
        <v>مخازن قير اصفهان</v>
      </c>
      <c r="N918" s="1">
        <v>8068</v>
      </c>
      <c r="O918" s="1">
        <v>50035344</v>
      </c>
      <c r="P918" s="1" t="str">
        <f>"  اداره كل راه وشهرسازي ايرانشهر"</f>
        <v xml:space="preserve">  اداره كل راه وشهرسازي ايرانشهر</v>
      </c>
      <c r="Q918" s="1">
        <v>17</v>
      </c>
      <c r="R918" s="1" t="str">
        <f>"فروش داخلي تهران - وزارت راه - راه روستايي - روکش"</f>
        <v>فروش داخلي تهران - وزارت راه - راه روستايي - روکش</v>
      </c>
      <c r="S918" s="1" t="str">
        <f>"قرارداد فروش"</f>
        <v>قرارداد فروش</v>
      </c>
      <c r="T918" s="1" t="str">
        <f>"ندارد"</f>
        <v>ندارد</v>
      </c>
      <c r="U918" s="1" t="str">
        <f>"بلوچ پاسارگاد(5965002)"</f>
        <v>بلوچ پاسارگاد(5965002)</v>
      </c>
      <c r="V918" s="1">
        <v>961700032</v>
      </c>
      <c r="W918" s="1">
        <v>961700032</v>
      </c>
      <c r="X918" s="1" t="str">
        <f>"1396499660"</f>
        <v>1396499660</v>
      </c>
      <c r="Y918" s="1" t="str">
        <f>"96/05/04"</f>
        <v>96/05/04</v>
      </c>
      <c r="Z918" s="1" t="str">
        <f>"20345/710"</f>
        <v>20345/710</v>
      </c>
      <c r="AA918" s="1" t="str">
        <f>"راه روستائي -روكش"</f>
        <v>راه روستائي -روكش</v>
      </c>
      <c r="AB918" s="1" t="str">
        <f>"96/05/01"</f>
        <v>96/05/01</v>
      </c>
      <c r="AC918" s="1" t="str">
        <f>"ايرانشهر"</f>
        <v>ايرانشهر</v>
      </c>
      <c r="AD918" s="1" t="str">
        <f>"96/05/03"</f>
        <v>96/05/03</v>
      </c>
      <c r="AE918" s="1" t="str">
        <f>"اختتام"</f>
        <v>اختتام</v>
      </c>
      <c r="AF918" s="1" t="str">
        <f>""</f>
        <v/>
      </c>
      <c r="AG918" s="1" t="str">
        <f>""</f>
        <v/>
      </c>
      <c r="AH918" s="1" t="str">
        <f>""</f>
        <v/>
      </c>
      <c r="AI918" s="1" t="str">
        <f>""</f>
        <v/>
      </c>
      <c r="AJ918" s="1" t="str">
        <f>""</f>
        <v/>
      </c>
      <c r="AK918" s="1" t="str">
        <f>""</f>
        <v/>
      </c>
    </row>
    <row r="919" spans="1:37">
      <c r="A919" s="1">
        <v>1000000</v>
      </c>
      <c r="B919" s="1">
        <v>961800038</v>
      </c>
      <c r="C919" s="1" t="str">
        <f>"تخليه -يزد-كيلومتر75جاده تفت -ابركوه -كارخانه آسفالت شركت ناوديس"</f>
        <v>تخليه -يزد-كيلومتر75جاده تفت -ابركوه -كارخانه آسفالت شركت ناوديس</v>
      </c>
      <c r="D919" s="1">
        <v>12970</v>
      </c>
      <c r="E919" s="1">
        <v>998300</v>
      </c>
      <c r="F919" s="1">
        <v>96</v>
      </c>
      <c r="G919" s="1">
        <v>1700</v>
      </c>
      <c r="H919" s="1" t="str">
        <f>"96/06/22"</f>
        <v>96/06/22</v>
      </c>
      <c r="I919" s="1" t="str">
        <f>"كيلوگرم"</f>
        <v>كيلوگرم</v>
      </c>
      <c r="J919" s="1" t="str">
        <f>"0000000092"</f>
        <v>0000000092</v>
      </c>
      <c r="K919" s="1" t="str">
        <f>"قير  PG64-16"</f>
        <v>قير  PG64-16</v>
      </c>
      <c r="L919" s="1">
        <v>100</v>
      </c>
      <c r="M919" s="1" t="str">
        <f>"مخازن قير اصفهان"</f>
        <v>مخازن قير اصفهان</v>
      </c>
      <c r="N919" s="1">
        <v>8083</v>
      </c>
      <c r="O919" s="1">
        <v>50036013</v>
      </c>
      <c r="P919" s="1" t="str">
        <f>"  ناوديس راه"</f>
        <v xml:space="preserve">  ناوديس راه</v>
      </c>
      <c r="Q919" s="1">
        <v>18</v>
      </c>
      <c r="R919" s="1" t="str">
        <f>"فروش داخلي تهران - وزارت راه - شرکت ساخت و توسعه راهها"</f>
        <v>فروش داخلي تهران - وزارت راه - شرکت ساخت و توسعه راهها</v>
      </c>
      <c r="S919" s="1" t="str">
        <f>"قرارداد فروش"</f>
        <v>قرارداد فروش</v>
      </c>
      <c r="T919" s="1" t="str">
        <f>"ندارد"</f>
        <v>ندارد</v>
      </c>
      <c r="U919" s="1" t="str">
        <f>"عابدي محمود(1018ج89)"</f>
        <v>عابدي محمود(1018ج89)</v>
      </c>
      <c r="V919" s="1">
        <v>961800038</v>
      </c>
      <c r="W919" s="1">
        <v>961800038</v>
      </c>
      <c r="X919" s="1" t="str">
        <f>"1396511616"</f>
        <v>1396511616</v>
      </c>
      <c r="Y919" s="1" t="str">
        <f>"96/06/22"</f>
        <v>96/06/22</v>
      </c>
      <c r="Z919" s="1" t="str">
        <f>"29628/710"</f>
        <v>29628/710</v>
      </c>
      <c r="AA919" s="1" t="str">
        <f>"شركت  ساخت وتوسعه راهها"</f>
        <v>شركت  ساخت وتوسعه راهها</v>
      </c>
      <c r="AB919" s="1" t="str">
        <f>"96/06/15"</f>
        <v>96/06/15</v>
      </c>
      <c r="AC919" s="1" t="str">
        <f>"استان يزد"</f>
        <v>استان يزد</v>
      </c>
      <c r="AD919" s="1" t="str">
        <f>"96/06/21"</f>
        <v>96/06/21</v>
      </c>
      <c r="AE919" s="1" t="str">
        <f>"اختتام"</f>
        <v>اختتام</v>
      </c>
      <c r="AF919" s="1" t="str">
        <f>""</f>
        <v/>
      </c>
      <c r="AG919" s="1" t="str">
        <f>""</f>
        <v/>
      </c>
      <c r="AH919" s="1" t="str">
        <f>""</f>
        <v/>
      </c>
      <c r="AI919" s="1" t="str">
        <f>""</f>
        <v/>
      </c>
      <c r="AJ919" s="1" t="str">
        <f>""</f>
        <v/>
      </c>
      <c r="AK919" s="1" t="str">
        <f>""</f>
        <v/>
      </c>
    </row>
    <row r="920" spans="1:37">
      <c r="A920" s="1">
        <v>230000</v>
      </c>
      <c r="B920" s="1">
        <v>966100009</v>
      </c>
      <c r="C920" s="1" t="str">
        <f>"تخليه -اصفهان -جاده نيك آباد-حسن آباد-كارخانه آسفالت شركت ثمين راه صفاهان"</f>
        <v>تخليه -اصفهان -جاده نيك آباد-حسن آباد-كارخانه آسفالت شركت ثمين راه صفاهان</v>
      </c>
      <c r="D920" s="1">
        <v>12970</v>
      </c>
      <c r="E920" s="1">
        <v>229600</v>
      </c>
      <c r="F920" s="1">
        <v>96</v>
      </c>
      <c r="G920" s="1">
        <v>400</v>
      </c>
      <c r="H920" s="1" t="str">
        <f>"96/06/07"</f>
        <v>96/06/07</v>
      </c>
      <c r="I920" s="1" t="str">
        <f>"كيلوگرم"</f>
        <v>كيلوگرم</v>
      </c>
      <c r="J920" s="1" t="str">
        <f>"0000000092"</f>
        <v>0000000092</v>
      </c>
      <c r="K920" s="1" t="str">
        <f>"قير  PG64-16"</f>
        <v>قير  PG64-16</v>
      </c>
      <c r="L920" s="1">
        <v>100</v>
      </c>
      <c r="M920" s="1" t="str">
        <f>"مخازن قير اصفهان"</f>
        <v>مخازن قير اصفهان</v>
      </c>
      <c r="N920" s="1">
        <v>8091</v>
      </c>
      <c r="O920" s="1">
        <v>50035858</v>
      </c>
      <c r="P920" s="1" t="str">
        <f>"  اداره كل راه وشهرسازي اصفهان"</f>
        <v xml:space="preserve">  اداره كل راه وشهرسازي اصفهان</v>
      </c>
      <c r="Q920" s="1">
        <v>61</v>
      </c>
      <c r="R920" s="1" t="str">
        <f>"فروش داخلي - وزارت راه - مسكن مهر"</f>
        <v>فروش داخلي - وزارت راه - مسكن مهر</v>
      </c>
      <c r="S920" s="1" t="str">
        <f>"قرارداد فروش"</f>
        <v>قرارداد فروش</v>
      </c>
      <c r="T920" s="1" t="str">
        <f>"ندارد"</f>
        <v>ندارد</v>
      </c>
      <c r="U920" s="1" t="str">
        <f>"سيفي پور عبدالمجيد(1009ج89)"</f>
        <v>سيفي پور عبدالمجيد(1009ج89)</v>
      </c>
      <c r="V920" s="1">
        <v>966100009</v>
      </c>
      <c r="W920" s="1">
        <v>966100009</v>
      </c>
      <c r="X920" s="1" t="str">
        <f>"1396508614"</f>
        <v>1396508614</v>
      </c>
      <c r="Y920" s="1" t="str">
        <f>"96/06/07"</f>
        <v>96/06/07</v>
      </c>
      <c r="Z920" s="1" t="str">
        <f>"27610/710"</f>
        <v>27610/710</v>
      </c>
      <c r="AA920" s="1" t="str">
        <f>"مسكن مهر-وزارت راه"</f>
        <v>مسكن مهر-وزارت راه</v>
      </c>
      <c r="AB920" s="1" t="str">
        <f>"96/06/06"</f>
        <v>96/06/06</v>
      </c>
      <c r="AC920" s="1" t="str">
        <f>"استان اصفهان"</f>
        <v>استان اصفهان</v>
      </c>
      <c r="AD920" s="1" t="str">
        <f>"96/06/07"</f>
        <v>96/06/07</v>
      </c>
      <c r="AE920" s="1" t="str">
        <f>"اختتام"</f>
        <v>اختتام</v>
      </c>
      <c r="AF920" s="1" t="str">
        <f>""</f>
        <v/>
      </c>
      <c r="AG920" s="1" t="str">
        <f>""</f>
        <v/>
      </c>
      <c r="AH920" s="1" t="str">
        <f>""</f>
        <v/>
      </c>
      <c r="AI920" s="1" t="str">
        <f>""</f>
        <v/>
      </c>
      <c r="AJ920" s="1" t="str">
        <f>""</f>
        <v/>
      </c>
      <c r="AK920" s="1" t="str">
        <f>""</f>
        <v/>
      </c>
    </row>
    <row r="921" spans="1:37">
      <c r="A921" s="1">
        <v>42000</v>
      </c>
      <c r="B921" s="1">
        <v>961700186</v>
      </c>
      <c r="C921" s="1" t="str">
        <f>"تخليه - اصفهان -کارخانه شرکت گل راه نقش جهان"</f>
        <v>تخليه - اصفهان -کارخانه شرکت گل راه نقش جهان</v>
      </c>
      <c r="D921" s="1">
        <v>14000</v>
      </c>
      <c r="E921" s="1">
        <v>42000</v>
      </c>
      <c r="F921" s="1">
        <v>96</v>
      </c>
      <c r="G921" s="1">
        <v>0</v>
      </c>
      <c r="H921" s="1" t="str">
        <f>"96/12/22"</f>
        <v>96/12/22</v>
      </c>
      <c r="I921" s="1" t="str">
        <f>"كيلوگرم"</f>
        <v>كيلوگرم</v>
      </c>
      <c r="J921" s="1" t="str">
        <f>"0000000092"</f>
        <v>0000000092</v>
      </c>
      <c r="K921" s="1" t="str">
        <f>"قير  PG64-16"</f>
        <v>قير  PG64-16</v>
      </c>
      <c r="L921" s="1">
        <v>100</v>
      </c>
      <c r="M921" s="1" t="str">
        <f>"مخازن قير اصفهان"</f>
        <v>مخازن قير اصفهان</v>
      </c>
      <c r="N921" s="1">
        <v>8091</v>
      </c>
      <c r="O921" s="1">
        <v>50038911</v>
      </c>
      <c r="P921" s="1" t="str">
        <f>"  اداره كل راه وشهرسازي اصفهان"</f>
        <v xml:space="preserve">  اداره كل راه وشهرسازي اصفهان</v>
      </c>
      <c r="Q921" s="1">
        <v>17</v>
      </c>
      <c r="R921" s="1" t="str">
        <f>"فروش داخلي تهران - وزارت راه - راه روستايي - روکش"</f>
        <v>فروش داخلي تهران - وزارت راه - راه روستايي - روکش</v>
      </c>
      <c r="S921" s="1" t="str">
        <f>"قرارداد فروش"</f>
        <v>قرارداد فروش</v>
      </c>
      <c r="T921" s="1" t="str">
        <f>"ندارد"</f>
        <v>ندارد</v>
      </c>
      <c r="U921" s="1" t="str">
        <f>"علي عابدي ابوالقاسم(1003ج89)"</f>
        <v>علي عابدي ابوالقاسم(1003ج89)</v>
      </c>
      <c r="V921" s="1">
        <v>961700186</v>
      </c>
      <c r="W921" s="1">
        <v>961700186</v>
      </c>
      <c r="X921" s="1" t="str">
        <f>"1396553913"</f>
        <v>1396553913</v>
      </c>
      <c r="Y921" s="1" t="str">
        <f>"96/12/22"</f>
        <v>96/12/22</v>
      </c>
      <c r="Z921" s="1" t="str">
        <f>"284113/710"</f>
        <v>284113/710</v>
      </c>
      <c r="AA921" s="1" t="str">
        <f>"راه روستائي -روكش"</f>
        <v>راه روستائي -روكش</v>
      </c>
      <c r="AB921" s="1" t="str">
        <f>"96/11/17"</f>
        <v>96/11/17</v>
      </c>
      <c r="AC921" s="1" t="str">
        <f>"استان اصفهان"</f>
        <v>استان اصفهان</v>
      </c>
      <c r="AD921" s="1" t="str">
        <f>"96/12/20"</f>
        <v>96/12/20</v>
      </c>
      <c r="AE921" s="1" t="str">
        <f>"اختتام"</f>
        <v>اختتام</v>
      </c>
      <c r="AF921" s="1" t="str">
        <f>""</f>
        <v/>
      </c>
      <c r="AG921" s="1" t="str">
        <f>""</f>
        <v/>
      </c>
      <c r="AH921" s="1" t="str">
        <f>""</f>
        <v/>
      </c>
      <c r="AI921" s="1" t="str">
        <f>""</f>
        <v/>
      </c>
      <c r="AJ921" s="1" t="str">
        <f>""</f>
        <v/>
      </c>
      <c r="AK921" s="1" t="str">
        <f>""</f>
        <v/>
      </c>
    </row>
    <row r="922" spans="1:37">
      <c r="A922" s="1">
        <v>65000</v>
      </c>
      <c r="B922" s="1">
        <v>961700191</v>
      </c>
      <c r="C922" s="1" t="str">
        <f>"تخليه - اصفهان -کارخانه شرکت گل راه نقش جهان"</f>
        <v>تخليه - اصفهان -کارخانه شرکت گل راه نقش جهان</v>
      </c>
      <c r="D922" s="1">
        <v>13100</v>
      </c>
      <c r="E922" s="1">
        <v>65000</v>
      </c>
      <c r="F922" s="1">
        <v>96</v>
      </c>
      <c r="G922" s="1">
        <v>0</v>
      </c>
      <c r="H922" s="1" t="str">
        <f>"96/12/22"</f>
        <v>96/12/22</v>
      </c>
      <c r="I922" s="1" t="str">
        <f>"كيلوگرم"</f>
        <v>كيلوگرم</v>
      </c>
      <c r="J922" s="1" t="str">
        <f>"0000000092"</f>
        <v>0000000092</v>
      </c>
      <c r="K922" s="1" t="str">
        <f>"قير  PG64-16"</f>
        <v>قير  PG64-16</v>
      </c>
      <c r="L922" s="1">
        <v>100</v>
      </c>
      <c r="M922" s="1" t="str">
        <f>"مخازن قير اصفهان"</f>
        <v>مخازن قير اصفهان</v>
      </c>
      <c r="N922" s="1">
        <v>8091</v>
      </c>
      <c r="O922" s="1">
        <v>50038922</v>
      </c>
      <c r="P922" s="1" t="str">
        <f>"  اداره كل راه وشهرسازي اصفهان"</f>
        <v xml:space="preserve">  اداره كل راه وشهرسازي اصفهان</v>
      </c>
      <c r="Q922" s="1">
        <v>17</v>
      </c>
      <c r="R922" s="1" t="str">
        <f>"فروش داخلي تهران - وزارت راه - راه روستايي - روکش"</f>
        <v>فروش داخلي تهران - وزارت راه - راه روستايي - روکش</v>
      </c>
      <c r="S922" s="1" t="str">
        <f>"قرارداد فروش"</f>
        <v>قرارداد فروش</v>
      </c>
      <c r="T922" s="1" t="str">
        <f>"ندارد"</f>
        <v>ندارد</v>
      </c>
      <c r="U922" s="1" t="str">
        <f>"علي عابدي ابوالقاسم(1003ج89)"</f>
        <v>علي عابدي ابوالقاسم(1003ج89)</v>
      </c>
      <c r="V922" s="1">
        <v>961700191</v>
      </c>
      <c r="W922" s="1">
        <v>961700191</v>
      </c>
      <c r="X922" s="1" t="str">
        <f>"1396553913"</f>
        <v>1396553913</v>
      </c>
      <c r="Y922" s="1" t="str">
        <f>"96/12/22"</f>
        <v>96/12/22</v>
      </c>
      <c r="Z922" s="1" t="str">
        <f>"284688/710"</f>
        <v>284688/710</v>
      </c>
      <c r="AA922" s="1" t="str">
        <f>"راه روستائي -روكش"</f>
        <v>راه روستائي -روكش</v>
      </c>
      <c r="AB922" s="1" t="str">
        <f>"96/11/18"</f>
        <v>96/11/18</v>
      </c>
      <c r="AC922" s="1" t="str">
        <f>"استان اصفهان"</f>
        <v>استان اصفهان</v>
      </c>
      <c r="AD922" s="1" t="str">
        <f>"96/12/20"</f>
        <v>96/12/20</v>
      </c>
      <c r="AE922" s="1" t="str">
        <f>"اختتام"</f>
        <v>اختتام</v>
      </c>
      <c r="AF922" s="1" t="str">
        <f>""</f>
        <v/>
      </c>
      <c r="AG922" s="1" t="str">
        <f>""</f>
        <v/>
      </c>
      <c r="AH922" s="1" t="str">
        <f>""</f>
        <v/>
      </c>
      <c r="AI922" s="1" t="str">
        <f>""</f>
        <v/>
      </c>
      <c r="AJ922" s="1" t="str">
        <f>""</f>
        <v/>
      </c>
      <c r="AK922" s="1" t="str">
        <f>""</f>
        <v/>
      </c>
    </row>
    <row r="923" spans="1:37">
      <c r="A923" s="1">
        <v>293000</v>
      </c>
      <c r="B923" s="1">
        <v>966200673</v>
      </c>
      <c r="C923" s="1" t="str">
        <f>"تخليه - کرمان -رودبارجنوب کيلومتر 40 جاده اسلام آباد به سمت زهکلوت كارخانه آسفالت شركت برج راه كهنوج"</f>
        <v>تخليه - کرمان -رودبارجنوب کيلومتر 40 جاده اسلام آباد به سمت زهکلوت كارخانه آسفالت شركت برج راه كهنوج</v>
      </c>
      <c r="D923" s="1">
        <v>13350</v>
      </c>
      <c r="E923" s="1">
        <v>290900</v>
      </c>
      <c r="F923" s="1">
        <v>96</v>
      </c>
      <c r="G923" s="1">
        <v>2100</v>
      </c>
      <c r="H923" s="1" t="str">
        <f>"96/12/16"</f>
        <v>96/12/16</v>
      </c>
      <c r="I923" s="1" t="str">
        <f>"كيلوگرم"</f>
        <v>كيلوگرم</v>
      </c>
      <c r="J923" s="1" t="str">
        <f>"0000000076"</f>
        <v>0000000076</v>
      </c>
      <c r="K923" s="1" t="str">
        <f>"قير 60/70 - فله"</f>
        <v>قير 60/70 - فله</v>
      </c>
      <c r="L923" s="1">
        <v>100</v>
      </c>
      <c r="M923" s="1" t="str">
        <f>"مخازن قير اصفهان"</f>
        <v>مخازن قير اصفهان</v>
      </c>
      <c r="N923" s="1">
        <v>10351</v>
      </c>
      <c r="O923" s="1">
        <v>50038829</v>
      </c>
      <c r="P923" s="1" t="str">
        <f>"   برج راه کهنوج"</f>
        <v xml:space="preserve">   برج راه کهنوج</v>
      </c>
      <c r="Q923" s="1">
        <v>62</v>
      </c>
      <c r="R923" s="1" t="str">
        <f>"فروش داخلي - سازمان بنيادمسكن انقلاب اسلامي"</f>
        <v>فروش داخلي - سازمان بنيادمسكن انقلاب اسلامي</v>
      </c>
      <c r="S923" s="1" t="str">
        <f>"قرارداد فروش"</f>
        <v>قرارداد فروش</v>
      </c>
      <c r="T923" s="1" t="str">
        <f>"ندارد"</f>
        <v>ندارد</v>
      </c>
      <c r="U923" s="1" t="str">
        <f>"حاصليان ترابرجنوب مرتضي حاصلي (4844006)"</f>
        <v>حاصليان ترابرجنوب مرتضي حاصلي (4844006)</v>
      </c>
      <c r="V923" s="1">
        <v>966200673</v>
      </c>
      <c r="W923" s="1">
        <v>966200673</v>
      </c>
      <c r="X923" s="1" t="str">
        <f>"1396553438"</f>
        <v>1396553438</v>
      </c>
      <c r="Y923" s="1" t="str">
        <f>"96/12/16"</f>
        <v>96/12/16</v>
      </c>
      <c r="Z923" s="1" t="str">
        <f>"57273/د"</f>
        <v>57273/د</v>
      </c>
      <c r="AA923" s="1" t="str">
        <f>"بنيادمسكن انقلاب اسلامي"</f>
        <v>بنيادمسكن انقلاب اسلامي</v>
      </c>
      <c r="AB923" s="1" t="str">
        <f>"96/12/15"</f>
        <v>96/12/15</v>
      </c>
      <c r="AC923" s="1" t="str">
        <f>"استان كرمان"</f>
        <v>استان كرمان</v>
      </c>
      <c r="AD923" s="1" t="str">
        <f>"96/12/16"</f>
        <v>96/12/16</v>
      </c>
      <c r="AE923" s="1" t="str">
        <f>"اختتام"</f>
        <v>اختتام</v>
      </c>
      <c r="AF923" s="1" t="str">
        <f>""</f>
        <v/>
      </c>
      <c r="AG923" s="1" t="str">
        <f>""</f>
        <v/>
      </c>
      <c r="AH923" s="1" t="str">
        <f>""</f>
        <v/>
      </c>
      <c r="AI923" s="1" t="str">
        <f>""</f>
        <v/>
      </c>
      <c r="AJ923" s="1" t="str">
        <f>""</f>
        <v/>
      </c>
      <c r="AK923" s="1" t="str">
        <f>""</f>
        <v/>
      </c>
    </row>
    <row r="924" spans="1:37">
      <c r="A924" s="1">
        <v>500000</v>
      </c>
      <c r="B924" s="1">
        <v>961900001</v>
      </c>
      <c r="C924" s="1" t="str">
        <f>"تخليه -كرمانشاه -كارخانه آسفالت بتن شيب غرب"</f>
        <v>تخليه -كرمانشاه -كارخانه آسفالت بتن شيب غرب</v>
      </c>
      <c r="D924" s="1">
        <v>9068</v>
      </c>
      <c r="E924" s="1">
        <v>499260</v>
      </c>
      <c r="F924" s="1">
        <v>96</v>
      </c>
      <c r="G924" s="1">
        <v>740</v>
      </c>
      <c r="H924" s="1" t="str">
        <f>"96/01/15"</f>
        <v>96/01/15</v>
      </c>
      <c r="I924" s="1" t="str">
        <f>"كيلوگرم"</f>
        <v>كيلوگرم</v>
      </c>
      <c r="J924" s="1" t="str">
        <f>"0000000091"</f>
        <v>0000000091</v>
      </c>
      <c r="K924" s="1" t="str">
        <f>"قير  PG64-22"</f>
        <v>قير  PG64-22</v>
      </c>
      <c r="L924" s="1">
        <v>100</v>
      </c>
      <c r="M924" s="1" t="str">
        <f>"مخازن قير اصفهان"</f>
        <v>مخازن قير اصفهان</v>
      </c>
      <c r="N924" s="1">
        <v>10111</v>
      </c>
      <c r="O924" s="1">
        <v>50034348</v>
      </c>
      <c r="P924" s="1" t="str">
        <f>"  بتن شيب غرب"</f>
        <v xml:space="preserve">  بتن شيب غرب</v>
      </c>
      <c r="Q924" s="1">
        <v>19</v>
      </c>
      <c r="R92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24" s="1" t="str">
        <f>"قرارداد فروش"</f>
        <v>قرارداد فروش</v>
      </c>
      <c r="T924" s="1" t="str">
        <f>"ندارد"</f>
        <v>ندارد</v>
      </c>
      <c r="U924" s="1" t="str">
        <f>"پيرالي مجيد(1045ج 94)"</f>
        <v>پيرالي مجيد(1045ج 94)</v>
      </c>
      <c r="V924" s="1">
        <v>961900001</v>
      </c>
      <c r="W924" s="1">
        <v>961900001</v>
      </c>
      <c r="X924" s="1" t="str">
        <f>"1395471092"</f>
        <v>1395471092</v>
      </c>
      <c r="Y924" s="1" t="str">
        <f>"96/01/15"</f>
        <v>96/01/15</v>
      </c>
      <c r="Z924" s="1" t="str">
        <f>"66691/710"</f>
        <v>66691/710</v>
      </c>
      <c r="AA924" s="1" t="str">
        <f>"سازمان راهداري وحمل نقل جاده اي"</f>
        <v>سازمان راهداري وحمل نقل جاده اي</v>
      </c>
      <c r="AB924" s="1" t="str">
        <f>"95/12/24"</f>
        <v>95/12/24</v>
      </c>
      <c r="AC924" s="1" t="str">
        <f>"استان كرمانشاه"</f>
        <v>استان كرمانشاه</v>
      </c>
      <c r="AD924" s="1" t="str">
        <f>"95/12/28"</f>
        <v>95/12/28</v>
      </c>
      <c r="AE924" s="1" t="str">
        <f>"اختتام"</f>
        <v>اختتام</v>
      </c>
      <c r="AF924" s="1" t="str">
        <f>""</f>
        <v/>
      </c>
      <c r="AG924" s="1" t="str">
        <f>""</f>
        <v/>
      </c>
      <c r="AH924" s="1" t="str">
        <f>""</f>
        <v/>
      </c>
      <c r="AI924" s="1" t="str">
        <f>""</f>
        <v/>
      </c>
      <c r="AJ924" s="1" t="str">
        <f>""</f>
        <v/>
      </c>
      <c r="AK924" s="1" t="str">
        <f>""</f>
        <v/>
      </c>
    </row>
    <row r="925" spans="1:37">
      <c r="A925" s="1">
        <v>1100000</v>
      </c>
      <c r="B925" s="1">
        <v>961900073</v>
      </c>
      <c r="C925" s="1" t="str">
        <f>"تخليه -كرمانشاه -كارخانه آسفالت بتن شيب غرب"</f>
        <v>تخليه -كرمانشاه -كارخانه آسفالت بتن شيب غرب</v>
      </c>
      <c r="D925" s="1">
        <v>8904</v>
      </c>
      <c r="E925" s="1">
        <v>1098840</v>
      </c>
      <c r="F925" s="1">
        <v>96</v>
      </c>
      <c r="G925" s="1">
        <v>1160</v>
      </c>
      <c r="H925" s="1" t="str">
        <f>"96/04/22"</f>
        <v>96/04/22</v>
      </c>
      <c r="I925" s="1" t="str">
        <f>"كيلوگرم"</f>
        <v>كيلوگرم</v>
      </c>
      <c r="J925" s="1" t="str">
        <f>"0000000091"</f>
        <v>0000000091</v>
      </c>
      <c r="K925" s="1" t="str">
        <f>"قير  PG64-22"</f>
        <v>قير  PG64-22</v>
      </c>
      <c r="L925" s="1">
        <v>100</v>
      </c>
      <c r="M925" s="1" t="str">
        <f>"مخازن قير اصفهان"</f>
        <v>مخازن قير اصفهان</v>
      </c>
      <c r="N925" s="1">
        <v>10111</v>
      </c>
      <c r="O925" s="1">
        <v>50035194</v>
      </c>
      <c r="P925" s="1" t="str">
        <f>"  بتن شيب غرب"</f>
        <v xml:space="preserve">  بتن شيب غرب</v>
      </c>
      <c r="Q925" s="1">
        <v>19</v>
      </c>
      <c r="R92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25" s="1" t="str">
        <f>"قرارداد فروش"</f>
        <v>قرارداد فروش</v>
      </c>
      <c r="T925" s="1" t="str">
        <f>"ندارد"</f>
        <v>ندارد</v>
      </c>
      <c r="U925" s="1" t="str">
        <f>"پيرالي مجيد(1045ج 94)"</f>
        <v>پيرالي مجيد(1045ج 94)</v>
      </c>
      <c r="V925" s="1">
        <v>961900073</v>
      </c>
      <c r="W925" s="1">
        <v>961900073</v>
      </c>
      <c r="X925" s="1" t="str">
        <f>"1396496310"</f>
        <v>1396496310</v>
      </c>
      <c r="Y925" s="1" t="str">
        <f>"96/04/22"</f>
        <v>96/04/22</v>
      </c>
      <c r="Z925" s="1" t="str">
        <f>"17765/710"</f>
        <v>17765/710</v>
      </c>
      <c r="AA925" s="1" t="str">
        <f>"سازمان راهداري وحمل نقل جاده اي"</f>
        <v>سازمان راهداري وحمل نقل جاده اي</v>
      </c>
      <c r="AB925" s="1" t="str">
        <f>"96/04/20"</f>
        <v>96/04/20</v>
      </c>
      <c r="AC925" s="1" t="str">
        <f>"استان كرمانشاه"</f>
        <v>استان كرمانشاه</v>
      </c>
      <c r="AD925" s="1" t="str">
        <f>"96/04/21"</f>
        <v>96/04/21</v>
      </c>
      <c r="AE925" s="1" t="str">
        <f>"اختتام"</f>
        <v>اختتام</v>
      </c>
      <c r="AF925" s="1" t="str">
        <f>""</f>
        <v/>
      </c>
      <c r="AG925" s="1" t="str">
        <f>""</f>
        <v/>
      </c>
      <c r="AH925" s="1" t="str">
        <f>""</f>
        <v/>
      </c>
      <c r="AI925" s="1" t="str">
        <f>""</f>
        <v/>
      </c>
      <c r="AJ925" s="1" t="str">
        <f>""</f>
        <v/>
      </c>
      <c r="AK925" s="1" t="str">
        <f>""</f>
        <v/>
      </c>
    </row>
    <row r="926" spans="1:37">
      <c r="A926" s="1">
        <v>43000</v>
      </c>
      <c r="B926" s="1">
        <v>961700132</v>
      </c>
      <c r="C926" s="1" t="str">
        <f>"تخليه -خراسان رضوي -نيشابور-پروژه غاركارخانه آسفالت دل حفره"</f>
        <v>تخليه -خراسان رضوي -نيشابور-پروژه غاركارخانه آسفالت دل حفره</v>
      </c>
      <c r="D926" s="1">
        <v>9716</v>
      </c>
      <c r="E926" s="1">
        <v>43000</v>
      </c>
      <c r="F926" s="1">
        <v>96</v>
      </c>
      <c r="G926" s="1">
        <v>0</v>
      </c>
      <c r="H926" s="1" t="str">
        <f>"96/07/17"</f>
        <v>96/07/17</v>
      </c>
      <c r="I926" s="1" t="str">
        <f>"كيلوگرم"</f>
        <v>كيلوگرم</v>
      </c>
      <c r="J926" s="1" t="str">
        <f>"0000000091"</f>
        <v>0000000091</v>
      </c>
      <c r="K926" s="1" t="str">
        <f>"قير  PG64-22"</f>
        <v>قير  PG64-22</v>
      </c>
      <c r="L926" s="1">
        <v>100</v>
      </c>
      <c r="M926" s="1" t="str">
        <f>"مخازن قير اصفهان"</f>
        <v>مخازن قير اصفهان</v>
      </c>
      <c r="N926" s="1">
        <v>4026</v>
      </c>
      <c r="O926" s="1">
        <v>50036647</v>
      </c>
      <c r="P926" s="1" t="str">
        <f>"  اداره كل راه و شهرسازي خراسان رضوي"</f>
        <v xml:space="preserve">  اداره كل راه و شهرسازي خراسان رضوي</v>
      </c>
      <c r="Q926" s="1">
        <v>17</v>
      </c>
      <c r="R926" s="1" t="str">
        <f>"فروش داخلي تهران - وزارت راه - راه روستايي - روکش"</f>
        <v>فروش داخلي تهران - وزارت راه - راه روستايي - روکش</v>
      </c>
      <c r="S926" s="1" t="str">
        <f>"قرارداد فروش"</f>
        <v>قرارداد فروش</v>
      </c>
      <c r="T926" s="1" t="str">
        <f>"ندارد"</f>
        <v>ندارد</v>
      </c>
      <c r="U926" s="1" t="str">
        <f>"حسيني سيدجواد(1841076)"</f>
        <v>حسيني سيدجواد(1841076)</v>
      </c>
      <c r="V926" s="1">
        <v>961700132</v>
      </c>
      <c r="W926" s="1">
        <v>961700132</v>
      </c>
      <c r="X926" s="1" t="str">
        <f>"1396517392"</f>
        <v>1396517392</v>
      </c>
      <c r="Y926" s="1" t="str">
        <f>"96/07/17"</f>
        <v>96/07/17</v>
      </c>
      <c r="Z926" s="1" t="str">
        <f>"34647/710"</f>
        <v>34647/710</v>
      </c>
      <c r="AA926" s="1" t="str">
        <f>"راه روستائي -روكش"</f>
        <v>راه روستائي -روكش</v>
      </c>
      <c r="AB926" s="1" t="str">
        <f>"96/07/15"</f>
        <v>96/07/15</v>
      </c>
      <c r="AC926" s="1" t="str">
        <f>"خراسان رضوي"</f>
        <v>خراسان رضوي</v>
      </c>
      <c r="AD926" s="1" t="str">
        <f>"96/07/17"</f>
        <v>96/07/17</v>
      </c>
      <c r="AE926" s="1" t="str">
        <f>"اختتام"</f>
        <v>اختتام</v>
      </c>
      <c r="AF926" s="1" t="str">
        <f>""</f>
        <v/>
      </c>
      <c r="AG926" s="1" t="str">
        <f>""</f>
        <v/>
      </c>
      <c r="AH926" s="1" t="str">
        <f>""</f>
        <v/>
      </c>
      <c r="AI926" s="1" t="str">
        <f>""</f>
        <v/>
      </c>
      <c r="AJ926" s="1" t="str">
        <f>""</f>
        <v/>
      </c>
      <c r="AK926" s="1" t="str">
        <f>""</f>
        <v/>
      </c>
    </row>
    <row r="927" spans="1:37">
      <c r="A927" s="1">
        <v>86000</v>
      </c>
      <c r="B927" s="1">
        <v>961700134</v>
      </c>
      <c r="C927" s="1" t="str">
        <f>"تخليه -خراسان رضوي -نيشابور-پروژه بهشت فضل كارخانه آسفالت دل حفره"</f>
        <v>تخليه -خراسان رضوي -نيشابور-پروژه بهشت فضل كارخانه آسفالت دل حفره</v>
      </c>
      <c r="D927" s="1">
        <v>9716</v>
      </c>
      <c r="E927" s="1">
        <v>79380</v>
      </c>
      <c r="F927" s="1">
        <v>96</v>
      </c>
      <c r="G927" s="1">
        <v>6620</v>
      </c>
      <c r="H927" s="1" t="str">
        <f>"96/07/17"</f>
        <v>96/07/17</v>
      </c>
      <c r="I927" s="1" t="str">
        <f>"كيلوگرم"</f>
        <v>كيلوگرم</v>
      </c>
      <c r="J927" s="1" t="str">
        <f>"0000000091"</f>
        <v>0000000091</v>
      </c>
      <c r="K927" s="1" t="str">
        <f>"قير  PG64-22"</f>
        <v>قير  PG64-22</v>
      </c>
      <c r="L927" s="1">
        <v>100</v>
      </c>
      <c r="M927" s="1" t="str">
        <f>"مخازن قير اصفهان"</f>
        <v>مخازن قير اصفهان</v>
      </c>
      <c r="N927" s="1">
        <v>4026</v>
      </c>
      <c r="O927" s="1">
        <v>50036649</v>
      </c>
      <c r="P927" s="1" t="str">
        <f>"  اداره كل راه و شهرسازي خراسان رضوي"</f>
        <v xml:space="preserve">  اداره كل راه و شهرسازي خراسان رضوي</v>
      </c>
      <c r="Q927" s="1">
        <v>17</v>
      </c>
      <c r="R927" s="1" t="str">
        <f>"فروش داخلي تهران - وزارت راه - راه روستايي - روکش"</f>
        <v>فروش داخلي تهران - وزارت راه - راه روستايي - روکش</v>
      </c>
      <c r="S927" s="1" t="str">
        <f>"قرارداد فروش"</f>
        <v>قرارداد فروش</v>
      </c>
      <c r="T927" s="1" t="str">
        <f>"ندارد"</f>
        <v>ندارد</v>
      </c>
      <c r="U927" s="1" t="str">
        <f>"حسيني سيدجواد(1841076)"</f>
        <v>حسيني سيدجواد(1841076)</v>
      </c>
      <c r="V927" s="1">
        <v>961700134</v>
      </c>
      <c r="W927" s="1">
        <v>961700134</v>
      </c>
      <c r="X927" s="1" t="str">
        <f>"1396517392"</f>
        <v>1396517392</v>
      </c>
      <c r="Y927" s="1" t="str">
        <f>"96/07/17"</f>
        <v>96/07/17</v>
      </c>
      <c r="Z927" s="1" t="str">
        <f>"34651/710"</f>
        <v>34651/710</v>
      </c>
      <c r="AA927" s="1" t="str">
        <f>"راه روستائي -روكش"</f>
        <v>راه روستائي -روكش</v>
      </c>
      <c r="AB927" s="1" t="str">
        <f>"96/07/15"</f>
        <v>96/07/15</v>
      </c>
      <c r="AC927" s="1" t="str">
        <f>"خراسان رضوي"</f>
        <v>خراسان رضوي</v>
      </c>
      <c r="AD927" s="1" t="str">
        <f>"93/07/17"</f>
        <v>93/07/17</v>
      </c>
      <c r="AE927" s="1" t="str">
        <f>"اختتام"</f>
        <v>اختتام</v>
      </c>
      <c r="AF927" s="1" t="str">
        <f>""</f>
        <v/>
      </c>
      <c r="AG927" s="1" t="str">
        <f>""</f>
        <v/>
      </c>
      <c r="AH927" s="1" t="str">
        <f>""</f>
        <v/>
      </c>
      <c r="AI927" s="1" t="str">
        <f>""</f>
        <v/>
      </c>
      <c r="AJ927" s="1" t="str">
        <f>""</f>
        <v/>
      </c>
      <c r="AK927" s="1" t="str">
        <f>""</f>
        <v/>
      </c>
    </row>
    <row r="928" spans="1:37">
      <c r="A928" s="1">
        <v>2000000</v>
      </c>
      <c r="B928" s="1">
        <v>961800023</v>
      </c>
      <c r="C928" s="1" t="str">
        <f>"تخليه -كرمانشاه -كمربندي شرقي جنب رودخانه قره سو-كارخانه آسفالت شركت جهادنصركرمانشاه"</f>
        <v>تخليه -كرمانشاه -كمربندي شرقي جنب رودخانه قره سو-كارخانه آسفالت شركت جهادنصركرمانشاه</v>
      </c>
      <c r="D928" s="1">
        <v>9363</v>
      </c>
      <c r="E928" s="1">
        <v>2000000</v>
      </c>
      <c r="F928" s="1">
        <v>96</v>
      </c>
      <c r="G928" s="1">
        <v>0</v>
      </c>
      <c r="H928" s="1" t="str">
        <f>"96/05/11"</f>
        <v>96/05/11</v>
      </c>
      <c r="I928" s="1" t="str">
        <f>"كيلوگرم"</f>
        <v>كيلوگرم</v>
      </c>
      <c r="J928" s="1" t="str">
        <f>"0000000091"</f>
        <v>0000000091</v>
      </c>
      <c r="K928" s="1" t="str">
        <f>"قير  PG64-22"</f>
        <v>قير  PG64-22</v>
      </c>
      <c r="L928" s="1">
        <v>100</v>
      </c>
      <c r="M928" s="1" t="str">
        <f>"مخازن قير اصفهان"</f>
        <v>مخازن قير اصفهان</v>
      </c>
      <c r="N928" s="1">
        <v>4039</v>
      </c>
      <c r="O928" s="1">
        <v>50035483</v>
      </c>
      <c r="P928" s="1" t="str">
        <f>"  جهاد نصركرمانشاه(2912047)"</f>
        <v xml:space="preserve">  جهاد نصركرمانشاه(2912047)</v>
      </c>
      <c r="Q928" s="1">
        <v>18</v>
      </c>
      <c r="R928" s="1" t="str">
        <f>"فروش داخلي تهران - وزارت راه - شرکت ساخت و توسعه راهها"</f>
        <v>فروش داخلي تهران - وزارت راه - شرکت ساخت و توسعه راهها</v>
      </c>
      <c r="S928" s="1" t="str">
        <f>"قرارداد فروش"</f>
        <v>قرارداد فروش</v>
      </c>
      <c r="T928" s="1" t="str">
        <f>"ندارد"</f>
        <v>ندارد</v>
      </c>
      <c r="U928" s="1" t="str">
        <f>"عظيمي محمد(2842015)"</f>
        <v>عظيمي محمد(2842015)</v>
      </c>
      <c r="V928" s="1">
        <v>961800023</v>
      </c>
      <c r="W928" s="1">
        <v>961800023</v>
      </c>
      <c r="X928" s="1" t="str">
        <f>"1396502537"</f>
        <v>1396502537</v>
      </c>
      <c r="Y928" s="1" t="str">
        <f>"96/05/11"</f>
        <v>96/05/11</v>
      </c>
      <c r="Z928" s="1" t="str">
        <f>"22150/170"</f>
        <v>22150/170</v>
      </c>
      <c r="AA928" s="1" t="str">
        <f>"شركت  ساخت وتوسعه راهها"</f>
        <v>شركت  ساخت وتوسعه راهها</v>
      </c>
      <c r="AB928" s="1" t="str">
        <f>"96/05/09"</f>
        <v>96/05/09</v>
      </c>
      <c r="AC928" s="1" t="str">
        <f>"استان كرمانشاه"</f>
        <v>استان كرمانشاه</v>
      </c>
      <c r="AD928" s="1" t="str">
        <f>"96/05/11"</f>
        <v>96/05/11</v>
      </c>
      <c r="AE928" s="1" t="str">
        <f>"اختتام"</f>
        <v>اختتام</v>
      </c>
      <c r="AF928" s="1" t="str">
        <f>""</f>
        <v/>
      </c>
      <c r="AG928" s="1" t="str">
        <f>""</f>
        <v/>
      </c>
      <c r="AH928" s="1" t="str">
        <f>""</f>
        <v/>
      </c>
      <c r="AI928" s="1" t="str">
        <f>""</f>
        <v/>
      </c>
      <c r="AJ928" s="1" t="str">
        <f>""</f>
        <v/>
      </c>
      <c r="AK928" s="1" t="str">
        <f>""</f>
        <v/>
      </c>
    </row>
    <row r="929" spans="1:37">
      <c r="A929" s="1">
        <v>1000000</v>
      </c>
      <c r="B929" s="1">
        <v>961800047</v>
      </c>
      <c r="C929" s="1" t="str">
        <f>"تخليه -يزد-طبس 5كيلومترمانده به روستاي خرانق"</f>
        <v>تخليه -يزد-طبس 5كيلومترمانده به روستاي خرانق</v>
      </c>
      <c r="D929" s="1">
        <v>13600</v>
      </c>
      <c r="E929" s="1">
        <v>999640</v>
      </c>
      <c r="F929" s="1">
        <v>96</v>
      </c>
      <c r="G929" s="1">
        <v>360</v>
      </c>
      <c r="H929" s="1" t="str">
        <f>"96/06/27"</f>
        <v>96/06/27</v>
      </c>
      <c r="I929" s="1" t="str">
        <f>"كيلوگرم"</f>
        <v>كيلوگرم</v>
      </c>
      <c r="J929" s="1" t="str">
        <f>"0000000091"</f>
        <v>0000000091</v>
      </c>
      <c r="K929" s="1" t="str">
        <f>"قير  PG64-22"</f>
        <v>قير  PG64-22</v>
      </c>
      <c r="L929" s="1">
        <v>100</v>
      </c>
      <c r="M929" s="1" t="str">
        <f>"مخازن قير اصفهان"</f>
        <v>مخازن قير اصفهان</v>
      </c>
      <c r="N929" s="1">
        <v>8106</v>
      </c>
      <c r="O929" s="1">
        <v>50036090</v>
      </c>
      <c r="P929" s="1" t="str">
        <f>"  سامان محيط"</f>
        <v xml:space="preserve">  سامان محيط</v>
      </c>
      <c r="Q929" s="1">
        <v>18</v>
      </c>
      <c r="R929" s="1" t="str">
        <f>"فروش داخلي تهران - وزارت راه - شرکت ساخت و توسعه راهها"</f>
        <v>فروش داخلي تهران - وزارت راه - شرکت ساخت و توسعه راهها</v>
      </c>
      <c r="S929" s="1" t="str">
        <f>"قرارداد فروش"</f>
        <v>قرارداد فروش</v>
      </c>
      <c r="T929" s="1" t="str">
        <f>"ندارد"</f>
        <v>ندارد</v>
      </c>
      <c r="U929" s="1" t="str">
        <f>"شيخي خيراله (1841012)"</f>
        <v>شيخي خيراله (1841012)</v>
      </c>
      <c r="V929" s="1">
        <v>961800047</v>
      </c>
      <c r="W929" s="1">
        <v>961800047</v>
      </c>
      <c r="X929" s="1" t="str">
        <f>"1396513016"</f>
        <v>1396513016</v>
      </c>
      <c r="Y929" s="1" t="str">
        <f>"96/06/27"</f>
        <v>96/06/27</v>
      </c>
      <c r="Z929" s="1" t="str">
        <f>"30797/710"</f>
        <v>30797/710</v>
      </c>
      <c r="AA929" s="1" t="str">
        <f>"شركت  ساخت وتوسعه راهها"</f>
        <v>شركت  ساخت وتوسعه راهها</v>
      </c>
      <c r="AB929" s="1" t="str">
        <f>"96/06/22"</f>
        <v>96/06/22</v>
      </c>
      <c r="AC929" s="1" t="str">
        <f>"استان يزد"</f>
        <v>استان يزد</v>
      </c>
      <c r="AD929" s="1" t="str">
        <f>"96/06/27"</f>
        <v>96/06/27</v>
      </c>
      <c r="AE929" s="1" t="str">
        <f>"اختتام"</f>
        <v>اختتام</v>
      </c>
      <c r="AF929" s="1" t="str">
        <f>""</f>
        <v/>
      </c>
      <c r="AG929" s="1" t="str">
        <f>""</f>
        <v/>
      </c>
      <c r="AH929" s="1" t="str">
        <f>""</f>
        <v/>
      </c>
      <c r="AI929" s="1" t="str">
        <f>""</f>
        <v/>
      </c>
      <c r="AJ929" s="1" t="str">
        <f>""</f>
        <v/>
      </c>
      <c r="AK929" s="1" t="str">
        <f>""</f>
        <v/>
      </c>
    </row>
    <row r="930" spans="1:37">
      <c r="A930" s="1">
        <v>100000</v>
      </c>
      <c r="B930" s="1">
        <v>961100069</v>
      </c>
      <c r="C930" s="1" t="str">
        <f>"تخليه - کرمانشاه-کيلومتر5 جاده کرندغرب اسلام آباد-مقابل روستاي طلسم-بعداز آب معدني راکي کارخانه آسفالت شرکت مرزراه"</f>
        <v>تخليه - کرمانشاه-کيلومتر5 جاده کرندغرب اسلام آباد-مقابل روستاي طلسم-بعداز آب معدني راکي کارخانه آسفالت شرکت مرزراه</v>
      </c>
      <c r="D930" s="1">
        <v>9204</v>
      </c>
      <c r="E930" s="1">
        <v>93460</v>
      </c>
      <c r="F930" s="1">
        <v>96</v>
      </c>
      <c r="G930" s="1">
        <v>6540</v>
      </c>
      <c r="H930" s="1" t="str">
        <f>"96/06/28"</f>
        <v>96/06/28</v>
      </c>
      <c r="I930" s="1" t="str">
        <f>"كيلوگرم"</f>
        <v>كيلوگرم</v>
      </c>
      <c r="J930" s="1" t="str">
        <f>"0000000091"</f>
        <v>0000000091</v>
      </c>
      <c r="K930" s="1" t="str">
        <f>"قير  PG64-22"</f>
        <v>قير  PG64-22</v>
      </c>
      <c r="L930" s="1">
        <v>100</v>
      </c>
      <c r="M930" s="1" t="str">
        <f>"مخازن قير اصفهان"</f>
        <v>مخازن قير اصفهان</v>
      </c>
      <c r="N930" s="1">
        <v>8120</v>
      </c>
      <c r="O930" s="1">
        <v>50036113</v>
      </c>
      <c r="P930" s="1" t="str">
        <f>"  مرزراه"</f>
        <v xml:space="preserve">  مرزراه</v>
      </c>
      <c r="Q930" s="1">
        <v>11</v>
      </c>
      <c r="R930" s="1" t="str">
        <f>"فروش داخلي تهران - بورس"</f>
        <v>فروش داخلي تهران - بورس</v>
      </c>
      <c r="S930" s="1" t="str">
        <f>"قرارداد فروش"</f>
        <v>قرارداد فروش</v>
      </c>
      <c r="T930" s="1" t="str">
        <f>"ندارد"</f>
        <v>ندارد</v>
      </c>
      <c r="U930" s="1" t="str">
        <f>"شمسيان پور حبيب اله(2842034)"</f>
        <v>شمسيان پور حبيب اله(2842034)</v>
      </c>
      <c r="V930" s="1">
        <v>961100069</v>
      </c>
      <c r="W930" s="1">
        <v>961100069</v>
      </c>
      <c r="X930" s="1" t="str">
        <f>"1396513018"</f>
        <v>1396513018</v>
      </c>
      <c r="Y930" s="1" t="str">
        <f>"96/06/28"</f>
        <v>96/06/28</v>
      </c>
      <c r="Z930" s="1" t="str">
        <f>"96-36218"</f>
        <v>96-36218</v>
      </c>
      <c r="AA930" s="1" t="str">
        <f>"راه سازي"</f>
        <v>راه سازي</v>
      </c>
      <c r="AB930" s="1" t="str">
        <f>"96/06/28"</f>
        <v>96/06/28</v>
      </c>
      <c r="AC930" s="1" t="str">
        <f>"استان كرمانشاه"</f>
        <v>استان كرمانشاه</v>
      </c>
      <c r="AD930" s="1" t="str">
        <f>"96/06/27"</f>
        <v>96/06/27</v>
      </c>
      <c r="AE930" s="1" t="str">
        <f>"اختتام"</f>
        <v>اختتام</v>
      </c>
      <c r="AF930" s="1" t="str">
        <f>""</f>
        <v/>
      </c>
      <c r="AG930" s="1" t="str">
        <f>""</f>
        <v/>
      </c>
      <c r="AH930" s="1" t="str">
        <f>""</f>
        <v/>
      </c>
      <c r="AI930" s="1" t="str">
        <f>""</f>
        <v/>
      </c>
      <c r="AJ930" s="1" t="str">
        <f>""</f>
        <v/>
      </c>
      <c r="AK930" s="1" t="str">
        <f>""</f>
        <v/>
      </c>
    </row>
    <row r="931" spans="1:37">
      <c r="A931" s="1">
        <v>370000</v>
      </c>
      <c r="B931" s="1">
        <v>961900111</v>
      </c>
      <c r="C931" s="1" t="str">
        <f>"تخليه -كرمانشاه -جاده اسلام آباد-حميل كارگاه آج راه غرب"</f>
        <v>تخليه -كرمانشاه -جاده اسلام آباد-حميل كارگاه آج راه غرب</v>
      </c>
      <c r="D931" s="1">
        <v>8904</v>
      </c>
      <c r="E931" s="1">
        <v>369040</v>
      </c>
      <c r="F931" s="1">
        <v>96</v>
      </c>
      <c r="G931" s="1">
        <v>960</v>
      </c>
      <c r="H931" s="1" t="str">
        <f>"96/05/11"</f>
        <v>96/05/11</v>
      </c>
      <c r="I931" s="1" t="str">
        <f>"كيلوگرم"</f>
        <v>كيلوگرم</v>
      </c>
      <c r="J931" s="1" t="str">
        <f>"0000000091"</f>
        <v>0000000091</v>
      </c>
      <c r="K931" s="1" t="str">
        <f>"قير  PG64-22"</f>
        <v>قير  PG64-22</v>
      </c>
      <c r="L931" s="1">
        <v>100</v>
      </c>
      <c r="M931" s="1" t="str">
        <f>"مخازن قير اصفهان"</f>
        <v>مخازن قير اصفهان</v>
      </c>
      <c r="N931" s="1">
        <v>8293</v>
      </c>
      <c r="O931" s="1">
        <v>50035484</v>
      </c>
      <c r="P931" s="1" t="str">
        <f>"  آج راه غرب"</f>
        <v xml:space="preserve">  آج راه غرب</v>
      </c>
      <c r="Q931" s="1">
        <v>19</v>
      </c>
      <c r="R93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31" s="1" t="str">
        <f>"قرارداد فروش"</f>
        <v>قرارداد فروش</v>
      </c>
      <c r="T931" s="1" t="str">
        <f>"ندارد"</f>
        <v>ندارد</v>
      </c>
      <c r="U931" s="1" t="str">
        <f>"قره باغي مجيد(1871065)"</f>
        <v>قره باغي مجيد(1871065)</v>
      </c>
      <c r="V931" s="1">
        <v>961900111</v>
      </c>
      <c r="W931" s="1">
        <v>961900111</v>
      </c>
      <c r="X931" s="1" t="str">
        <f>"1396502561"</f>
        <v>1396502561</v>
      </c>
      <c r="Y931" s="1" t="str">
        <f>"96/05/11"</f>
        <v>96/05/11</v>
      </c>
      <c r="Z931" s="1" t="str">
        <f>"21914/710"</f>
        <v>21914/710</v>
      </c>
      <c r="AA931" s="1" t="str">
        <f>"سازمان راهداري وحمل نقل جاده اي"</f>
        <v>سازمان راهداري وحمل نقل جاده اي</v>
      </c>
      <c r="AB931" s="1" t="str">
        <f>"96/05/08"</f>
        <v>96/05/08</v>
      </c>
      <c r="AC931" s="1" t="str">
        <f>"استان كرمانشاه"</f>
        <v>استان كرمانشاه</v>
      </c>
      <c r="AD931" s="1" t="str">
        <f>"96/05/11"</f>
        <v>96/05/11</v>
      </c>
      <c r="AE931" s="1" t="str">
        <f>"اختتام"</f>
        <v>اختتام</v>
      </c>
      <c r="AF931" s="1" t="str">
        <f>""</f>
        <v/>
      </c>
      <c r="AG931" s="1" t="str">
        <f>""</f>
        <v/>
      </c>
      <c r="AH931" s="1" t="str">
        <f>""</f>
        <v/>
      </c>
      <c r="AI931" s="1" t="str">
        <f>""</f>
        <v/>
      </c>
      <c r="AJ931" s="1" t="str">
        <f>""</f>
        <v/>
      </c>
      <c r="AK931" s="1" t="str">
        <f>""</f>
        <v/>
      </c>
    </row>
    <row r="932" spans="1:37">
      <c r="A932" s="1">
        <v>206000</v>
      </c>
      <c r="B932" s="1">
        <v>961700195</v>
      </c>
      <c r="C932" s="1" t="str">
        <f>"تخليه - اصفهان -کارخانه شرکت گل راه نقش جهان"</f>
        <v>تخليه - اصفهان -کارخانه شرکت گل راه نقش جهان</v>
      </c>
      <c r="D932" s="1">
        <v>13100</v>
      </c>
      <c r="E932" s="1">
        <v>206000</v>
      </c>
      <c r="F932" s="1">
        <v>96</v>
      </c>
      <c r="G932" s="1">
        <v>0</v>
      </c>
      <c r="H932" s="1" t="str">
        <f>"96/12/23"</f>
        <v>96/12/23</v>
      </c>
      <c r="I932" s="1" t="str">
        <f>"كيلوگرم"</f>
        <v>كيلوگرم</v>
      </c>
      <c r="J932" s="1" t="str">
        <f>"0000000092"</f>
        <v>0000000092</v>
      </c>
      <c r="K932" s="1" t="str">
        <f>"قير  PG64-16"</f>
        <v>قير  PG64-16</v>
      </c>
      <c r="L932" s="1">
        <v>100</v>
      </c>
      <c r="M932" s="1" t="str">
        <f>"مخازن قير اصفهان"</f>
        <v>مخازن قير اصفهان</v>
      </c>
      <c r="N932" s="1">
        <v>8091</v>
      </c>
      <c r="O932" s="1">
        <v>50038930</v>
      </c>
      <c r="P932" s="1" t="str">
        <f>"  اداره كل راه وشهرسازي اصفهان"</f>
        <v xml:space="preserve">  اداره كل راه وشهرسازي اصفهان</v>
      </c>
      <c r="Q932" s="1">
        <v>17</v>
      </c>
      <c r="R932" s="1" t="str">
        <f>"فروش داخلي تهران - وزارت راه - راه روستايي - روکش"</f>
        <v>فروش داخلي تهران - وزارت راه - راه روستايي - روکش</v>
      </c>
      <c r="S932" s="1" t="str">
        <f>"قرارداد فروش"</f>
        <v>قرارداد فروش</v>
      </c>
      <c r="T932" s="1" t="str">
        <f>"ندارد"</f>
        <v>ندارد</v>
      </c>
      <c r="U932" s="1" t="str">
        <f>"علي عابدي ابوالقاسم(1003ج89)"</f>
        <v>علي عابدي ابوالقاسم(1003ج89)</v>
      </c>
      <c r="V932" s="1">
        <v>961700195</v>
      </c>
      <c r="W932" s="1">
        <v>961700195</v>
      </c>
      <c r="X932" s="1" t="str">
        <f>"1396553913"</f>
        <v>1396553913</v>
      </c>
      <c r="Y932" s="1" t="str">
        <f>"96/12/23"</f>
        <v>96/12/23</v>
      </c>
      <c r="Z932" s="1" t="str">
        <f>"286624/710"</f>
        <v>286624/710</v>
      </c>
      <c r="AA932" s="1" t="str">
        <f>"راه روستائي -روكش"</f>
        <v>راه روستائي -روكش</v>
      </c>
      <c r="AB932" s="1" t="str">
        <f>"96/11/25"</f>
        <v>96/11/25</v>
      </c>
      <c r="AC932" s="1" t="str">
        <f>"استان اصفهان"</f>
        <v>استان اصفهان</v>
      </c>
      <c r="AD932" s="1" t="str">
        <f>"96/12/20"</f>
        <v>96/12/20</v>
      </c>
      <c r="AE932" s="1" t="str">
        <f>"اختتام"</f>
        <v>اختتام</v>
      </c>
      <c r="AF932" s="1" t="str">
        <f>""</f>
        <v/>
      </c>
      <c r="AG932" s="1" t="str">
        <f>""</f>
        <v/>
      </c>
      <c r="AH932" s="1" t="str">
        <f>""</f>
        <v/>
      </c>
      <c r="AI932" s="1" t="str">
        <f>""</f>
        <v/>
      </c>
      <c r="AJ932" s="1" t="str">
        <f>""</f>
        <v/>
      </c>
      <c r="AK932" s="1" t="str">
        <f>""</f>
        <v/>
      </c>
    </row>
    <row r="933" spans="1:37">
      <c r="A933" s="1">
        <v>67000</v>
      </c>
      <c r="B933" s="1">
        <v>961700199</v>
      </c>
      <c r="C933" s="1" t="str">
        <f>"تخليه - اصفهان -کارخانه شرکت گل راه نقش جهان"</f>
        <v>تخليه - اصفهان -کارخانه شرکت گل راه نقش جهان</v>
      </c>
      <c r="D933" s="1">
        <v>13100</v>
      </c>
      <c r="E933" s="1">
        <v>67000</v>
      </c>
      <c r="F933" s="1">
        <v>96</v>
      </c>
      <c r="G933" s="1">
        <v>0</v>
      </c>
      <c r="H933" s="1" t="str">
        <f>"96/12/23"</f>
        <v>96/12/23</v>
      </c>
      <c r="I933" s="1" t="str">
        <f>"كيلوگرم"</f>
        <v>كيلوگرم</v>
      </c>
      <c r="J933" s="1" t="str">
        <f>"0000000092"</f>
        <v>0000000092</v>
      </c>
      <c r="K933" s="1" t="str">
        <f>"قير  PG64-16"</f>
        <v>قير  PG64-16</v>
      </c>
      <c r="L933" s="1">
        <v>100</v>
      </c>
      <c r="M933" s="1" t="str">
        <f>"مخازن قير اصفهان"</f>
        <v>مخازن قير اصفهان</v>
      </c>
      <c r="N933" s="1">
        <v>8091</v>
      </c>
      <c r="O933" s="1">
        <v>50038935</v>
      </c>
      <c r="P933" s="1" t="str">
        <f>"  اداره كل راه وشهرسازي اصفهان"</f>
        <v xml:space="preserve">  اداره كل راه وشهرسازي اصفهان</v>
      </c>
      <c r="Q933" s="1">
        <v>17</v>
      </c>
      <c r="R933" s="1" t="str">
        <f>"فروش داخلي تهران - وزارت راه - راه روستايي - روکش"</f>
        <v>فروش داخلي تهران - وزارت راه - راه روستايي - روکش</v>
      </c>
      <c r="S933" s="1" t="str">
        <f>"قرارداد فروش"</f>
        <v>قرارداد فروش</v>
      </c>
      <c r="T933" s="1" t="str">
        <f>"ندارد"</f>
        <v>ندارد</v>
      </c>
      <c r="U933" s="1" t="str">
        <f>"علي عابدي ابوالقاسم(1003ج89)"</f>
        <v>علي عابدي ابوالقاسم(1003ج89)</v>
      </c>
      <c r="V933" s="1">
        <v>961700199</v>
      </c>
      <c r="W933" s="1">
        <v>961700199</v>
      </c>
      <c r="X933" s="1" t="str">
        <f>"1396553913"</f>
        <v>1396553913</v>
      </c>
      <c r="Y933" s="1" t="str">
        <f>"96/12/23"</f>
        <v>96/12/23</v>
      </c>
      <c r="Z933" s="1" t="str">
        <f>"286986/710"</f>
        <v>286986/710</v>
      </c>
      <c r="AA933" s="1" t="str">
        <f>"راه روستائي -روكش"</f>
        <v>راه روستائي -روكش</v>
      </c>
      <c r="AB933" s="1" t="str">
        <f>"96/11/25"</f>
        <v>96/11/25</v>
      </c>
      <c r="AC933" s="1" t="str">
        <f>"استان اصفهان"</f>
        <v>استان اصفهان</v>
      </c>
      <c r="AD933" s="1" t="str">
        <f>"96/12/20"</f>
        <v>96/12/20</v>
      </c>
      <c r="AE933" s="1" t="str">
        <f>"اختتام"</f>
        <v>اختتام</v>
      </c>
      <c r="AF933" s="1" t="str">
        <f>""</f>
        <v/>
      </c>
      <c r="AG933" s="1" t="str">
        <f>""</f>
        <v/>
      </c>
      <c r="AH933" s="1" t="str">
        <f>""</f>
        <v/>
      </c>
      <c r="AI933" s="1" t="str">
        <f>""</f>
        <v/>
      </c>
      <c r="AJ933" s="1" t="str">
        <f>""</f>
        <v/>
      </c>
      <c r="AK933" s="1" t="str">
        <f>""</f>
        <v/>
      </c>
    </row>
    <row r="934" spans="1:37">
      <c r="A934" s="1">
        <v>65000</v>
      </c>
      <c r="B934" s="1">
        <v>961700203</v>
      </c>
      <c r="C934" s="1" t="str">
        <f>"تخليه-شهرک صنعتي اشترجان خيابان 12 شرکت راه آژند"</f>
        <v>تخليه-شهرک صنعتي اشترجان خيابان 12 شرکت راه آژند</v>
      </c>
      <c r="D934" s="1">
        <v>14000</v>
      </c>
      <c r="E934" s="1">
        <v>64300</v>
      </c>
      <c r="F934" s="1">
        <v>96</v>
      </c>
      <c r="G934" s="1">
        <v>700</v>
      </c>
      <c r="H934" s="1" t="str">
        <f>"96/12/23"</f>
        <v>96/12/23</v>
      </c>
      <c r="I934" s="1" t="str">
        <f>"كيلوگرم"</f>
        <v>كيلوگرم</v>
      </c>
      <c r="J934" s="1" t="str">
        <f>"0000000092"</f>
        <v>0000000092</v>
      </c>
      <c r="K934" s="1" t="str">
        <f>"قير  PG64-16"</f>
        <v>قير  PG64-16</v>
      </c>
      <c r="L934" s="1">
        <v>100</v>
      </c>
      <c r="M934" s="1" t="str">
        <f>"مخازن قير اصفهان"</f>
        <v>مخازن قير اصفهان</v>
      </c>
      <c r="N934" s="1">
        <v>8091</v>
      </c>
      <c r="O934" s="1">
        <v>50038941</v>
      </c>
      <c r="P934" s="1" t="str">
        <f>"  اداره كل راه وشهرسازي اصفهان"</f>
        <v xml:space="preserve">  اداره كل راه وشهرسازي اصفهان</v>
      </c>
      <c r="Q934" s="1">
        <v>17</v>
      </c>
      <c r="R934" s="1" t="str">
        <f>"فروش داخلي تهران - وزارت راه - راه روستايي - روکش"</f>
        <v>فروش داخلي تهران - وزارت راه - راه روستايي - روکش</v>
      </c>
      <c r="S934" s="1" t="str">
        <f>"قرارداد فروش"</f>
        <v>قرارداد فروش</v>
      </c>
      <c r="T934" s="1" t="str">
        <f>"ندارد"</f>
        <v>ندارد</v>
      </c>
      <c r="U934" s="1" t="str">
        <f>"شهبازي محمدرضا(1029ج89)"</f>
        <v>شهبازي محمدرضا(1029ج89)</v>
      </c>
      <c r="V934" s="1">
        <v>961700203</v>
      </c>
      <c r="W934" s="1">
        <v>961700203</v>
      </c>
      <c r="X934" s="1" t="str">
        <f>"1396553913"</f>
        <v>1396553913</v>
      </c>
      <c r="Y934" s="1" t="str">
        <f>"96/12/23"</f>
        <v>96/12/23</v>
      </c>
      <c r="Z934" s="1" t="str">
        <f>"287405/710"</f>
        <v>287405/710</v>
      </c>
      <c r="AA934" s="1" t="str">
        <f>"راه روستائي -روكش"</f>
        <v>راه روستائي -روكش</v>
      </c>
      <c r="AB934" s="1" t="str">
        <f>"96/11/28"</f>
        <v>96/11/28</v>
      </c>
      <c r="AC934" s="1" t="str">
        <f>"استان اصفهان"</f>
        <v>استان اصفهان</v>
      </c>
      <c r="AD934" s="1" t="str">
        <f>"96/12/20"</f>
        <v>96/12/20</v>
      </c>
      <c r="AE934" s="1" t="str">
        <f>"اختتام"</f>
        <v>اختتام</v>
      </c>
      <c r="AF934" s="1" t="str">
        <f>""</f>
        <v/>
      </c>
      <c r="AG934" s="1" t="str">
        <f>""</f>
        <v/>
      </c>
      <c r="AH934" s="1" t="str">
        <f>""</f>
        <v/>
      </c>
      <c r="AI934" s="1" t="str">
        <f>""</f>
        <v/>
      </c>
      <c r="AJ934" s="1" t="str">
        <f>""</f>
        <v/>
      </c>
      <c r="AK934" s="1" t="str">
        <f>""</f>
        <v/>
      </c>
    </row>
    <row r="935" spans="1:37">
      <c r="A935" s="1">
        <v>200000</v>
      </c>
      <c r="B935" s="1">
        <v>961700238</v>
      </c>
      <c r="C935" s="1" t="str">
        <f>"تخليه-فلاورجان-داخل شهرک صنعتي اشترجان کارخانه شرکت ماژين سازه چکاد"</f>
        <v>تخليه-فلاورجان-داخل شهرک صنعتي اشترجان کارخانه شرکت ماژين سازه چکاد</v>
      </c>
      <c r="D935" s="1">
        <v>16350</v>
      </c>
      <c r="E935" s="1">
        <v>198440</v>
      </c>
      <c r="F935" s="1">
        <v>96</v>
      </c>
      <c r="G935" s="1">
        <v>1560</v>
      </c>
      <c r="H935" s="1" t="str">
        <f>"96/12/24"</f>
        <v>96/12/24</v>
      </c>
      <c r="I935" s="1" t="str">
        <f>"كيلوگرم"</f>
        <v>كيلوگرم</v>
      </c>
      <c r="J935" s="1" t="str">
        <f>"0000000092"</f>
        <v>0000000092</v>
      </c>
      <c r="K935" s="1" t="str">
        <f>"قير  PG64-16"</f>
        <v>قير  PG64-16</v>
      </c>
      <c r="L935" s="1">
        <v>100</v>
      </c>
      <c r="M935" s="1" t="str">
        <f>"مخازن قير اصفهان"</f>
        <v>مخازن قير اصفهان</v>
      </c>
      <c r="N935" s="1">
        <v>8091</v>
      </c>
      <c r="O935" s="1">
        <v>50039024</v>
      </c>
      <c r="P935" s="1" t="str">
        <f>"  اداره كل راه وشهرسازي اصفهان"</f>
        <v xml:space="preserve">  اداره كل راه وشهرسازي اصفهان</v>
      </c>
      <c r="Q935" s="1">
        <v>17</v>
      </c>
      <c r="R935" s="1" t="str">
        <f>"فروش داخلي تهران - وزارت راه - راه روستايي - روکش"</f>
        <v>فروش داخلي تهران - وزارت راه - راه روستايي - روکش</v>
      </c>
      <c r="S935" s="1" t="str">
        <f>"قرارداد فروش"</f>
        <v>قرارداد فروش</v>
      </c>
      <c r="T935" s="1" t="str">
        <f>"ندارد"</f>
        <v>ندارد</v>
      </c>
      <c r="U935" s="1" t="str">
        <f>"سيفي پور عبدالمجيد(1009ج89)"</f>
        <v>سيفي پور عبدالمجيد(1009ج89)</v>
      </c>
      <c r="V935" s="1">
        <v>961700238</v>
      </c>
      <c r="W935" s="1">
        <v>961700238</v>
      </c>
      <c r="X935" s="1" t="str">
        <f>"1396553913"</f>
        <v>1396553913</v>
      </c>
      <c r="Y935" s="1" t="str">
        <f>"96/12/24"</f>
        <v>96/12/24</v>
      </c>
      <c r="Z935" s="1" t="str">
        <f>"284105/710"</f>
        <v>284105/710</v>
      </c>
      <c r="AA935" s="1" t="str">
        <f>"راه روستائي -روكش"</f>
        <v>راه روستائي -روكش</v>
      </c>
      <c r="AB935" s="1" t="str">
        <f>"96/11/17"</f>
        <v>96/11/17</v>
      </c>
      <c r="AC935" s="1" t="str">
        <f>"استان اصفهان"</f>
        <v>استان اصفهان</v>
      </c>
      <c r="AD935" s="1" t="str">
        <f>"96/12/20"</f>
        <v>96/12/20</v>
      </c>
      <c r="AE935" s="1" t="str">
        <f>"اختتام"</f>
        <v>اختتام</v>
      </c>
      <c r="AF935" s="1" t="str">
        <f>""</f>
        <v/>
      </c>
      <c r="AG935" s="1" t="str">
        <f>""</f>
        <v/>
      </c>
      <c r="AH935" s="1" t="str">
        <f>""</f>
        <v/>
      </c>
      <c r="AI935" s="1" t="str">
        <f>""</f>
        <v/>
      </c>
      <c r="AJ935" s="1" t="str">
        <f>""</f>
        <v/>
      </c>
      <c r="AK935" s="1" t="str">
        <f>""</f>
        <v/>
      </c>
    </row>
    <row r="936" spans="1:37">
      <c r="A936" s="1">
        <v>100000</v>
      </c>
      <c r="B936" s="1">
        <v>961700239</v>
      </c>
      <c r="C936" s="1" t="str">
        <f>"تخليه-فلاورجان-داخل شهرک صنعتي اشترجان کارخانه شرکت ماژين سازه چکاد"</f>
        <v>تخليه-فلاورجان-داخل شهرک صنعتي اشترجان کارخانه شرکت ماژين سازه چکاد</v>
      </c>
      <c r="D936" s="1">
        <v>16350</v>
      </c>
      <c r="E936" s="1">
        <v>100000</v>
      </c>
      <c r="F936" s="1">
        <v>96</v>
      </c>
      <c r="G936" s="1">
        <v>0</v>
      </c>
      <c r="H936" s="1" t="str">
        <f>"96/12/24"</f>
        <v>96/12/24</v>
      </c>
      <c r="I936" s="1" t="str">
        <f>"كيلوگرم"</f>
        <v>كيلوگرم</v>
      </c>
      <c r="J936" s="1" t="str">
        <f>"0000000092"</f>
        <v>0000000092</v>
      </c>
      <c r="K936" s="1" t="str">
        <f>"قير  PG64-16"</f>
        <v>قير  PG64-16</v>
      </c>
      <c r="L936" s="1">
        <v>100</v>
      </c>
      <c r="M936" s="1" t="str">
        <f>"مخازن قير اصفهان"</f>
        <v>مخازن قير اصفهان</v>
      </c>
      <c r="N936" s="1">
        <v>8091</v>
      </c>
      <c r="O936" s="1">
        <v>50039025</v>
      </c>
      <c r="P936" s="1" t="str">
        <f>"  اداره كل راه وشهرسازي اصفهان"</f>
        <v xml:space="preserve">  اداره كل راه وشهرسازي اصفهان</v>
      </c>
      <c r="Q936" s="1">
        <v>17</v>
      </c>
      <c r="R936" s="1" t="str">
        <f>"فروش داخلي تهران - وزارت راه - راه روستايي - روکش"</f>
        <v>فروش داخلي تهران - وزارت راه - راه روستايي - روکش</v>
      </c>
      <c r="S936" s="1" t="str">
        <f>"قرارداد فروش"</f>
        <v>قرارداد فروش</v>
      </c>
      <c r="T936" s="1" t="str">
        <f>"ندارد"</f>
        <v>ندارد</v>
      </c>
      <c r="U936" s="1" t="str">
        <f>"سيفي پور عبدالمجيد(1009ج89)"</f>
        <v>سيفي پور عبدالمجيد(1009ج89)</v>
      </c>
      <c r="V936" s="1">
        <v>961700239</v>
      </c>
      <c r="W936" s="1">
        <v>961700239</v>
      </c>
      <c r="X936" s="1" t="str">
        <f>"1396553913"</f>
        <v>1396553913</v>
      </c>
      <c r="Y936" s="1" t="str">
        <f>"96/12/24"</f>
        <v>96/12/24</v>
      </c>
      <c r="Z936" s="1" t="str">
        <f>"284673/710"</f>
        <v>284673/710</v>
      </c>
      <c r="AA936" s="1" t="str">
        <f>"راه روستائي -روكش"</f>
        <v>راه روستائي -روكش</v>
      </c>
      <c r="AB936" s="1" t="str">
        <f>"96/11/18"</f>
        <v>96/11/18</v>
      </c>
      <c r="AC936" s="1" t="str">
        <f>"استان اصفهان"</f>
        <v>استان اصفهان</v>
      </c>
      <c r="AD936" s="1" t="str">
        <f>"96/12/20"</f>
        <v>96/12/20</v>
      </c>
      <c r="AE936" s="1" t="str">
        <f>"اختتام"</f>
        <v>اختتام</v>
      </c>
      <c r="AF936" s="1" t="str">
        <f>""</f>
        <v/>
      </c>
      <c r="AG936" s="1" t="str">
        <f>""</f>
        <v/>
      </c>
      <c r="AH936" s="1" t="str">
        <f>""</f>
        <v/>
      </c>
      <c r="AI936" s="1" t="str">
        <f>""</f>
        <v/>
      </c>
      <c r="AJ936" s="1" t="str">
        <f>""</f>
        <v/>
      </c>
      <c r="AK936" s="1" t="str">
        <f>""</f>
        <v/>
      </c>
    </row>
    <row r="937" spans="1:37">
      <c r="A937" s="1">
        <v>20000</v>
      </c>
      <c r="B937" s="1">
        <v>961700242</v>
      </c>
      <c r="C937" s="1" t="str">
        <f>"تخليه -اصفهان ميمه -كارخانه آسفالت شركت خاكپي"</f>
        <v>تخليه -اصفهان ميمه -كارخانه آسفالت شركت خاكپي</v>
      </c>
      <c r="D937" s="1">
        <v>14000</v>
      </c>
      <c r="E937" s="1">
        <v>20000</v>
      </c>
      <c r="F937" s="1">
        <v>96</v>
      </c>
      <c r="G937" s="1">
        <v>0</v>
      </c>
      <c r="H937" s="1" t="str">
        <f>"96/12/24"</f>
        <v>96/12/24</v>
      </c>
      <c r="I937" s="1" t="str">
        <f>"كيلوگرم"</f>
        <v>كيلوگرم</v>
      </c>
      <c r="J937" s="1" t="str">
        <f>"0000000092"</f>
        <v>0000000092</v>
      </c>
      <c r="K937" s="1" t="str">
        <f>"قير  PG64-16"</f>
        <v>قير  PG64-16</v>
      </c>
      <c r="L937" s="1">
        <v>100</v>
      </c>
      <c r="M937" s="1" t="str">
        <f>"مخازن قير اصفهان"</f>
        <v>مخازن قير اصفهان</v>
      </c>
      <c r="N937" s="1">
        <v>8091</v>
      </c>
      <c r="O937" s="1">
        <v>50039028</v>
      </c>
      <c r="P937" s="1" t="str">
        <f>"  اداره كل راه وشهرسازي اصفهان"</f>
        <v xml:space="preserve">  اداره كل راه وشهرسازي اصفهان</v>
      </c>
      <c r="Q937" s="1">
        <v>17</v>
      </c>
      <c r="R937" s="1" t="str">
        <f>"فروش داخلي تهران - وزارت راه - راه روستايي - روکش"</f>
        <v>فروش داخلي تهران - وزارت راه - راه روستايي - روکش</v>
      </c>
      <c r="S937" s="1" t="str">
        <f>"قرارداد فروش"</f>
        <v>قرارداد فروش</v>
      </c>
      <c r="T937" s="1" t="str">
        <f>"ندارد"</f>
        <v>ندارد</v>
      </c>
      <c r="U937" s="1" t="str">
        <f>"ريسماني حسن(1007ج89)"</f>
        <v>ريسماني حسن(1007ج89)</v>
      </c>
      <c r="V937" s="1">
        <v>961700242</v>
      </c>
      <c r="W937" s="1">
        <v>961700242</v>
      </c>
      <c r="X937" s="1" t="str">
        <f>"1396553913"</f>
        <v>1396553913</v>
      </c>
      <c r="Y937" s="1" t="str">
        <f>"96/12/24"</f>
        <v>96/12/24</v>
      </c>
      <c r="Z937" s="1" t="str">
        <f>"286901/710"</f>
        <v>286901/710</v>
      </c>
      <c r="AA937" s="1" t="str">
        <f>"راه روستائي -روكش"</f>
        <v>راه روستائي -روكش</v>
      </c>
      <c r="AB937" s="1" t="str">
        <f>"96/11/25"</f>
        <v>96/11/25</v>
      </c>
      <c r="AC937" s="1" t="str">
        <f>"استان اصفهان"</f>
        <v>استان اصفهان</v>
      </c>
      <c r="AD937" s="1" t="str">
        <f>"96/12/20"</f>
        <v>96/12/20</v>
      </c>
      <c r="AE937" s="1" t="str">
        <f>"اختتام"</f>
        <v>اختتام</v>
      </c>
      <c r="AF937" s="1" t="str">
        <f>""</f>
        <v/>
      </c>
      <c r="AG937" s="1" t="str">
        <f>""</f>
        <v/>
      </c>
      <c r="AH937" s="1" t="str">
        <f>""</f>
        <v/>
      </c>
      <c r="AI937" s="1" t="str">
        <f>""</f>
        <v/>
      </c>
      <c r="AJ937" s="1" t="str">
        <f>""</f>
        <v/>
      </c>
      <c r="AK937" s="1" t="str">
        <f>""</f>
        <v/>
      </c>
    </row>
    <row r="938" spans="1:37">
      <c r="A938" s="1">
        <v>110000</v>
      </c>
      <c r="B938" s="1">
        <v>961700247</v>
      </c>
      <c r="C938" s="1" t="str">
        <f>"تخليه - اصفهان- کارخانه آسفالت زينبيه"</f>
        <v>تخليه - اصفهان- کارخانه آسفالت زينبيه</v>
      </c>
      <c r="D938" s="1">
        <v>15810</v>
      </c>
      <c r="E938" s="1">
        <v>110000</v>
      </c>
      <c r="F938" s="1">
        <v>96</v>
      </c>
      <c r="G938" s="1">
        <v>0</v>
      </c>
      <c r="H938" s="1" t="str">
        <f>"96/12/26"</f>
        <v>96/12/26</v>
      </c>
      <c r="I938" s="1" t="str">
        <f>"كيلوگرم"</f>
        <v>كيلوگرم</v>
      </c>
      <c r="J938" s="1" t="str">
        <f>"0000000092"</f>
        <v>0000000092</v>
      </c>
      <c r="K938" s="1" t="str">
        <f>"قير  PG64-16"</f>
        <v>قير  PG64-16</v>
      </c>
      <c r="L938" s="1">
        <v>100</v>
      </c>
      <c r="M938" s="1" t="str">
        <f>"مخازن قير اصفهان"</f>
        <v>مخازن قير اصفهان</v>
      </c>
      <c r="N938" s="1">
        <v>8091</v>
      </c>
      <c r="O938" s="1">
        <v>50039044</v>
      </c>
      <c r="P938" s="1" t="str">
        <f>"  اداره كل راه وشهرسازي اصفهان"</f>
        <v xml:space="preserve">  اداره كل راه وشهرسازي اصفهان</v>
      </c>
      <c r="Q938" s="1">
        <v>17</v>
      </c>
      <c r="R938" s="1" t="str">
        <f>"فروش داخلي تهران - وزارت راه - راه روستايي - روکش"</f>
        <v>فروش داخلي تهران - وزارت راه - راه روستايي - روکش</v>
      </c>
      <c r="S938" s="1" t="str">
        <f>"قرارداد فروش"</f>
        <v>قرارداد فروش</v>
      </c>
      <c r="T938" s="1" t="str">
        <f>"ندارد"</f>
        <v>ندارد</v>
      </c>
      <c r="U938" s="1" t="str">
        <f>"شهبازي محمدرضا(1029ج89)"</f>
        <v>شهبازي محمدرضا(1029ج89)</v>
      </c>
      <c r="V938" s="1">
        <v>961700247</v>
      </c>
      <c r="W938" s="1">
        <v>961700247</v>
      </c>
      <c r="X938" s="1" t="str">
        <f>"1396553913"</f>
        <v>1396553913</v>
      </c>
      <c r="Y938" s="1" t="str">
        <f>"96/12/26"</f>
        <v>96/12/26</v>
      </c>
      <c r="Z938" s="1" t="str">
        <f>"286944/710"</f>
        <v>286944/710</v>
      </c>
      <c r="AA938" s="1" t="str">
        <f>"راه روستائي -روكش"</f>
        <v>راه روستائي -روكش</v>
      </c>
      <c r="AB938" s="1" t="str">
        <f>"96/11/25"</f>
        <v>96/11/25</v>
      </c>
      <c r="AC938" s="1" t="str">
        <f>"استان اصفهان"</f>
        <v>استان اصفهان</v>
      </c>
      <c r="AD938" s="1" t="str">
        <f>"96/12/20"</f>
        <v>96/12/20</v>
      </c>
      <c r="AE938" s="1" t="str">
        <f>"اختتام"</f>
        <v>اختتام</v>
      </c>
      <c r="AF938" s="1" t="str">
        <f>""</f>
        <v/>
      </c>
      <c r="AG938" s="1" t="str">
        <f>""</f>
        <v/>
      </c>
      <c r="AH938" s="1" t="str">
        <f>""</f>
        <v/>
      </c>
      <c r="AI938" s="1" t="str">
        <f>""</f>
        <v/>
      </c>
      <c r="AJ938" s="1" t="str">
        <f>""</f>
        <v/>
      </c>
      <c r="AK938" s="1" t="str">
        <f>""</f>
        <v/>
      </c>
    </row>
    <row r="939" spans="1:37">
      <c r="A939" s="1">
        <v>155000</v>
      </c>
      <c r="B939" s="1">
        <v>966300029</v>
      </c>
      <c r="C939" s="1" t="str">
        <f>"تخليه -يزد-كيلومتر15جاده مهريز-شرکت فرش راه يزد"</f>
        <v>تخليه -يزد-كيلومتر15جاده مهريز-شرکت فرش راه يزد</v>
      </c>
      <c r="D939" s="1">
        <v>12970</v>
      </c>
      <c r="E939" s="1">
        <v>154040</v>
      </c>
      <c r="F939" s="1">
        <v>96</v>
      </c>
      <c r="G939" s="1">
        <v>960</v>
      </c>
      <c r="H939" s="1" t="str">
        <f>"96/09/12"</f>
        <v>96/09/12</v>
      </c>
      <c r="I939" s="1" t="str">
        <f>"كيلوگرم"</f>
        <v>كيلوگرم</v>
      </c>
      <c r="J939" s="1" t="str">
        <f>"0000000091"</f>
        <v>0000000091</v>
      </c>
      <c r="K939" s="1" t="str">
        <f>"قير  PG64-22"</f>
        <v>قير  PG64-22</v>
      </c>
      <c r="L939" s="1">
        <v>100</v>
      </c>
      <c r="M939" s="1" t="str">
        <f>"مخازن قير اصفهان"</f>
        <v>مخازن قير اصفهان</v>
      </c>
      <c r="N939" s="1">
        <v>8942</v>
      </c>
      <c r="O939" s="1">
        <v>50037414</v>
      </c>
      <c r="P939" s="1" t="str">
        <f>"  راه سازي فرش راه يزد(1051ج96)"</f>
        <v xml:space="preserve">  راه سازي فرش راه يزد(1051ج96)</v>
      </c>
      <c r="Q939" s="1">
        <v>63</v>
      </c>
      <c r="R939" s="1" t="str">
        <f>"سازمان نوسازي،توسعه و تجهيز مدارس كشور"</f>
        <v>سازمان نوسازي،توسعه و تجهيز مدارس كشور</v>
      </c>
      <c r="S939" s="1" t="str">
        <f>"قرارداد فروش"</f>
        <v>قرارداد فروش</v>
      </c>
      <c r="T939" s="1" t="str">
        <f>"ندارد"</f>
        <v>ندارد</v>
      </c>
      <c r="U939" s="1" t="str">
        <f>"قانعي محمدرضا(1011ج89)"</f>
        <v>قانعي محمدرضا(1011ج89)</v>
      </c>
      <c r="V939" s="1">
        <v>966300029</v>
      </c>
      <c r="W939" s="1">
        <v>966300029</v>
      </c>
      <c r="X939" s="1" t="str">
        <f>"1396529408"</f>
        <v>1396529408</v>
      </c>
      <c r="Y939" s="1" t="str">
        <f>"96/09/12"</f>
        <v>96/09/12</v>
      </c>
      <c r="Z939" s="1" t="str">
        <f>"6927/1"</f>
        <v>6927/1</v>
      </c>
      <c r="AA939" s="1" t="str">
        <f>"سازمان نوسازي توسعه وتجهيزمدارس كشور"</f>
        <v>سازمان نوسازي توسعه وتجهيزمدارس كشور</v>
      </c>
      <c r="AB939" s="1" t="str">
        <f>"96/08/01"</f>
        <v>96/08/01</v>
      </c>
      <c r="AC939" s="1" t="str">
        <f>"استان يزد"</f>
        <v>استان يزد</v>
      </c>
      <c r="AD939" s="1" t="str">
        <f>"96/09/11"</f>
        <v>96/09/11</v>
      </c>
      <c r="AE939" s="1" t="str">
        <f>"اختتام"</f>
        <v>اختتام</v>
      </c>
      <c r="AF939" s="1" t="str">
        <f>""</f>
        <v/>
      </c>
      <c r="AG939" s="1" t="str">
        <f>""</f>
        <v/>
      </c>
      <c r="AH939" s="1" t="str">
        <f>""</f>
        <v/>
      </c>
      <c r="AI939" s="1" t="str">
        <f>""</f>
        <v/>
      </c>
      <c r="AJ939" s="1" t="str">
        <f>""</f>
        <v/>
      </c>
      <c r="AK939" s="1" t="str">
        <f>""</f>
        <v/>
      </c>
    </row>
    <row r="940" spans="1:37">
      <c r="A940" s="1">
        <v>700000</v>
      </c>
      <c r="B940" s="1">
        <v>961600002</v>
      </c>
      <c r="C940" s="1" t="str">
        <f>"تخليه -خراسان جنوبي -فردوس -خروجي به طرف سرايان كارخانه آسفالت توس راديه"</f>
        <v>تخليه -خراسان جنوبي -فردوس -خروجي به طرف سرايان كارخانه آسفالت توس راديه</v>
      </c>
      <c r="D940" s="1">
        <v>9068</v>
      </c>
      <c r="E940" s="1">
        <v>699080</v>
      </c>
      <c r="F940" s="1">
        <v>96</v>
      </c>
      <c r="G940" s="1">
        <v>920</v>
      </c>
      <c r="H940" s="1" t="str">
        <f>"96/01/16"</f>
        <v>96/01/16</v>
      </c>
      <c r="I940" s="1" t="str">
        <f>"كيلوگرم"</f>
        <v>كيلوگرم</v>
      </c>
      <c r="J940" s="1" t="str">
        <f>"0000000091"</f>
        <v>0000000091</v>
      </c>
      <c r="K940" s="1" t="str">
        <f>"قير  PG64-22"</f>
        <v>قير  PG64-22</v>
      </c>
      <c r="L940" s="1">
        <v>100</v>
      </c>
      <c r="M940" s="1" t="str">
        <f>"مخازن قير اصفهان"</f>
        <v>مخازن قير اصفهان</v>
      </c>
      <c r="N940" s="1">
        <v>4060</v>
      </c>
      <c r="O940" s="1">
        <v>50034396</v>
      </c>
      <c r="P940" s="1" t="str">
        <f>"  توس راديه"</f>
        <v xml:space="preserve">  توس راديه</v>
      </c>
      <c r="Q940" s="1">
        <v>16</v>
      </c>
      <c r="R940" s="1" t="str">
        <f>"فروش داخلي تهران - وزارت راه - معاونت اقتصاد"</f>
        <v>فروش داخلي تهران - وزارت راه - معاونت اقتصاد</v>
      </c>
      <c r="S940" s="1" t="str">
        <f>"قرارداد فروش"</f>
        <v>قرارداد فروش</v>
      </c>
      <c r="T940" s="1" t="str">
        <f>"ندارد"</f>
        <v>ندارد</v>
      </c>
      <c r="U940" s="1" t="str">
        <f>"بابامحمدي عنايت اله(4844000)"</f>
        <v>بابامحمدي عنايت اله(4844000)</v>
      </c>
      <c r="V940" s="1">
        <v>961600002</v>
      </c>
      <c r="W940" s="1">
        <v>961600002</v>
      </c>
      <c r="X940" s="1" t="str">
        <f>"1395471092"</f>
        <v>1395471092</v>
      </c>
      <c r="Y940" s="1" t="str">
        <f>"96/01/16"</f>
        <v>96/01/16</v>
      </c>
      <c r="Z940" s="1" t="str">
        <f>"66905/710"</f>
        <v>66905/710</v>
      </c>
      <c r="AA940" s="1" t="str">
        <f>"معاونت اقتصادوزارت راه وشهرسازي"</f>
        <v>معاونت اقتصادوزارت راه وشهرسازي</v>
      </c>
      <c r="AB940" s="1" t="str">
        <f>"95/12/25"</f>
        <v>95/12/25</v>
      </c>
      <c r="AC940" s="1" t="str">
        <f>"خراسان جنوبي"</f>
        <v>خراسان جنوبي</v>
      </c>
      <c r="AD940" s="1" t="str">
        <f>"95/12/28"</f>
        <v>95/12/28</v>
      </c>
      <c r="AE940" s="1" t="str">
        <f>"اختتام"</f>
        <v>اختتام</v>
      </c>
      <c r="AF940" s="1" t="str">
        <f>""</f>
        <v/>
      </c>
      <c r="AG940" s="1" t="str">
        <f>""</f>
        <v/>
      </c>
      <c r="AH940" s="1" t="str">
        <f>""</f>
        <v/>
      </c>
      <c r="AI940" s="1" t="str">
        <f>""</f>
        <v/>
      </c>
      <c r="AJ940" s="1" t="str">
        <f>""</f>
        <v/>
      </c>
      <c r="AK940" s="1" t="str">
        <f>""</f>
        <v/>
      </c>
    </row>
    <row r="941" spans="1:37">
      <c r="A941" s="1">
        <v>100000</v>
      </c>
      <c r="B941" s="1">
        <v>961700080</v>
      </c>
      <c r="C941" s="1" t="str">
        <f>"تخليه-کرمانشاه-کارخانه آسفالت شهرداري پاوه"</f>
        <v>تخليه-کرمانشاه-کارخانه آسفالت شهرداري پاوه</v>
      </c>
      <c r="D941" s="1">
        <v>9204</v>
      </c>
      <c r="E941" s="1">
        <v>96100</v>
      </c>
      <c r="F941" s="1">
        <v>96</v>
      </c>
      <c r="G941" s="1">
        <v>3900</v>
      </c>
      <c r="H941" s="1" t="str">
        <f>"96/06/05"</f>
        <v>96/06/05</v>
      </c>
      <c r="I941" s="1" t="str">
        <f>"كيلوگرم"</f>
        <v>كيلوگرم</v>
      </c>
      <c r="J941" s="1" t="str">
        <f>"0000000091"</f>
        <v>0000000091</v>
      </c>
      <c r="K941" s="1" t="str">
        <f>"قير  PG64-22"</f>
        <v>قير  PG64-22</v>
      </c>
      <c r="L941" s="1">
        <v>100</v>
      </c>
      <c r="M941" s="1" t="str">
        <f>"مخازن قير اصفهان"</f>
        <v>مخازن قير اصفهان</v>
      </c>
      <c r="N941" s="1">
        <v>4109</v>
      </c>
      <c r="O941" s="1">
        <v>50035813</v>
      </c>
      <c r="P941" s="1" t="str">
        <f>"  اداره كل راه و  شهرسازي كرمانشاه"</f>
        <v xml:space="preserve">  اداره كل راه و  شهرسازي كرمانشاه</v>
      </c>
      <c r="Q941" s="1">
        <v>17</v>
      </c>
      <c r="R941" s="1" t="str">
        <f>"فروش داخلي تهران - وزارت راه - راه روستايي - روکش"</f>
        <v>فروش داخلي تهران - وزارت راه - راه روستايي - روکش</v>
      </c>
      <c r="S941" s="1" t="str">
        <f>"قرارداد فروش"</f>
        <v>قرارداد فروش</v>
      </c>
      <c r="T941" s="1" t="str">
        <f>"ندارد"</f>
        <v>ندارد</v>
      </c>
      <c r="U941" s="1" t="str">
        <f>"بستاني محسن (2882039)"</f>
        <v>بستاني محسن (2882039)</v>
      </c>
      <c r="V941" s="1">
        <v>961700080</v>
      </c>
      <c r="W941" s="1">
        <v>961700080</v>
      </c>
      <c r="X941" s="1" t="str">
        <f>"1396508162"</f>
        <v>1396508162</v>
      </c>
      <c r="Y941" s="1" t="str">
        <f>"96/06/05"</f>
        <v>96/06/05</v>
      </c>
      <c r="Z941" s="1" t="str">
        <f>"26085/710"</f>
        <v>26085/710</v>
      </c>
      <c r="AA941" s="1" t="str">
        <f>"راه روستائي -روكش"</f>
        <v>راه روستائي -روكش</v>
      </c>
      <c r="AB941" s="1" t="str">
        <f>"96/05/29"</f>
        <v>96/05/29</v>
      </c>
      <c r="AC941" s="1" t="str">
        <f>"استان كرمانشاه"</f>
        <v>استان كرمانشاه</v>
      </c>
      <c r="AD941" s="1" t="str">
        <f>"96/06/05"</f>
        <v>96/06/05</v>
      </c>
      <c r="AE941" s="1" t="str">
        <f>"اختتام"</f>
        <v>اختتام</v>
      </c>
      <c r="AF941" s="1" t="str">
        <f>""</f>
        <v/>
      </c>
      <c r="AG941" s="1" t="str">
        <f>""</f>
        <v/>
      </c>
      <c r="AH941" s="1" t="str">
        <f>""</f>
        <v/>
      </c>
      <c r="AI941" s="1" t="str">
        <f>""</f>
        <v/>
      </c>
      <c r="AJ941" s="1" t="str">
        <f>""</f>
        <v/>
      </c>
      <c r="AK941" s="1" t="str">
        <f>""</f>
        <v/>
      </c>
    </row>
    <row r="942" spans="1:37">
      <c r="A942" s="1">
        <v>600000</v>
      </c>
      <c r="B942" s="1">
        <v>961900143</v>
      </c>
      <c r="C942" s="1" t="str">
        <f>"تخليه كردستان كيلومتر5جاده قروه -سنندج كارخانه آستفالت اندش دانا"</f>
        <v>تخليه كردستان كيلومتر5جاده قروه -سنندج كارخانه آستفالت اندش دانا</v>
      </c>
      <c r="D942" s="1">
        <v>12970</v>
      </c>
      <c r="E942" s="1">
        <v>598960</v>
      </c>
      <c r="F942" s="1">
        <v>96</v>
      </c>
      <c r="G942" s="1">
        <v>1040</v>
      </c>
      <c r="H942" s="1" t="str">
        <f>"96/06/25"</f>
        <v>96/06/25</v>
      </c>
      <c r="I942" s="1" t="str">
        <f>"كيلوگرم"</f>
        <v>كيلوگرم</v>
      </c>
      <c r="J942" s="1" t="str">
        <f>"0000000091"</f>
        <v>0000000091</v>
      </c>
      <c r="K942" s="1" t="str">
        <f>"قير  PG64-22"</f>
        <v>قير  PG64-22</v>
      </c>
      <c r="L942" s="1">
        <v>100</v>
      </c>
      <c r="M942" s="1" t="str">
        <f>"مخازن قير اصفهان"</f>
        <v>مخازن قير اصفهان</v>
      </c>
      <c r="N942" s="1">
        <v>4184</v>
      </c>
      <c r="O942" s="1">
        <v>50036042</v>
      </c>
      <c r="P942" s="1" t="str">
        <f>"  را ه و ساختماني آسفالت انديش دانا"</f>
        <v xml:space="preserve">  را ه و ساختماني آسفالت انديش دانا</v>
      </c>
      <c r="Q942" s="1">
        <v>19</v>
      </c>
      <c r="R94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42" s="1" t="str">
        <f>"قرارداد فروش"</f>
        <v>قرارداد فروش</v>
      </c>
      <c r="T942" s="1" t="str">
        <f>"ندارد"</f>
        <v>ندارد</v>
      </c>
      <c r="U942" s="1" t="str">
        <f>"قنبري امين(2872037)"</f>
        <v>قنبري امين(2872037)</v>
      </c>
      <c r="V942" s="1">
        <v>961900143</v>
      </c>
      <c r="W942" s="1">
        <v>961900143</v>
      </c>
      <c r="X942" s="1" t="str">
        <f>"1396512674"</f>
        <v>1396512674</v>
      </c>
      <c r="Y942" s="1" t="str">
        <f>"96/06/25"</f>
        <v>96/06/25</v>
      </c>
      <c r="Z942" s="1" t="str">
        <f>"30178/710"</f>
        <v>30178/710</v>
      </c>
      <c r="AA942" s="1" t="str">
        <f>"سازمان راهداري وحمل نقل جاده اي"</f>
        <v>سازمان راهداري وحمل نقل جاده اي</v>
      </c>
      <c r="AB942" s="1" t="str">
        <f>"96/06/20"</f>
        <v>96/06/20</v>
      </c>
      <c r="AC942" s="1" t="str">
        <f>"استان كردستان"</f>
        <v>استان كردستان</v>
      </c>
      <c r="AD942" s="1" t="str">
        <f>"96/06/25"</f>
        <v>96/06/25</v>
      </c>
      <c r="AE942" s="1" t="str">
        <f>"اختتام"</f>
        <v>اختتام</v>
      </c>
      <c r="AF942" s="1" t="str">
        <f>""</f>
        <v/>
      </c>
      <c r="AG942" s="1" t="str">
        <f>""</f>
        <v/>
      </c>
      <c r="AH942" s="1" t="str">
        <f>""</f>
        <v/>
      </c>
      <c r="AI942" s="1" t="str">
        <f>""</f>
        <v/>
      </c>
      <c r="AJ942" s="1" t="str">
        <f>""</f>
        <v/>
      </c>
      <c r="AK942" s="1" t="str">
        <f>""</f>
        <v/>
      </c>
    </row>
    <row r="943" spans="1:37">
      <c r="A943" s="1">
        <v>43000</v>
      </c>
      <c r="B943" s="1">
        <v>961700020</v>
      </c>
      <c r="C943" s="1" t="str">
        <f>"تخليه-کرمان-کارخانه آسفالت آبادگران رفابخش"</f>
        <v>تخليه-کرمان-کارخانه آسفالت آبادگران رفابخش</v>
      </c>
      <c r="D943" s="1">
        <v>8854</v>
      </c>
      <c r="E943" s="1">
        <v>43000</v>
      </c>
      <c r="F943" s="1">
        <v>96</v>
      </c>
      <c r="G943" s="1">
        <v>0</v>
      </c>
      <c r="H943" s="1" t="str">
        <f>"96/03/13"</f>
        <v>96/03/13</v>
      </c>
      <c r="I943" s="1" t="str">
        <f>"كيلوگرم"</f>
        <v>كيلوگرم</v>
      </c>
      <c r="J943" s="1" t="str">
        <f>"0000000091"</f>
        <v>0000000091</v>
      </c>
      <c r="K943" s="1" t="str">
        <f>"قير  PG64-22"</f>
        <v>قير  PG64-22</v>
      </c>
      <c r="L943" s="1">
        <v>100</v>
      </c>
      <c r="M943" s="1" t="str">
        <f>"مخازن قير اصفهان"</f>
        <v>مخازن قير اصفهان</v>
      </c>
      <c r="N943" s="1">
        <v>7034</v>
      </c>
      <c r="O943" s="1">
        <v>50034962</v>
      </c>
      <c r="P943" s="1" t="str">
        <f>"  اداره كل راه وشهرسازي كرمان"</f>
        <v xml:space="preserve">  اداره كل راه وشهرسازي كرمان</v>
      </c>
      <c r="Q943" s="1">
        <v>17</v>
      </c>
      <c r="R943" s="1" t="str">
        <f>"فروش داخلي تهران - وزارت راه - راه روستايي - روکش"</f>
        <v>فروش داخلي تهران - وزارت راه - راه روستايي - روکش</v>
      </c>
      <c r="S943" s="1" t="str">
        <f>"قرارداد فروش"</f>
        <v>قرارداد فروش</v>
      </c>
      <c r="T943" s="1" t="str">
        <f>"ندارد"</f>
        <v>ندارد</v>
      </c>
      <c r="U943" s="1" t="str">
        <f>"خضرائي فريدون(4844003)"</f>
        <v>خضرائي فريدون(4844003)</v>
      </c>
      <c r="V943" s="1">
        <v>961700020</v>
      </c>
      <c r="W943" s="1">
        <v>961700020</v>
      </c>
      <c r="X943" s="1" t="str">
        <f>"1396485274"</f>
        <v>1396485274</v>
      </c>
      <c r="Y943" s="1" t="str">
        <f>"96/03/13"</f>
        <v>96/03/13</v>
      </c>
      <c r="Z943" s="1" t="str">
        <f>"10909/710"</f>
        <v>10909/710</v>
      </c>
      <c r="AA943" s="1" t="str">
        <f>"راه روستائي -روكش"</f>
        <v>راه روستائي -روكش</v>
      </c>
      <c r="AB943" s="1" t="str">
        <f>"96/03/09"</f>
        <v>96/03/09</v>
      </c>
      <c r="AC943" s="1" t="str">
        <f>"استان كرمان"</f>
        <v>استان كرمان</v>
      </c>
      <c r="AD943" s="1" t="str">
        <f>"96/03/13"</f>
        <v>96/03/13</v>
      </c>
      <c r="AE943" s="1" t="str">
        <f>"اختتام"</f>
        <v>اختتام</v>
      </c>
      <c r="AF943" s="1" t="str">
        <f>""</f>
        <v/>
      </c>
      <c r="AG943" s="1" t="str">
        <f>""</f>
        <v/>
      </c>
      <c r="AH943" s="1" t="str">
        <f>""</f>
        <v/>
      </c>
      <c r="AI943" s="1" t="str">
        <f>""</f>
        <v/>
      </c>
      <c r="AJ943" s="1" t="str">
        <f>""</f>
        <v/>
      </c>
      <c r="AK943" s="1" t="str">
        <f>""</f>
        <v/>
      </c>
    </row>
    <row r="944" spans="1:37">
      <c r="A944" s="1">
        <v>288000</v>
      </c>
      <c r="B944" s="1">
        <v>961900144</v>
      </c>
      <c r="C944" s="1" t="str">
        <f>"تخليه -كرمانشاه -جاده اسلام آباد-روستاي شاهيني -شركت راكن"</f>
        <v>تخليه -كرمانشاه -جاده اسلام آباد-روستاي شاهيني -شركت راكن</v>
      </c>
      <c r="D944" s="1">
        <v>9716</v>
      </c>
      <c r="E944" s="1">
        <v>287060</v>
      </c>
      <c r="F944" s="1">
        <v>96</v>
      </c>
      <c r="G944" s="1">
        <v>940</v>
      </c>
      <c r="H944" s="1" t="str">
        <f>"96/06/25"</f>
        <v>96/06/25</v>
      </c>
      <c r="I944" s="1" t="str">
        <f>"كيلوگرم"</f>
        <v>كيلوگرم</v>
      </c>
      <c r="J944" s="1" t="str">
        <f>"0000000091"</f>
        <v>0000000091</v>
      </c>
      <c r="K944" s="1" t="str">
        <f>"قير  PG64-22"</f>
        <v>قير  PG64-22</v>
      </c>
      <c r="L944" s="1">
        <v>100</v>
      </c>
      <c r="M944" s="1" t="str">
        <f>"مخازن قير اصفهان"</f>
        <v>مخازن قير اصفهان</v>
      </c>
      <c r="N944" s="1">
        <v>9495</v>
      </c>
      <c r="O944" s="1">
        <v>50036046</v>
      </c>
      <c r="P944" s="1" t="str">
        <f>"  راه و ساختمان راكن"</f>
        <v xml:space="preserve">  راه و ساختمان راكن</v>
      </c>
      <c r="Q944" s="1">
        <v>19</v>
      </c>
      <c r="R94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44" s="1" t="str">
        <f>"قرارداد فروش"</f>
        <v>قرارداد فروش</v>
      </c>
      <c r="T944" s="1" t="str">
        <f>"ندارد"</f>
        <v>ندارد</v>
      </c>
      <c r="U944" s="1" t="str">
        <f>"سليمي پارساعارف عماد(1901096)"</f>
        <v>سليمي پارساعارف عماد(1901096)</v>
      </c>
      <c r="V944" s="1">
        <v>961900144</v>
      </c>
      <c r="W944" s="1">
        <v>961900144</v>
      </c>
      <c r="X944" s="1" t="str">
        <f>"1396512666"</f>
        <v>1396512666</v>
      </c>
      <c r="Y944" s="1" t="str">
        <f>"96/06/25"</f>
        <v>96/06/25</v>
      </c>
      <c r="Z944" s="1" t="str">
        <f>"30712/710"</f>
        <v>30712/710</v>
      </c>
      <c r="AA944" s="1" t="str">
        <f>"سازمان راهداري وحمل نقل جاده اي"</f>
        <v>سازمان راهداري وحمل نقل جاده اي</v>
      </c>
      <c r="AB944" s="1" t="str">
        <f>"96/06/22"</f>
        <v>96/06/22</v>
      </c>
      <c r="AC944" s="1" t="str">
        <f>"استان كرمانشاه"</f>
        <v>استان كرمانشاه</v>
      </c>
      <c r="AD944" s="1" t="str">
        <f>"96/06/25"</f>
        <v>96/06/25</v>
      </c>
      <c r="AE944" s="1" t="str">
        <f>"اختتام"</f>
        <v>اختتام</v>
      </c>
      <c r="AF944" s="1" t="str">
        <f>""</f>
        <v/>
      </c>
      <c r="AG944" s="1" t="str">
        <f>""</f>
        <v/>
      </c>
      <c r="AH944" s="1" t="str">
        <f>""</f>
        <v/>
      </c>
      <c r="AI944" s="1" t="str">
        <f>""</f>
        <v/>
      </c>
      <c r="AJ944" s="1" t="str">
        <f>""</f>
        <v/>
      </c>
      <c r="AK944" s="1" t="str">
        <f>""</f>
        <v/>
      </c>
    </row>
    <row r="945" spans="1:37">
      <c r="A945" s="1">
        <v>516000</v>
      </c>
      <c r="B945" s="1">
        <v>966100022</v>
      </c>
      <c r="C945" s="1" t="str">
        <f>"تخليه خراسان رضوي مشهدكيلومتر25جاده مشهدبه فريمان كارخانه آسفالت سنگ بست"</f>
        <v>تخليه خراسان رضوي مشهدكيلومتر25جاده مشهدبه فريمان كارخانه آسفالت سنگ بست</v>
      </c>
      <c r="D945" s="1">
        <v>14000</v>
      </c>
      <c r="E945" s="1">
        <v>515780</v>
      </c>
      <c r="F945" s="1">
        <v>96</v>
      </c>
      <c r="G945" s="1">
        <v>220</v>
      </c>
      <c r="H945" s="1" t="str">
        <f>"96/12/24"</f>
        <v>96/12/24</v>
      </c>
      <c r="I945" s="1" t="str">
        <f>"كيلوگرم"</f>
        <v>كيلوگرم</v>
      </c>
      <c r="J945" s="1" t="str">
        <f>"0000000091"</f>
        <v>0000000091</v>
      </c>
      <c r="K945" s="1" t="str">
        <f>"قير  PG64-22"</f>
        <v>قير  PG64-22</v>
      </c>
      <c r="L945" s="1">
        <v>100</v>
      </c>
      <c r="M945" s="1" t="str">
        <f>"مخازن قير اصفهان"</f>
        <v>مخازن قير اصفهان</v>
      </c>
      <c r="N945" s="1">
        <v>9935</v>
      </c>
      <c r="O945" s="1">
        <v>50039019</v>
      </c>
      <c r="P945" s="1" t="str">
        <f>"  عمراني قدرت ايمان کوير"</f>
        <v xml:space="preserve">  عمراني قدرت ايمان کوير</v>
      </c>
      <c r="Q945" s="1">
        <v>61</v>
      </c>
      <c r="R945" s="1" t="str">
        <f>"فروش داخلي - وزارت راه - مسكن مهر"</f>
        <v>فروش داخلي - وزارت راه - مسكن مهر</v>
      </c>
      <c r="S945" s="1" t="str">
        <f>"قرارداد فروش"</f>
        <v>قرارداد فروش</v>
      </c>
      <c r="T945" s="1" t="str">
        <f>"ندارد"</f>
        <v>ندارد</v>
      </c>
      <c r="U945" s="1" t="str">
        <f>"نظام دوست امين (1911102)"</f>
        <v>نظام دوست امين (1911102)</v>
      </c>
      <c r="V945" s="1">
        <v>966100022</v>
      </c>
      <c r="W945" s="1">
        <v>966100022</v>
      </c>
      <c r="X945" s="1" t="str">
        <f>"1396555239"</f>
        <v>1396555239</v>
      </c>
      <c r="Y945" s="1" t="str">
        <f>"96/12/24"</f>
        <v>96/12/24</v>
      </c>
      <c r="Z945" s="1" t="str">
        <f>"49698/710"</f>
        <v>49698/710</v>
      </c>
      <c r="AA945" s="1" t="str">
        <f>"مسكن مهر-وزارت راه"</f>
        <v>مسكن مهر-وزارت راه</v>
      </c>
      <c r="AB945" s="1" t="str">
        <f>"96/09/27"</f>
        <v>96/09/27</v>
      </c>
      <c r="AC945" s="1" t="str">
        <f>"خراسان رضوي"</f>
        <v>خراسان رضوي</v>
      </c>
      <c r="AD945" s="1" t="str">
        <f>"96/12/23"</f>
        <v>96/12/23</v>
      </c>
      <c r="AE945" s="1" t="str">
        <f>"اختتام"</f>
        <v>اختتام</v>
      </c>
      <c r="AF945" s="1" t="str">
        <f>""</f>
        <v/>
      </c>
      <c r="AG945" s="1" t="str">
        <f>""</f>
        <v/>
      </c>
      <c r="AH945" s="1" t="str">
        <f>""</f>
        <v/>
      </c>
      <c r="AI945" s="1" t="str">
        <f>""</f>
        <v/>
      </c>
      <c r="AJ945" s="1" t="str">
        <f>""</f>
        <v/>
      </c>
      <c r="AK945" s="1" t="str">
        <f>""</f>
        <v/>
      </c>
    </row>
    <row r="946" spans="1:37">
      <c r="A946" s="1">
        <v>420000</v>
      </c>
      <c r="B946" s="1">
        <v>961600022</v>
      </c>
      <c r="C946" s="1" t="str">
        <f>"تخليه -قزوين جاده تاكستان -همدان كيلومتريك جاده فرعي جهان آبادكارخانه آسفالت شركت نيك گسترش پايدارسازه"</f>
        <v>تخليه -قزوين جاده تاكستان -همدان كيلومتريك جاده فرعي جهان آبادكارخانه آسفالت شركت نيك گسترش پايدارسازه</v>
      </c>
      <c r="D946" s="1">
        <v>14000</v>
      </c>
      <c r="E946" s="1">
        <v>419600</v>
      </c>
      <c r="F946" s="1">
        <v>96</v>
      </c>
      <c r="G946" s="1">
        <v>400</v>
      </c>
      <c r="H946" s="1" t="str">
        <f>"96/09/08"</f>
        <v>96/09/08</v>
      </c>
      <c r="I946" s="1" t="str">
        <f>"كيلوگرم"</f>
        <v>كيلوگرم</v>
      </c>
      <c r="J946" s="1" t="str">
        <f>"0000000091"</f>
        <v>0000000091</v>
      </c>
      <c r="K946" s="1" t="str">
        <f>"قير  PG64-22"</f>
        <v>قير  PG64-22</v>
      </c>
      <c r="L946" s="1">
        <v>100</v>
      </c>
      <c r="M946" s="1" t="str">
        <f>"مخازن قير اصفهان"</f>
        <v>مخازن قير اصفهان</v>
      </c>
      <c r="N946" s="1">
        <v>10218</v>
      </c>
      <c r="O946" s="1">
        <v>50037375</v>
      </c>
      <c r="P946" s="1" t="str">
        <f>"  نيک گسترش پايدار سازه"</f>
        <v xml:space="preserve">  نيک گسترش پايدار سازه</v>
      </c>
      <c r="Q946" s="1">
        <v>16</v>
      </c>
      <c r="R946" s="1" t="str">
        <f>"فروش داخلي تهران - وزارت راه - معاونت اقتصاد"</f>
        <v>فروش داخلي تهران - وزارت راه - معاونت اقتصاد</v>
      </c>
      <c r="S946" s="1" t="str">
        <f>"قرارداد فروش"</f>
        <v>قرارداد فروش</v>
      </c>
      <c r="T946" s="1" t="str">
        <f>"ندارد"</f>
        <v>ندارد</v>
      </c>
      <c r="U946" s="1" t="str">
        <f>"هيزچي مرتضي(1841036)"</f>
        <v>هيزچي مرتضي(1841036)</v>
      </c>
      <c r="V946" s="1">
        <v>961600022</v>
      </c>
      <c r="W946" s="1">
        <v>961600022</v>
      </c>
      <c r="X946" s="1" t="str">
        <f>"1396529170"</f>
        <v>1396529170</v>
      </c>
      <c r="Y946" s="1" t="str">
        <f>"96/09/08"</f>
        <v>96/09/08</v>
      </c>
      <c r="Z946" s="1" t="str">
        <f>"41752/710"</f>
        <v>41752/710</v>
      </c>
      <c r="AA946" s="1" t="str">
        <f>"معاونت اقتصادوزارت راه وشهرسازي"</f>
        <v>معاونت اقتصادوزارت راه وشهرسازي</v>
      </c>
      <c r="AB946" s="1" t="str">
        <f>"96/08/17"</f>
        <v>96/08/17</v>
      </c>
      <c r="AC946" s="1" t="str">
        <f>"قزوين"</f>
        <v>قزوين</v>
      </c>
      <c r="AD946" s="1" t="str">
        <f>"96/09/08"</f>
        <v>96/09/08</v>
      </c>
      <c r="AE946" s="1" t="str">
        <f>"اختتام"</f>
        <v>اختتام</v>
      </c>
      <c r="AF946" s="1" t="str">
        <f>""</f>
        <v/>
      </c>
      <c r="AG946" s="1" t="str">
        <f>""</f>
        <v/>
      </c>
      <c r="AH946" s="1" t="str">
        <f>""</f>
        <v/>
      </c>
      <c r="AI946" s="1" t="str">
        <f>""</f>
        <v/>
      </c>
      <c r="AJ946" s="1" t="str">
        <f>""</f>
        <v/>
      </c>
      <c r="AK946" s="1" t="str">
        <f>""</f>
        <v/>
      </c>
    </row>
    <row r="947" spans="1:37">
      <c r="A947" s="1">
        <v>1100000</v>
      </c>
      <c r="B947" s="1">
        <v>961900140</v>
      </c>
      <c r="C947" s="1" t="str">
        <f>"تخليه - خراسان جنوبي-کارخانه بهبود صنعت"</f>
        <v>تخليه - خراسان جنوبي-کارخانه بهبود صنعت</v>
      </c>
      <c r="D947" s="1">
        <v>9363</v>
      </c>
      <c r="E947" s="1">
        <v>1098220</v>
      </c>
      <c r="F947" s="1">
        <v>96</v>
      </c>
      <c r="G947" s="1">
        <v>1780</v>
      </c>
      <c r="H947" s="1" t="str">
        <f>"96/06/21"</f>
        <v>96/06/21</v>
      </c>
      <c r="I947" s="1" t="str">
        <f>"كيلوگرم"</f>
        <v>كيلوگرم</v>
      </c>
      <c r="J947" s="1" t="str">
        <f>"0000000091"</f>
        <v>0000000091</v>
      </c>
      <c r="K947" s="1" t="str">
        <f>"قير  PG64-22"</f>
        <v>قير  PG64-22</v>
      </c>
      <c r="L947" s="1">
        <v>100</v>
      </c>
      <c r="M947" s="1" t="str">
        <f>"مخازن قير اصفهان"</f>
        <v>مخازن قير اصفهان</v>
      </c>
      <c r="N947" s="1">
        <v>10531</v>
      </c>
      <c r="O947" s="1">
        <v>50035965</v>
      </c>
      <c r="P947" s="1" t="str">
        <f>"  اساس سازه شرق بيرجند"</f>
        <v xml:space="preserve">  اساس سازه شرق بيرجند</v>
      </c>
      <c r="Q947" s="1">
        <v>19</v>
      </c>
      <c r="R94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47" s="1" t="str">
        <f>"قرارداد فروش"</f>
        <v>قرارداد فروش</v>
      </c>
      <c r="T947" s="1" t="str">
        <f>"ندارد"</f>
        <v>ندارد</v>
      </c>
      <c r="U947" s="1" t="str">
        <f>"عزيزي صفر(1006ج 89)"</f>
        <v>عزيزي صفر(1006ج 89)</v>
      </c>
      <c r="V947" s="1">
        <v>961900140</v>
      </c>
      <c r="W947" s="1">
        <v>961900140</v>
      </c>
      <c r="X947" s="1" t="str">
        <f>"1396511611"</f>
        <v>1396511611</v>
      </c>
      <c r="Y947" s="1" t="str">
        <f>"96/06/21"</f>
        <v>96/06/21</v>
      </c>
      <c r="Z947" s="1" t="str">
        <f>"29807/710"</f>
        <v>29807/710</v>
      </c>
      <c r="AA947" s="1" t="str">
        <f>"سازمان راهداري وحمل نقل جاده اي"</f>
        <v>سازمان راهداري وحمل نقل جاده اي</v>
      </c>
      <c r="AB947" s="1" t="str">
        <f>"96/06/15"</f>
        <v>96/06/15</v>
      </c>
      <c r="AC947" s="1" t="str">
        <f>"خراسان جنوبي"</f>
        <v>خراسان جنوبي</v>
      </c>
      <c r="AD947" s="1" t="str">
        <f>"96/06/21"</f>
        <v>96/06/21</v>
      </c>
      <c r="AE947" s="1" t="str">
        <f>"اختتام"</f>
        <v>اختتام</v>
      </c>
      <c r="AF947" s="1" t="str">
        <f>""</f>
        <v/>
      </c>
      <c r="AG947" s="1" t="str">
        <f>""</f>
        <v/>
      </c>
      <c r="AH947" s="1" t="str">
        <f>""</f>
        <v/>
      </c>
      <c r="AI947" s="1" t="str">
        <f>""</f>
        <v/>
      </c>
      <c r="AJ947" s="1" t="str">
        <f>""</f>
        <v/>
      </c>
      <c r="AK947" s="1" t="str">
        <f>""</f>
        <v/>
      </c>
    </row>
    <row r="948" spans="1:37">
      <c r="A948" s="1">
        <v>202000</v>
      </c>
      <c r="B948" s="1">
        <v>961700010</v>
      </c>
      <c r="C948" s="1" t="str">
        <f>"تخليه -لرستان -كيلومتر12جاده دورود-ازنا-بالاترازروستاي ترشاب"</f>
        <v>تخليه -لرستان -كيلومتر12جاده دورود-ازنا-بالاترازروستاي ترشاب</v>
      </c>
      <c r="D948" s="1">
        <v>9068</v>
      </c>
      <c r="E948" s="1">
        <v>200980</v>
      </c>
      <c r="F948" s="1">
        <v>96</v>
      </c>
      <c r="G948" s="1">
        <v>1020</v>
      </c>
      <c r="H948" s="1" t="str">
        <f>"96/01/20"</f>
        <v>96/01/20</v>
      </c>
      <c r="I948" s="1" t="str">
        <f>"كيلوگرم"</f>
        <v>كيلوگرم</v>
      </c>
      <c r="J948" s="1" t="str">
        <f>"0000000091"</f>
        <v>0000000091</v>
      </c>
      <c r="K948" s="1" t="str">
        <f>"قير  PG64-22"</f>
        <v>قير  PG64-22</v>
      </c>
      <c r="L948" s="1">
        <v>100</v>
      </c>
      <c r="M948" s="1" t="str">
        <f>"مخازن قير اصفهان"</f>
        <v>مخازن قير اصفهان</v>
      </c>
      <c r="N948" s="1">
        <v>10558</v>
      </c>
      <c r="O948" s="1">
        <v>50034447</v>
      </c>
      <c r="P948" s="1" t="str">
        <f>"  راه شكاف زاگرس"</f>
        <v xml:space="preserve">  راه شكاف زاگرس</v>
      </c>
      <c r="Q948" s="1">
        <v>17</v>
      </c>
      <c r="R948" s="1" t="str">
        <f>"فروش داخلي تهران - وزارت راه - راه روستايي - روکش"</f>
        <v>فروش داخلي تهران - وزارت راه - راه روستايي - روکش</v>
      </c>
      <c r="S948" s="1" t="str">
        <f>"قرارداد فروش"</f>
        <v>قرارداد فروش</v>
      </c>
      <c r="T948" s="1" t="str">
        <f>"ندارد"</f>
        <v>ندارد</v>
      </c>
      <c r="U948" s="1" t="str">
        <f>"رضائي كلهر حسن (1901099)"</f>
        <v>رضائي كلهر حسن (1901099)</v>
      </c>
      <c r="V948" s="1">
        <v>961700010</v>
      </c>
      <c r="W948" s="1">
        <v>961700010</v>
      </c>
      <c r="X948" s="1" t="str">
        <f>"1395471094"</f>
        <v>1395471094</v>
      </c>
      <c r="Y948" s="1" t="str">
        <f>"96/01/20"</f>
        <v>96/01/20</v>
      </c>
      <c r="Z948" s="1" t="str">
        <f>"65396/710"</f>
        <v>65396/710</v>
      </c>
      <c r="AA948" s="1" t="str">
        <f>"راه روستائي -روكش"</f>
        <v>راه روستائي -روكش</v>
      </c>
      <c r="AB948" s="1" t="str">
        <f>"95/12/21"</f>
        <v>95/12/21</v>
      </c>
      <c r="AC948" s="1" t="str">
        <f>"لرستان"</f>
        <v>لرستان</v>
      </c>
      <c r="AD948" s="1" t="str">
        <f>"95/12/28"</f>
        <v>95/12/28</v>
      </c>
      <c r="AE948" s="1" t="str">
        <f>"اختتام"</f>
        <v>اختتام</v>
      </c>
      <c r="AF948" s="1" t="str">
        <f>""</f>
        <v/>
      </c>
      <c r="AG948" s="1" t="str">
        <f>""</f>
        <v/>
      </c>
      <c r="AH948" s="1" t="str">
        <f>""</f>
        <v/>
      </c>
      <c r="AI948" s="1" t="str">
        <f>""</f>
        <v/>
      </c>
      <c r="AJ948" s="1" t="str">
        <f>""</f>
        <v/>
      </c>
      <c r="AK948" s="1" t="str">
        <f>""</f>
        <v/>
      </c>
    </row>
    <row r="949" spans="1:37">
      <c r="A949" s="1">
        <v>170000</v>
      </c>
      <c r="B949" s="1">
        <v>961900153</v>
      </c>
      <c r="C949" s="1" t="str">
        <f>"تخليه-لرستان-درود-شرکت دانه بندي سلسله"</f>
        <v>تخليه-لرستان-درود-شرکت دانه بندي سلسله</v>
      </c>
      <c r="D949" s="1">
        <v>9363</v>
      </c>
      <c r="E949" s="1">
        <v>167040</v>
      </c>
      <c r="F949" s="1">
        <v>96</v>
      </c>
      <c r="G949" s="1">
        <v>2960</v>
      </c>
      <c r="H949" s="1" t="str">
        <f>"96/07/05"</f>
        <v>96/07/05</v>
      </c>
      <c r="I949" s="1" t="str">
        <f>"كيلوگرم"</f>
        <v>كيلوگرم</v>
      </c>
      <c r="J949" s="1" t="str">
        <f>"0000000091"</f>
        <v>0000000091</v>
      </c>
      <c r="K949" s="1" t="str">
        <f>"قير  PG64-22"</f>
        <v>قير  PG64-22</v>
      </c>
      <c r="L949" s="1">
        <v>100</v>
      </c>
      <c r="M949" s="1" t="str">
        <f>"مخازن قير اصفهان"</f>
        <v>مخازن قير اصفهان</v>
      </c>
      <c r="N949" s="1">
        <v>10562</v>
      </c>
      <c r="O949" s="1">
        <v>50036356</v>
      </c>
      <c r="P949" s="1" t="str">
        <f>"  آسفالت ريزان گهرلرستان"</f>
        <v xml:space="preserve">  آسفالت ريزان گهرلرستان</v>
      </c>
      <c r="Q949" s="1">
        <v>19</v>
      </c>
      <c r="R94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49" s="1" t="str">
        <f>"قرارداد فروش"</f>
        <v>قرارداد فروش</v>
      </c>
      <c r="T949" s="1" t="str">
        <f>"ندارد"</f>
        <v>ندارد</v>
      </c>
      <c r="U949" s="1" t="str">
        <f>"ريسماني حسن(1007ج89)"</f>
        <v>ريسماني حسن(1007ج89)</v>
      </c>
      <c r="V949" s="1">
        <v>961900153</v>
      </c>
      <c r="W949" s="1">
        <v>961900153</v>
      </c>
      <c r="X949" s="1" t="str">
        <f>"1396515521"</f>
        <v>1396515521</v>
      </c>
      <c r="Y949" s="1" t="str">
        <f>"96/07/05"</f>
        <v>96/07/05</v>
      </c>
      <c r="Z949" s="1" t="str">
        <f>"31975/710"</f>
        <v>31975/710</v>
      </c>
      <c r="AA949" s="1" t="str">
        <f>"سازمان راهداري وحمل نقل جاده اي"</f>
        <v>سازمان راهداري وحمل نقل جاده اي</v>
      </c>
      <c r="AB949" s="1" t="str">
        <f>"96/06/28"</f>
        <v>96/06/28</v>
      </c>
      <c r="AC949" s="1" t="str">
        <f>"لرستان"</f>
        <v>لرستان</v>
      </c>
      <c r="AD949" s="1" t="str">
        <f>"96/07/05"</f>
        <v>96/07/05</v>
      </c>
      <c r="AE949" s="1" t="str">
        <f>"اختتام"</f>
        <v>اختتام</v>
      </c>
      <c r="AF949" s="1" t="str">
        <f>""</f>
        <v/>
      </c>
      <c r="AG949" s="1" t="str">
        <f>""</f>
        <v/>
      </c>
      <c r="AH949" s="1" t="str">
        <f>""</f>
        <v/>
      </c>
      <c r="AI949" s="1" t="str">
        <f>""</f>
        <v/>
      </c>
      <c r="AJ949" s="1" t="str">
        <f>""</f>
        <v/>
      </c>
      <c r="AK949" s="1" t="str">
        <f>""</f>
        <v/>
      </c>
    </row>
    <row r="950" spans="1:37">
      <c r="A950" s="1">
        <v>168574</v>
      </c>
      <c r="B950" s="1">
        <v>962000132</v>
      </c>
      <c r="C950" s="1" t="str">
        <f>"تخليه -خراسان جنوبي -شهرستان بشرويه کارخانه آسفالت شهرداري"</f>
        <v>تخليه -خراسان جنوبي -شهرستان بشرويه کارخانه آسفالت شهرداري</v>
      </c>
      <c r="D950" s="1">
        <v>9113</v>
      </c>
      <c r="E950" s="1">
        <v>168574</v>
      </c>
      <c r="F950" s="1">
        <v>96</v>
      </c>
      <c r="G950" s="1">
        <v>0</v>
      </c>
      <c r="H950" s="1" t="str">
        <f>"96/07/03"</f>
        <v>96/07/03</v>
      </c>
      <c r="I950" s="1" t="str">
        <f>"كيلوگرم"</f>
        <v>كيلوگرم</v>
      </c>
      <c r="J950" s="1" t="str">
        <f>"0000000076"</f>
        <v>0000000076</v>
      </c>
      <c r="K950" s="1" t="str">
        <f>"قير 60/70 - فله"</f>
        <v>قير 60/70 - فله</v>
      </c>
      <c r="L950" s="1">
        <v>100</v>
      </c>
      <c r="M950" s="1" t="str">
        <f>"مخازن قير اصفهان"</f>
        <v>مخازن قير اصفهان</v>
      </c>
      <c r="N950" s="1">
        <v>8284</v>
      </c>
      <c r="O950" s="1">
        <v>50036318</v>
      </c>
      <c r="P950" s="1" t="str">
        <f>"  شهرداري بشرويه"</f>
        <v xml:space="preserve">  شهرداري بشرويه</v>
      </c>
      <c r="Q950" s="1">
        <v>20</v>
      </c>
      <c r="R950" s="1" t="str">
        <f>"فروش داخلي - سازمان شهرداري ها و دهياري هاي كشور"</f>
        <v>فروش داخلي - سازمان شهرداري ها و دهياري هاي كشور</v>
      </c>
      <c r="S950" s="1" t="str">
        <f>"قرارداد فروش"</f>
        <v>قرارداد فروش</v>
      </c>
      <c r="T950" s="1" t="str">
        <f>"ندارد"</f>
        <v>ندارد</v>
      </c>
      <c r="U950" s="1" t="str">
        <f>"تعاوني جم گستر (1001 ج 89)"</f>
        <v>تعاوني جم گستر (1001 ج 89)</v>
      </c>
      <c r="V950" s="1">
        <v>962000132</v>
      </c>
      <c r="W950" s="1">
        <v>962000132</v>
      </c>
      <c r="X950" s="1" t="str">
        <f>"1396514467"</f>
        <v>1396514467</v>
      </c>
      <c r="Y950" s="1" t="str">
        <f>"96/07/03"</f>
        <v>96/07/03</v>
      </c>
      <c r="Z950" s="1" t="str">
        <f>"26734مرحله اول"</f>
        <v>26734مرحله اول</v>
      </c>
      <c r="AA950" s="1" t="str">
        <f>"شهرداريها"</f>
        <v>شهرداريها</v>
      </c>
      <c r="AB950" s="1" t="str">
        <f>"96/06/29"</f>
        <v>96/06/29</v>
      </c>
      <c r="AC950" s="1" t="str">
        <f>"خراسان جنوبي"</f>
        <v>خراسان جنوبي</v>
      </c>
      <c r="AD950" s="1" t="str">
        <f>"96/07/03"</f>
        <v>96/07/03</v>
      </c>
      <c r="AE950" s="1" t="str">
        <f>"اختتام"</f>
        <v>اختتام</v>
      </c>
      <c r="AF950" s="1" t="str">
        <f>""</f>
        <v/>
      </c>
      <c r="AG950" s="1" t="str">
        <f>""</f>
        <v/>
      </c>
      <c r="AH950" s="1" t="str">
        <f>""</f>
        <v/>
      </c>
      <c r="AI950" s="1" t="str">
        <f>""</f>
        <v/>
      </c>
      <c r="AJ950" s="1" t="str">
        <f>""</f>
        <v/>
      </c>
      <c r="AK950" s="1" t="str">
        <f>""</f>
        <v/>
      </c>
    </row>
    <row r="951" spans="1:37">
      <c r="A951" s="1">
        <v>1200000</v>
      </c>
      <c r="B951" s="1">
        <v>961900132</v>
      </c>
      <c r="C951" s="1" t="str">
        <f>"تخليه -كرمانشاه -اسلام آبادغرب -كيلومتر10جاده اهواز-كارگاه قاضيوند"</f>
        <v>تخليه -كرمانشاه -اسلام آبادغرب -كيلومتر10جاده اهواز-كارگاه قاضيوند</v>
      </c>
      <c r="D951" s="1">
        <v>9363</v>
      </c>
      <c r="E951" s="1">
        <v>1198040</v>
      </c>
      <c r="F951" s="1">
        <v>96</v>
      </c>
      <c r="G951" s="1">
        <v>1960</v>
      </c>
      <c r="H951" s="1" t="str">
        <f>"96/06/05"</f>
        <v>96/06/05</v>
      </c>
      <c r="I951" s="1" t="str">
        <f>"كيلوگرم"</f>
        <v>كيلوگرم</v>
      </c>
      <c r="J951" s="1" t="str">
        <f>"0000000091"</f>
        <v>0000000091</v>
      </c>
      <c r="K951" s="1" t="str">
        <f>"قير  PG64-22"</f>
        <v>قير  PG64-22</v>
      </c>
      <c r="L951" s="1">
        <v>100</v>
      </c>
      <c r="M951" s="1" t="str">
        <f>"مخازن قير اصفهان"</f>
        <v>مخازن قير اصفهان</v>
      </c>
      <c r="N951" s="1">
        <v>9143</v>
      </c>
      <c r="O951" s="1">
        <v>50035804</v>
      </c>
      <c r="P951" s="1" t="str">
        <f>"  بتن پيكر زاگرس"</f>
        <v xml:space="preserve">  بتن پيكر زاگرس</v>
      </c>
      <c r="Q951" s="1">
        <v>19</v>
      </c>
      <c r="R95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51" s="1" t="str">
        <f>"قرارداد فروش"</f>
        <v>قرارداد فروش</v>
      </c>
      <c r="T951" s="1" t="str">
        <f>"ندارد"</f>
        <v>ندارد</v>
      </c>
      <c r="U951" s="1" t="str">
        <f>"قره باغي مجيد(1871065)"</f>
        <v>قره باغي مجيد(1871065)</v>
      </c>
      <c r="V951" s="1">
        <v>961900132</v>
      </c>
      <c r="W951" s="1">
        <v>961900132</v>
      </c>
      <c r="X951" s="1" t="str">
        <f>"1396508155"</f>
        <v>1396508155</v>
      </c>
      <c r="Y951" s="1" t="str">
        <f>"96/06/05"</f>
        <v>96/06/05</v>
      </c>
      <c r="Z951" s="1" t="str">
        <f>"26451/710"</f>
        <v>26451/710</v>
      </c>
      <c r="AA951" s="1" t="str">
        <f>"سازمان راهداري وحمل نقل جاده اي"</f>
        <v>سازمان راهداري وحمل نقل جاده اي</v>
      </c>
      <c r="AB951" s="1" t="str">
        <f>"96/05/31"</f>
        <v>96/05/31</v>
      </c>
      <c r="AC951" s="1" t="str">
        <f>"استان كرمانشاه"</f>
        <v>استان كرمانشاه</v>
      </c>
      <c r="AD951" s="1" t="str">
        <f>"96/06/05"</f>
        <v>96/06/05</v>
      </c>
      <c r="AE951" s="1" t="str">
        <f>"اختتام"</f>
        <v>اختتام</v>
      </c>
      <c r="AF951" s="1" t="str">
        <f>""</f>
        <v/>
      </c>
      <c r="AG951" s="1" t="str">
        <f>""</f>
        <v/>
      </c>
      <c r="AH951" s="1" t="str">
        <f>""</f>
        <v/>
      </c>
      <c r="AI951" s="1" t="str">
        <f>""</f>
        <v/>
      </c>
      <c r="AJ951" s="1" t="str">
        <f>""</f>
        <v/>
      </c>
      <c r="AK951" s="1" t="str">
        <f>""</f>
        <v/>
      </c>
    </row>
    <row r="952" spans="1:37">
      <c r="A952" s="1">
        <v>1000000</v>
      </c>
      <c r="B952" s="1">
        <v>961900171</v>
      </c>
      <c r="C952" s="1" t="str">
        <f>"تخليه -سمنان -كيلومتر55محورگرمسار-سمنان -كارگاه شركت زرين سپاهان"</f>
        <v>تخليه -سمنان -كيلومتر55محورگرمسار-سمنان -كارگاه شركت زرين سپاهان</v>
      </c>
      <c r="D952" s="1">
        <v>12970</v>
      </c>
      <c r="E952" s="1">
        <v>999220</v>
      </c>
      <c r="F952" s="1">
        <v>96</v>
      </c>
      <c r="G952" s="1">
        <v>780</v>
      </c>
      <c r="H952" s="1" t="str">
        <f>"96/07/17"</f>
        <v>96/07/17</v>
      </c>
      <c r="I952" s="1" t="str">
        <f>"كيلوگرم"</f>
        <v>كيلوگرم</v>
      </c>
      <c r="J952" s="1" t="str">
        <f>"0000000091"</f>
        <v>0000000091</v>
      </c>
      <c r="K952" s="1" t="str">
        <f>"قير  PG64-22"</f>
        <v>قير  PG64-22</v>
      </c>
      <c r="L952" s="1">
        <v>100</v>
      </c>
      <c r="M952" s="1" t="str">
        <f>"مخازن قير اصفهان"</f>
        <v>مخازن قير اصفهان</v>
      </c>
      <c r="N952" s="1">
        <v>7140</v>
      </c>
      <c r="O952" s="1">
        <v>50036605</v>
      </c>
      <c r="P952" s="1" t="str">
        <f>"  زرين سپاهان"</f>
        <v xml:space="preserve">  زرين سپاهان</v>
      </c>
      <c r="Q952" s="1">
        <v>19</v>
      </c>
      <c r="R95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52" s="1" t="str">
        <f>"قرارداد فروش"</f>
        <v>قرارداد فروش</v>
      </c>
      <c r="T952" s="1" t="str">
        <f>"ندارد"</f>
        <v>ندارد</v>
      </c>
      <c r="U952" s="1" t="str">
        <f>"دهقانيان بيژن (4954038)"</f>
        <v>دهقانيان بيژن (4954038)</v>
      </c>
      <c r="V952" s="1">
        <v>961900171</v>
      </c>
      <c r="W952" s="1">
        <v>961900171</v>
      </c>
      <c r="X952" s="1" t="str">
        <f>"1396517389"</f>
        <v>1396517389</v>
      </c>
      <c r="Y952" s="1" t="str">
        <f>"96/07/17"</f>
        <v>96/07/17</v>
      </c>
      <c r="Z952" s="1" t="str">
        <f>"34914/710"</f>
        <v>34914/710</v>
      </c>
      <c r="AA952" s="1" t="str">
        <f>"سازمان راهداري وحمل نقل جاده اي"</f>
        <v>سازمان راهداري وحمل نقل جاده اي</v>
      </c>
      <c r="AB952" s="1" t="str">
        <f>"96/07/16"</f>
        <v>96/07/16</v>
      </c>
      <c r="AC952" s="1" t="str">
        <f>"استان اصفهان"</f>
        <v>استان اصفهان</v>
      </c>
      <c r="AD952" s="1" t="str">
        <f>"96/07/17"</f>
        <v>96/07/17</v>
      </c>
      <c r="AE952" s="1" t="str">
        <f>"اختتام"</f>
        <v>اختتام</v>
      </c>
      <c r="AF952" s="1" t="str">
        <f>""</f>
        <v/>
      </c>
      <c r="AG952" s="1" t="str">
        <f>""</f>
        <v/>
      </c>
      <c r="AH952" s="1" t="str">
        <f>""</f>
        <v/>
      </c>
      <c r="AI952" s="1" t="str">
        <f>""</f>
        <v/>
      </c>
      <c r="AJ952" s="1" t="str">
        <f>""</f>
        <v/>
      </c>
      <c r="AK952" s="1" t="str">
        <f>""</f>
        <v/>
      </c>
    </row>
    <row r="953" spans="1:37">
      <c r="A953" s="1">
        <v>1500000</v>
      </c>
      <c r="B953" s="1">
        <v>961900133</v>
      </c>
      <c r="C953" s="1" t="str">
        <f>"تخليه -كرمانشاه -كيلومتر13جاده آسلام آباد-بعدازپليس راه -سمت راست تعاوني 196ايثارگران"</f>
        <v>تخليه -كرمانشاه -كيلومتر13جاده آسلام آباد-بعدازپليس راه -سمت راست تعاوني 196ايثارگران</v>
      </c>
      <c r="D953" s="1">
        <v>9204</v>
      </c>
      <c r="E953" s="1">
        <v>1500000</v>
      </c>
      <c r="F953" s="1">
        <v>96</v>
      </c>
      <c r="G953" s="1">
        <v>0</v>
      </c>
      <c r="H953" s="1" t="str">
        <f>"96/06/05"</f>
        <v>96/06/05</v>
      </c>
      <c r="I953" s="1" t="str">
        <f>"كيلوگرم"</f>
        <v>كيلوگرم</v>
      </c>
      <c r="J953" s="1" t="str">
        <f>"0000000091"</f>
        <v>0000000091</v>
      </c>
      <c r="K953" s="1" t="str">
        <f>"قير  PG64-22"</f>
        <v>قير  PG64-22</v>
      </c>
      <c r="L953" s="1">
        <v>100</v>
      </c>
      <c r="M953" s="1" t="str">
        <f>"مخازن قير اصفهان"</f>
        <v>مخازن قير اصفهان</v>
      </c>
      <c r="N953" s="1">
        <v>8072</v>
      </c>
      <c r="O953" s="1">
        <v>50035808</v>
      </c>
      <c r="P953" s="1" t="str">
        <f>"  بنادر"</f>
        <v xml:space="preserve">  بنادر</v>
      </c>
      <c r="Q953" s="1">
        <v>19</v>
      </c>
      <c r="R95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53" s="1" t="str">
        <f>"قرارداد فروش"</f>
        <v>قرارداد فروش</v>
      </c>
      <c r="T953" s="1" t="str">
        <f>"ندارد"</f>
        <v>ندارد</v>
      </c>
      <c r="U953" s="1" t="str">
        <f>"عزيزي صفر(1006ج 89)"</f>
        <v>عزيزي صفر(1006ج 89)</v>
      </c>
      <c r="V953" s="1">
        <v>961900133</v>
      </c>
      <c r="W953" s="1">
        <v>961900133</v>
      </c>
      <c r="X953" s="1" t="str">
        <f>"1396508161"</f>
        <v>1396508161</v>
      </c>
      <c r="Y953" s="1" t="str">
        <f>"96/06/05"</f>
        <v>96/06/05</v>
      </c>
      <c r="Z953" s="1" t="str">
        <f>"25861/710"</f>
        <v>25861/710</v>
      </c>
      <c r="AA953" s="1" t="str">
        <f>"سازمان راهداري وحمل نقل جاده اي"</f>
        <v>سازمان راهداري وحمل نقل جاده اي</v>
      </c>
      <c r="AB953" s="1" t="str">
        <f>"96/05/28"</f>
        <v>96/05/28</v>
      </c>
      <c r="AC953" s="1" t="str">
        <f>"استان كرمانشاه"</f>
        <v>استان كرمانشاه</v>
      </c>
      <c r="AD953" s="1" t="str">
        <f>"96/06/05"</f>
        <v>96/06/05</v>
      </c>
      <c r="AE953" s="1" t="str">
        <f>"اختتام"</f>
        <v>اختتام</v>
      </c>
      <c r="AF953" s="1" t="str">
        <f>""</f>
        <v/>
      </c>
      <c r="AG953" s="1" t="str">
        <f>""</f>
        <v/>
      </c>
      <c r="AH953" s="1" t="str">
        <f>""</f>
        <v/>
      </c>
      <c r="AI953" s="1" t="str">
        <f>""</f>
        <v/>
      </c>
      <c r="AJ953" s="1" t="str">
        <f>""</f>
        <v/>
      </c>
      <c r="AK953" s="1" t="str">
        <f>""</f>
        <v/>
      </c>
    </row>
    <row r="954" spans="1:37">
      <c r="A954" s="1">
        <v>100000</v>
      </c>
      <c r="B954" s="1">
        <v>961600017</v>
      </c>
      <c r="C954" s="1" t="str">
        <f>"تخليه يزدشهرستان خاتم كارخانه آسفالت شركت عمراني بسترسازان كوير"</f>
        <v>تخليه يزدشهرستان خاتم كارخانه آسفالت شركت عمراني بسترسازان كوير</v>
      </c>
      <c r="D954" s="1">
        <v>13600</v>
      </c>
      <c r="E954" s="1">
        <v>98660</v>
      </c>
      <c r="F954" s="1">
        <v>96</v>
      </c>
      <c r="G954" s="1">
        <v>1340</v>
      </c>
      <c r="H954" s="1" t="str">
        <f>"96/08/06"</f>
        <v>96/08/06</v>
      </c>
      <c r="I954" s="1" t="str">
        <f>"كيلوگرم"</f>
        <v>كيلوگرم</v>
      </c>
      <c r="J954" s="1" t="str">
        <f>"0000000091"</f>
        <v>0000000091</v>
      </c>
      <c r="K954" s="1" t="str">
        <f>"قير  PG64-22"</f>
        <v>قير  PG64-22</v>
      </c>
      <c r="L954" s="1">
        <v>100</v>
      </c>
      <c r="M954" s="1" t="str">
        <f>"مخازن قير اصفهان"</f>
        <v>مخازن قير اصفهان</v>
      </c>
      <c r="N954" s="1">
        <v>9304</v>
      </c>
      <c r="O954" s="1">
        <v>50036914</v>
      </c>
      <c r="P954" s="1" t="str">
        <f>"  يزدراهداران"</f>
        <v xml:space="preserve">  يزدراهداران</v>
      </c>
      <c r="Q954" s="1">
        <v>16</v>
      </c>
      <c r="R954" s="1" t="str">
        <f>"فروش داخلي تهران - وزارت راه - معاونت اقتصاد"</f>
        <v>فروش داخلي تهران - وزارت راه - معاونت اقتصاد</v>
      </c>
      <c r="S954" s="1" t="str">
        <f>"قرارداد فروش"</f>
        <v>قرارداد فروش</v>
      </c>
      <c r="T954" s="1" t="str">
        <f>"ندارد"</f>
        <v>ندارد</v>
      </c>
      <c r="U954" s="1" t="str">
        <f>"قانعي محمدرضا(1011ج89)"</f>
        <v>قانعي محمدرضا(1011ج89)</v>
      </c>
      <c r="V954" s="1">
        <v>961600017</v>
      </c>
      <c r="W954" s="1">
        <v>961600017</v>
      </c>
      <c r="X954" s="1" t="str">
        <f>"1396521775"</f>
        <v>1396521775</v>
      </c>
      <c r="Y954" s="1" t="str">
        <f>"96/08/06"</f>
        <v>96/08/06</v>
      </c>
      <c r="Z954" s="1" t="str">
        <f>"36808/710"</f>
        <v>36808/710</v>
      </c>
      <c r="AA954" s="1" t="str">
        <f>"معاونت اقتصادوزارت راه وشهرسازي"</f>
        <v>معاونت اقتصادوزارت راه وشهرسازي</v>
      </c>
      <c r="AB954" s="1" t="str">
        <f>"96/07/25"</f>
        <v>96/07/25</v>
      </c>
      <c r="AC954" s="1" t="str">
        <f>"استان يزد"</f>
        <v>استان يزد</v>
      </c>
      <c r="AD954" s="1" t="str">
        <f>"96/08/06"</f>
        <v>96/08/06</v>
      </c>
      <c r="AE954" s="1" t="str">
        <f>"اختتام"</f>
        <v>اختتام</v>
      </c>
      <c r="AF954" s="1" t="str">
        <f>""</f>
        <v/>
      </c>
      <c r="AG954" s="1" t="str">
        <f>""</f>
        <v/>
      </c>
      <c r="AH954" s="1" t="str">
        <f>""</f>
        <v/>
      </c>
      <c r="AI954" s="1" t="str">
        <f>""</f>
        <v/>
      </c>
      <c r="AJ954" s="1" t="str">
        <f>""</f>
        <v/>
      </c>
      <c r="AK954" s="1" t="str">
        <f>""</f>
        <v/>
      </c>
    </row>
    <row r="955" spans="1:37">
      <c r="A955" s="1">
        <v>105000</v>
      </c>
      <c r="B955" s="1">
        <v>966200032</v>
      </c>
      <c r="C955" s="1" t="str">
        <f>"تخليه - سيستان و بلوچستان-فنوج-کارخانه آسفالت شرکت مثلث راه آب"</f>
        <v>تخليه - سيستان و بلوچستان-فنوج-کارخانه آسفالت شرکت مثلث راه آب</v>
      </c>
      <c r="D955" s="1">
        <v>8918</v>
      </c>
      <c r="E955" s="1">
        <v>105000</v>
      </c>
      <c r="F955" s="1">
        <v>96</v>
      </c>
      <c r="G955" s="1">
        <v>0</v>
      </c>
      <c r="H955" s="1" t="str">
        <f>"96/02/04"</f>
        <v>96/02/04</v>
      </c>
      <c r="I955" s="1" t="str">
        <f>"كيلوگرم"</f>
        <v>كيلوگرم</v>
      </c>
      <c r="J955" s="1" t="str">
        <f>"0000000076"</f>
        <v>0000000076</v>
      </c>
      <c r="K955" s="1" t="str">
        <f>"قير 60/70 - فله"</f>
        <v>قير 60/70 - فله</v>
      </c>
      <c r="L955" s="1">
        <v>100</v>
      </c>
      <c r="M955" s="1" t="str">
        <f>"مخازن قير اصفهان"</f>
        <v>مخازن قير اصفهان</v>
      </c>
      <c r="N955" s="1">
        <v>10484</v>
      </c>
      <c r="O955" s="1">
        <v>50034671</v>
      </c>
      <c r="P955" s="1" t="str">
        <f>"  مهندسي مثلث راه آب"</f>
        <v xml:space="preserve">  مهندسي مثلث راه آب</v>
      </c>
      <c r="Q955" s="1">
        <v>62</v>
      </c>
      <c r="R955" s="1" t="str">
        <f>"فروش داخلي - سازمان بنيادمسكن انقلاب اسلامي"</f>
        <v>فروش داخلي - سازمان بنيادمسكن انقلاب اسلامي</v>
      </c>
      <c r="S955" s="1" t="str">
        <f>"قرارداد فروش"</f>
        <v>قرارداد فروش</v>
      </c>
      <c r="T955" s="1" t="str">
        <f>"ندارد"</f>
        <v>ندارد</v>
      </c>
      <c r="U955" s="1" t="str">
        <f>"پورباقري ترابر (4914036)"</f>
        <v>پورباقري ترابر (4914036)</v>
      </c>
      <c r="V955" s="1">
        <v>966200032</v>
      </c>
      <c r="W955" s="1">
        <v>966200032</v>
      </c>
      <c r="X955" s="1" t="str">
        <f>"1396476390"</f>
        <v>1396476390</v>
      </c>
      <c r="Y955" s="1" t="str">
        <f>"96/02/04"</f>
        <v>96/02/04</v>
      </c>
      <c r="Z955" s="1" t="str">
        <f>"2759/د"</f>
        <v>2759/د</v>
      </c>
      <c r="AA955" s="1" t="str">
        <f>"بنيادمسكن انقلاب اسلامي"</f>
        <v>بنيادمسكن انقلاب اسلامي</v>
      </c>
      <c r="AB955" s="1" t="str">
        <f>"96/01/30"</f>
        <v>96/01/30</v>
      </c>
      <c r="AC955" s="1" t="str">
        <f>"استان سيستان بلوچستان"</f>
        <v>استان سيستان بلوچستان</v>
      </c>
      <c r="AD955" s="1" t="str">
        <f>"96/02/04"</f>
        <v>96/02/04</v>
      </c>
      <c r="AE955" s="1" t="str">
        <f>"اختتام"</f>
        <v>اختتام</v>
      </c>
      <c r="AF955" s="1" t="str">
        <f>""</f>
        <v/>
      </c>
      <c r="AG955" s="1" t="str">
        <f>""</f>
        <v/>
      </c>
      <c r="AH955" s="1" t="str">
        <f>""</f>
        <v/>
      </c>
      <c r="AI955" s="1" t="str">
        <f>""</f>
        <v/>
      </c>
      <c r="AJ955" s="1" t="str">
        <f>""</f>
        <v/>
      </c>
      <c r="AK955" s="1" t="str">
        <f>""</f>
        <v/>
      </c>
    </row>
    <row r="956" spans="1:37">
      <c r="A956" s="1">
        <v>80000</v>
      </c>
      <c r="B956" s="1">
        <v>966200129</v>
      </c>
      <c r="C956" s="1" t="str">
        <f>"تخليه :لرستان الشتر - شهر فيروز آباد - کارخانه شرکت زاگرس راه نصر"</f>
        <v>تخليه :لرستان الشتر - شهر فيروز آباد - کارخانه شرکت زاگرس راه نصر</v>
      </c>
      <c r="D956" s="1">
        <v>8704</v>
      </c>
      <c r="E956" s="1">
        <v>76740</v>
      </c>
      <c r="F956" s="1">
        <v>96</v>
      </c>
      <c r="G956" s="1">
        <v>3260</v>
      </c>
      <c r="H956" s="1" t="str">
        <f>"96/04/13"</f>
        <v>96/04/13</v>
      </c>
      <c r="I956" s="1" t="str">
        <f>"كيلوگرم"</f>
        <v>كيلوگرم</v>
      </c>
      <c r="J956" s="1" t="str">
        <f>"0000000076"</f>
        <v>0000000076</v>
      </c>
      <c r="K956" s="1" t="str">
        <f>"قير 60/70 - فله"</f>
        <v>قير 60/70 - فله</v>
      </c>
      <c r="L956" s="1">
        <v>100</v>
      </c>
      <c r="M956" s="1" t="str">
        <f>"مخازن قير اصفهان"</f>
        <v>مخازن قير اصفهان</v>
      </c>
      <c r="N956" s="1">
        <v>10506</v>
      </c>
      <c r="O956" s="1">
        <v>50035099</v>
      </c>
      <c r="P956" s="1" t="str">
        <f>"  يكتابتن پرشين"</f>
        <v xml:space="preserve">  يكتابتن پرشين</v>
      </c>
      <c r="Q956" s="1">
        <v>62</v>
      </c>
      <c r="R956" s="1" t="str">
        <f>"فروش داخلي - سازمان بنيادمسكن انقلاب اسلامي"</f>
        <v>فروش داخلي - سازمان بنيادمسكن انقلاب اسلامي</v>
      </c>
      <c r="S956" s="1" t="str">
        <f>"قرارداد فروش"</f>
        <v>قرارداد فروش</v>
      </c>
      <c r="T956" s="1" t="str">
        <f>"ندارد"</f>
        <v>ندارد</v>
      </c>
      <c r="U956" s="1" t="str">
        <f>"عظيمي محمد(2842015)"</f>
        <v>عظيمي محمد(2842015)</v>
      </c>
      <c r="V956" s="1">
        <v>966200129</v>
      </c>
      <c r="W956" s="1">
        <v>966200129</v>
      </c>
      <c r="X956" s="1" t="str">
        <f>"1396493156"</f>
        <v>1396493156</v>
      </c>
      <c r="Y956" s="1" t="str">
        <f>"96/04/13"</f>
        <v>96/04/13</v>
      </c>
      <c r="Z956" s="1" t="str">
        <f>"14423/د"</f>
        <v>14423/د</v>
      </c>
      <c r="AA956" s="1" t="str">
        <f>"بنيادمسكن انقلاب اسلامي"</f>
        <v>بنيادمسكن انقلاب اسلامي</v>
      </c>
      <c r="AB956" s="1" t="str">
        <f>"96/04/12"</f>
        <v>96/04/12</v>
      </c>
      <c r="AC956" s="1" t="str">
        <f>"لرستان"</f>
        <v>لرستان</v>
      </c>
      <c r="AD956" s="1" t="str">
        <f>"96/04/13"</f>
        <v>96/04/13</v>
      </c>
      <c r="AE956" s="1" t="str">
        <f>"اختتام"</f>
        <v>اختتام</v>
      </c>
      <c r="AF956" s="1" t="str">
        <f>""</f>
        <v/>
      </c>
      <c r="AG956" s="1" t="str">
        <f>""</f>
        <v/>
      </c>
      <c r="AH956" s="1" t="str">
        <f>""</f>
        <v/>
      </c>
      <c r="AI956" s="1" t="str">
        <f>""</f>
        <v/>
      </c>
      <c r="AJ956" s="1" t="str">
        <f>""</f>
        <v/>
      </c>
      <c r="AK956" s="1" t="str">
        <f>""</f>
        <v/>
      </c>
    </row>
    <row r="957" spans="1:37">
      <c r="A957" s="1">
        <v>500000</v>
      </c>
      <c r="B957" s="1">
        <v>961700207</v>
      </c>
      <c r="C957" s="1" t="str">
        <f>"تخليه سيستان وبلوچستان سراوان اسفندك راهيناك 50كيلومتربعدازسراوان كارخانه آسفالت اسفندك"</f>
        <v>تخليه سيستان وبلوچستان سراوان اسفندك راهيناك 50كيلومتربعدازسراوان كارخانه آسفالت اسفندك</v>
      </c>
      <c r="D957" s="1">
        <v>16350</v>
      </c>
      <c r="E957" s="1">
        <v>494420</v>
      </c>
      <c r="F957" s="1">
        <v>96</v>
      </c>
      <c r="G957" s="1">
        <v>5580</v>
      </c>
      <c r="H957" s="1" t="str">
        <f>"96/12/23"</f>
        <v>96/12/23</v>
      </c>
      <c r="I957" s="1" t="str">
        <f>"كيلوگرم"</f>
        <v>كيلوگرم</v>
      </c>
      <c r="J957" s="1" t="str">
        <f>"0000000091"</f>
        <v>0000000091</v>
      </c>
      <c r="K957" s="1" t="str">
        <f>"قير  PG64-22"</f>
        <v>قير  PG64-22</v>
      </c>
      <c r="L957" s="1">
        <v>100</v>
      </c>
      <c r="M957" s="1" t="str">
        <f>"مخازن قير اصفهان"</f>
        <v>مخازن قير اصفهان</v>
      </c>
      <c r="N957" s="1">
        <v>10518</v>
      </c>
      <c r="O957" s="1">
        <v>50038961</v>
      </c>
      <c r="P957" s="1" t="str">
        <f>"  دنابنيان بيرجند"</f>
        <v xml:space="preserve">  دنابنيان بيرجند</v>
      </c>
      <c r="Q957" s="1">
        <v>17</v>
      </c>
      <c r="R957" s="1" t="str">
        <f>"فروش داخلي تهران - وزارت راه - راه روستايي - روکش"</f>
        <v>فروش داخلي تهران - وزارت راه - راه روستايي - روکش</v>
      </c>
      <c r="S957" s="1" t="str">
        <f>"قرارداد فروش"</f>
        <v>قرارداد فروش</v>
      </c>
      <c r="T957" s="1" t="str">
        <f>"ندارد"</f>
        <v>ندارد</v>
      </c>
      <c r="U957" s="1" t="str">
        <f>"نظام دوست امين (1911102)"</f>
        <v>نظام دوست امين (1911102)</v>
      </c>
      <c r="V957" s="1">
        <v>961700207</v>
      </c>
      <c r="W957" s="1">
        <v>961700207</v>
      </c>
      <c r="X957" s="1" t="str">
        <f>"1396554550"</f>
        <v>1396554550</v>
      </c>
      <c r="Y957" s="1" t="str">
        <f>"96/12/23"</f>
        <v>96/12/23</v>
      </c>
      <c r="Z957" s="1" t="str">
        <f>"294342/710"</f>
        <v>294342/710</v>
      </c>
      <c r="AA957" s="1" t="str">
        <f>"راه روستائي -روكش"</f>
        <v>راه روستائي -روكش</v>
      </c>
      <c r="AB957" s="1" t="str">
        <f>"96/12/12"</f>
        <v>96/12/12</v>
      </c>
      <c r="AC957" s="1" t="str">
        <f>"استان سيستان بلوچستان"</f>
        <v>استان سيستان بلوچستان</v>
      </c>
      <c r="AD957" s="1" t="str">
        <f>"96/12/22"</f>
        <v>96/12/22</v>
      </c>
      <c r="AE957" s="1" t="str">
        <f>"اختتام"</f>
        <v>اختتام</v>
      </c>
      <c r="AF957" s="1" t="str">
        <f>""</f>
        <v/>
      </c>
      <c r="AG957" s="1" t="str">
        <f>""</f>
        <v/>
      </c>
      <c r="AH957" s="1" t="str">
        <f>""</f>
        <v/>
      </c>
      <c r="AI957" s="1" t="str">
        <f>""</f>
        <v/>
      </c>
      <c r="AJ957" s="1" t="str">
        <f>""</f>
        <v/>
      </c>
      <c r="AK957" s="1" t="str">
        <f>""</f>
        <v/>
      </c>
    </row>
    <row r="958" spans="1:37">
      <c r="A958" s="1">
        <v>1250000</v>
      </c>
      <c r="B958" s="1">
        <v>961700157</v>
      </c>
      <c r="C958" s="1" t="str">
        <f>"تخليه-کهگيلويه و بويراحمد-باشت-کارخانه رزمان"</f>
        <v>تخليه-کهگيلويه و بويراحمد-باشت-کارخانه رزمان</v>
      </c>
      <c r="D958" s="1">
        <v>12970</v>
      </c>
      <c r="E958" s="1">
        <v>352840</v>
      </c>
      <c r="F958" s="1">
        <v>96</v>
      </c>
      <c r="G958" s="1">
        <v>897160</v>
      </c>
      <c r="H958" s="1" t="str">
        <f>"96/09/08"</f>
        <v>96/09/08</v>
      </c>
      <c r="I958" s="1" t="str">
        <f>"كيلوگرم"</f>
        <v>كيلوگرم</v>
      </c>
      <c r="J958" s="1" t="str">
        <f>"0000000091"</f>
        <v>0000000091</v>
      </c>
      <c r="K958" s="1" t="str">
        <f>"قير  PG64-22"</f>
        <v>قير  PG64-22</v>
      </c>
      <c r="L958" s="1">
        <v>100</v>
      </c>
      <c r="M958" s="1" t="str">
        <f>"مخازن قير اصفهان"</f>
        <v>مخازن قير اصفهان</v>
      </c>
      <c r="N958" s="1">
        <v>10527</v>
      </c>
      <c r="O958" s="1">
        <v>50037315</v>
      </c>
      <c r="P958" s="1" t="str">
        <f>"  كوه دشت پارسيان"</f>
        <v xml:space="preserve">  كوه دشت پارسيان</v>
      </c>
      <c r="Q958" s="1">
        <v>17</v>
      </c>
      <c r="R958" s="1" t="str">
        <f>"فروش داخلي تهران - وزارت راه - راه روستايي - روکش"</f>
        <v>فروش داخلي تهران - وزارت راه - راه روستايي - روکش</v>
      </c>
      <c r="S958" s="1" t="str">
        <f>"قرارداد فروش"</f>
        <v>قرارداد فروش</v>
      </c>
      <c r="T958" s="1" t="str">
        <f>"ندارد"</f>
        <v>ندارد</v>
      </c>
      <c r="U958" s="1" t="str">
        <f>"شيخي خيراله (1841012)"</f>
        <v>شيخي خيراله (1841012)</v>
      </c>
      <c r="V958" s="1">
        <v>961700157</v>
      </c>
      <c r="W958" s="1">
        <v>961700157</v>
      </c>
      <c r="X958" s="1" t="str">
        <f>"1396529175"</f>
        <v>1396529175</v>
      </c>
      <c r="Y958" s="1" t="str">
        <f>"96/09/08"</f>
        <v>96/09/08</v>
      </c>
      <c r="Z958" s="1" t="str">
        <f>"45385/710"</f>
        <v>45385/710</v>
      </c>
      <c r="AA958" s="1" t="str">
        <f>"راه روستائي -روكش"</f>
        <v>راه روستائي -روكش</v>
      </c>
      <c r="AB958" s="1" t="str">
        <f>"96/09/05"</f>
        <v>96/09/05</v>
      </c>
      <c r="AC958" s="1" t="str">
        <f>"كهكيلويه و بوير احمد"</f>
        <v>كهكيلويه و بوير احمد</v>
      </c>
      <c r="AD958" s="1" t="str">
        <f>"96/09/08"</f>
        <v>96/09/08</v>
      </c>
      <c r="AE958" s="1" t="str">
        <f>"اختتام"</f>
        <v>اختتام</v>
      </c>
      <c r="AF958" s="1" t="str">
        <f>""</f>
        <v/>
      </c>
      <c r="AG958" s="1" t="str">
        <f>""</f>
        <v/>
      </c>
      <c r="AH958" s="1" t="str">
        <f>""</f>
        <v/>
      </c>
      <c r="AI958" s="1" t="str">
        <f>""</f>
        <v/>
      </c>
      <c r="AJ958" s="1" t="str">
        <f>""</f>
        <v/>
      </c>
      <c r="AK958" s="1" t="str">
        <f>""</f>
        <v/>
      </c>
    </row>
    <row r="959" spans="1:37">
      <c r="A959" s="1">
        <v>200000</v>
      </c>
      <c r="B959" s="1">
        <v>961100061</v>
      </c>
      <c r="C959" s="1" t="str">
        <f>"تخليه - کرمانشاه-کيلومتر5 جاده کرندغرب اسلام آباد-مقابل روستاي طلسم-بعداز آب معدني راکي کارخانه آسفالت شرکت مرزراه"</f>
        <v>تخليه - کرمانشاه-کيلومتر5 جاده کرندغرب اسلام آباد-مقابل روستاي طلسم-بعداز آب معدني راکي کارخانه آسفالت شرکت مرزراه</v>
      </c>
      <c r="D959" s="1">
        <v>9204</v>
      </c>
      <c r="E959" s="1">
        <v>200000</v>
      </c>
      <c r="F959" s="1">
        <v>96</v>
      </c>
      <c r="G959" s="1">
        <v>0</v>
      </c>
      <c r="H959" s="1" t="str">
        <f>"96/06/11"</f>
        <v>96/06/11</v>
      </c>
      <c r="I959" s="1" t="str">
        <f>"كيلوگرم"</f>
        <v>كيلوگرم</v>
      </c>
      <c r="J959" s="1" t="str">
        <f>"0000000091"</f>
        <v>0000000091</v>
      </c>
      <c r="K959" s="1" t="str">
        <f>"قير  PG64-22"</f>
        <v>قير  PG64-22</v>
      </c>
      <c r="L959" s="1">
        <v>100</v>
      </c>
      <c r="M959" s="1" t="str">
        <f>"مخازن قير اصفهان"</f>
        <v>مخازن قير اصفهان</v>
      </c>
      <c r="N959" s="1">
        <v>8120</v>
      </c>
      <c r="O959" s="1">
        <v>50035892</v>
      </c>
      <c r="P959" s="1" t="str">
        <f>"  مرزراه"</f>
        <v xml:space="preserve">  مرزراه</v>
      </c>
      <c r="Q959" s="1">
        <v>11</v>
      </c>
      <c r="R959" s="1" t="str">
        <f>"فروش داخلي تهران - بورس"</f>
        <v>فروش داخلي تهران - بورس</v>
      </c>
      <c r="S959" s="1" t="str">
        <f>"قرارداد فروش"</f>
        <v>قرارداد فروش</v>
      </c>
      <c r="T959" s="1" t="str">
        <f>"ندارد"</f>
        <v>ندارد</v>
      </c>
      <c r="U959" s="1" t="str">
        <f>"شمسيان پور حبيب اله(2842034)"</f>
        <v>شمسيان پور حبيب اله(2842034)</v>
      </c>
      <c r="V959" s="1">
        <v>961100061</v>
      </c>
      <c r="W959" s="1">
        <v>961100061</v>
      </c>
      <c r="X959" s="1" t="str">
        <f>"1396509606"</f>
        <v>1396509606</v>
      </c>
      <c r="Y959" s="1" t="str">
        <f>"96/06/11"</f>
        <v>96/06/11</v>
      </c>
      <c r="Z959" s="1" t="str">
        <f>"96-36134"</f>
        <v>96-36134</v>
      </c>
      <c r="AA959" s="1" t="str">
        <f>"راه سازي"</f>
        <v>راه سازي</v>
      </c>
      <c r="AB959" s="1" t="str">
        <f>"96/06/11"</f>
        <v>96/06/11</v>
      </c>
      <c r="AC959" s="1" t="str">
        <f>"استان كرمانشاه"</f>
        <v>استان كرمانشاه</v>
      </c>
      <c r="AD959" s="1" t="str">
        <f>"96/06/11"</f>
        <v>96/06/11</v>
      </c>
      <c r="AE959" s="1" t="str">
        <f>"اختتام"</f>
        <v>اختتام</v>
      </c>
      <c r="AF959" s="1" t="str">
        <f>""</f>
        <v/>
      </c>
      <c r="AG959" s="1" t="str">
        <f>""</f>
        <v/>
      </c>
      <c r="AH959" s="1" t="str">
        <f>""</f>
        <v/>
      </c>
      <c r="AI959" s="1" t="str">
        <f>""</f>
        <v/>
      </c>
      <c r="AJ959" s="1" t="str">
        <f>""</f>
        <v/>
      </c>
      <c r="AK959" s="1" t="str">
        <f>""</f>
        <v/>
      </c>
    </row>
    <row r="960" spans="1:37">
      <c r="A960" s="1">
        <v>200000</v>
      </c>
      <c r="B960" s="1">
        <v>961100065</v>
      </c>
      <c r="C960" s="1" t="str">
        <f>"تخليه - کرمانشاه-کيلومتر5 جاده کرندغرب اسلام آباد-مقابل روستاي طلسم-بعداز آب معدني راکي کارخانه آسفالت شرکت مرزراه"</f>
        <v>تخليه - کرمانشاه-کيلومتر5 جاده کرندغرب اسلام آباد-مقابل روستاي طلسم-بعداز آب معدني راکي کارخانه آسفالت شرکت مرزراه</v>
      </c>
      <c r="D960" s="1">
        <v>9204</v>
      </c>
      <c r="E960" s="1">
        <v>195420</v>
      </c>
      <c r="F960" s="1">
        <v>96</v>
      </c>
      <c r="G960" s="1">
        <v>4580</v>
      </c>
      <c r="H960" s="1" t="str">
        <f>"96/06/20"</f>
        <v>96/06/20</v>
      </c>
      <c r="I960" s="1" t="str">
        <f>"كيلوگرم"</f>
        <v>كيلوگرم</v>
      </c>
      <c r="J960" s="1" t="str">
        <f>"0000000091"</f>
        <v>0000000091</v>
      </c>
      <c r="K960" s="1" t="str">
        <f>"قير  PG64-22"</f>
        <v>قير  PG64-22</v>
      </c>
      <c r="L960" s="1">
        <v>100</v>
      </c>
      <c r="M960" s="1" t="str">
        <f>"مخازن قير اصفهان"</f>
        <v>مخازن قير اصفهان</v>
      </c>
      <c r="N960" s="1">
        <v>8120</v>
      </c>
      <c r="O960" s="1">
        <v>50035952</v>
      </c>
      <c r="P960" s="1" t="str">
        <f>"  مرزراه"</f>
        <v xml:space="preserve">  مرزراه</v>
      </c>
      <c r="Q960" s="1">
        <v>11</v>
      </c>
      <c r="R960" s="1" t="str">
        <f>"فروش داخلي تهران - بورس"</f>
        <v>فروش داخلي تهران - بورس</v>
      </c>
      <c r="S960" s="1" t="str">
        <f>"قرارداد فروش"</f>
        <v>قرارداد فروش</v>
      </c>
      <c r="T960" s="1" t="str">
        <f>"ندارد"</f>
        <v>ندارد</v>
      </c>
      <c r="U960" s="1" t="str">
        <f>"شمسيان پور حبيب اله(2842034)"</f>
        <v>شمسيان پور حبيب اله(2842034)</v>
      </c>
      <c r="V960" s="1">
        <v>961100065</v>
      </c>
      <c r="W960" s="1">
        <v>961100065</v>
      </c>
      <c r="X960" s="1" t="str">
        <f>"1396511136"</f>
        <v>1396511136</v>
      </c>
      <c r="Y960" s="1" t="str">
        <f>"96/06/19"</f>
        <v>96/06/19</v>
      </c>
      <c r="Z960" s="1" t="str">
        <f>"96-36167"</f>
        <v>96-36167</v>
      </c>
      <c r="AA960" s="1" t="str">
        <f>"راه سازي"</f>
        <v>راه سازي</v>
      </c>
      <c r="AB960" s="1" t="str">
        <f>"96/06/19"</f>
        <v>96/06/19</v>
      </c>
      <c r="AC960" s="1" t="str">
        <f>"استان كرمانشاه"</f>
        <v>استان كرمانشاه</v>
      </c>
      <c r="AD960" s="1" t="str">
        <f>"96/06/19"</f>
        <v>96/06/19</v>
      </c>
      <c r="AE960" s="1" t="str">
        <f>"اختتام"</f>
        <v>اختتام</v>
      </c>
      <c r="AF960" s="1" t="str">
        <f>""</f>
        <v/>
      </c>
      <c r="AG960" s="1" t="str">
        <f>""</f>
        <v/>
      </c>
      <c r="AH960" s="1" t="str">
        <f>""</f>
        <v/>
      </c>
      <c r="AI960" s="1" t="str">
        <f>""</f>
        <v/>
      </c>
      <c r="AJ960" s="1" t="str">
        <f>""</f>
        <v/>
      </c>
      <c r="AK960" s="1" t="str">
        <f>""</f>
        <v/>
      </c>
    </row>
    <row r="961" spans="1:37">
      <c r="A961" s="1">
        <v>100000</v>
      </c>
      <c r="B961" s="1">
        <v>961900200</v>
      </c>
      <c r="C961" s="1" t="str">
        <f>"تخليه -اصفهان -كيلومتر5جاده اصفهان -جرقويه -شركت ثمين راه صفاهان"</f>
        <v>تخليه -اصفهان -كيلومتر5جاده اصفهان -جرقويه -شركت ثمين راه صفاهان</v>
      </c>
      <c r="D961" s="1">
        <v>14000</v>
      </c>
      <c r="E961" s="1">
        <v>99380</v>
      </c>
      <c r="F961" s="1">
        <v>96</v>
      </c>
      <c r="G961" s="1">
        <v>620</v>
      </c>
      <c r="H961" s="1" t="str">
        <f>"96/12/21"</f>
        <v>96/12/21</v>
      </c>
      <c r="I961" s="1" t="str">
        <f>"كيلوگرم"</f>
        <v>كيلوگرم</v>
      </c>
      <c r="J961" s="1" t="str">
        <f>"0000000092"</f>
        <v>0000000092</v>
      </c>
      <c r="K961" s="1" t="str">
        <f>"قير  PG64-16"</f>
        <v>قير  PG64-16</v>
      </c>
      <c r="L961" s="1">
        <v>100</v>
      </c>
      <c r="M961" s="1" t="str">
        <f>"مخازن قير اصفهان"</f>
        <v>مخازن قير اصفهان</v>
      </c>
      <c r="N961" s="1">
        <v>9345</v>
      </c>
      <c r="O961" s="1">
        <v>50038896</v>
      </c>
      <c r="P961" s="1" t="str">
        <f>"  ثمين راه صفاهان"</f>
        <v xml:space="preserve">  ثمين راه صفاهان</v>
      </c>
      <c r="Q961" s="1">
        <v>19</v>
      </c>
      <c r="R96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61" s="1" t="str">
        <f>"قرارداد فروش"</f>
        <v>قرارداد فروش</v>
      </c>
      <c r="T961" s="1" t="str">
        <f>"ندارد"</f>
        <v>ندارد</v>
      </c>
      <c r="U961" s="1" t="str">
        <f>"شهبازي محمدرضا(1029ج89)"</f>
        <v>شهبازي محمدرضا(1029ج89)</v>
      </c>
      <c r="V961" s="1">
        <v>961900200</v>
      </c>
      <c r="W961" s="1">
        <v>961900200</v>
      </c>
      <c r="X961" s="1" t="str">
        <f>"1396553919"</f>
        <v>1396553919</v>
      </c>
      <c r="Y961" s="1" t="str">
        <f>"96/12/21"</f>
        <v>96/12/21</v>
      </c>
      <c r="Z961" s="1" t="str">
        <f>"50475/710"</f>
        <v>50475/710</v>
      </c>
      <c r="AA961" s="1" t="str">
        <f>"سازمان راهداري وحمل نقل جاده اي"</f>
        <v>سازمان راهداري وحمل نقل جاده اي</v>
      </c>
      <c r="AB961" s="1" t="str">
        <f>"96/10/02"</f>
        <v>96/10/02</v>
      </c>
      <c r="AC961" s="1" t="str">
        <f>"استان اصفهان"</f>
        <v>استان اصفهان</v>
      </c>
      <c r="AD961" s="1" t="str">
        <f>"96/12/20"</f>
        <v>96/12/20</v>
      </c>
      <c r="AE961" s="1" t="str">
        <f>"اختتام"</f>
        <v>اختتام</v>
      </c>
      <c r="AF961" s="1" t="str">
        <f>""</f>
        <v/>
      </c>
      <c r="AG961" s="1" t="str">
        <f>""</f>
        <v/>
      </c>
      <c r="AH961" s="1" t="str">
        <f>""</f>
        <v/>
      </c>
      <c r="AI961" s="1" t="str">
        <f>""</f>
        <v/>
      </c>
      <c r="AJ961" s="1" t="str">
        <f>""</f>
        <v/>
      </c>
      <c r="AK961" s="1" t="str">
        <f>""</f>
        <v/>
      </c>
    </row>
    <row r="962" spans="1:37">
      <c r="A962" s="1">
        <v>230000</v>
      </c>
      <c r="B962" s="1">
        <v>961700082</v>
      </c>
      <c r="C962" s="1" t="str">
        <f>"تخليه- ياسوج-کارخانه آسفالت دارشاهي"</f>
        <v>تخليه- ياسوج-کارخانه آسفالت دارشاهي</v>
      </c>
      <c r="D962" s="1">
        <v>9204</v>
      </c>
      <c r="E962" s="1">
        <v>227000</v>
      </c>
      <c r="F962" s="1">
        <v>96</v>
      </c>
      <c r="G962" s="1">
        <v>3000</v>
      </c>
      <c r="H962" s="1" t="str">
        <f>"96/06/05"</f>
        <v>96/06/05</v>
      </c>
      <c r="I962" s="1" t="str">
        <f>"كيلوگرم"</f>
        <v>كيلوگرم</v>
      </c>
      <c r="J962" s="1" t="str">
        <f>"0000000091"</f>
        <v>0000000091</v>
      </c>
      <c r="K962" s="1" t="str">
        <f>"قير  PG64-22"</f>
        <v>قير  PG64-22</v>
      </c>
      <c r="L962" s="1">
        <v>100</v>
      </c>
      <c r="M962" s="1" t="str">
        <f>"مخازن قير اصفهان"</f>
        <v>مخازن قير اصفهان</v>
      </c>
      <c r="N962" s="1">
        <v>11043</v>
      </c>
      <c r="O962" s="1">
        <v>50035819</v>
      </c>
      <c r="P962" s="1" t="str">
        <f>"  كاوه كاركوهستان"</f>
        <v xml:space="preserve">  كاوه كاركوهستان</v>
      </c>
      <c r="Q962" s="1">
        <v>17</v>
      </c>
      <c r="R962" s="1" t="str">
        <f>"فروش داخلي تهران - وزارت راه - راه روستايي - روکش"</f>
        <v>فروش داخلي تهران - وزارت راه - راه روستايي - روکش</v>
      </c>
      <c r="S962" s="1" t="str">
        <f>"قرارداد فروش"</f>
        <v>قرارداد فروش</v>
      </c>
      <c r="T962" s="1" t="str">
        <f>"ندارد"</f>
        <v>ندارد</v>
      </c>
      <c r="U962" s="1" t="str">
        <f>"شيخي خيراله (1841012)"</f>
        <v>شيخي خيراله (1841012)</v>
      </c>
      <c r="V962" s="1">
        <v>961700082</v>
      </c>
      <c r="W962" s="1">
        <v>961700082</v>
      </c>
      <c r="X962" s="1" t="str">
        <f>"1396508156"</f>
        <v>1396508156</v>
      </c>
      <c r="Y962" s="1" t="str">
        <f>"96/06/05"</f>
        <v>96/06/05</v>
      </c>
      <c r="Z962" s="1" t="str">
        <f>"26386/710"</f>
        <v>26386/710</v>
      </c>
      <c r="AA962" s="1" t="str">
        <f>"راه روستائي -روكش"</f>
        <v>راه روستائي -روكش</v>
      </c>
      <c r="AB962" s="1" t="str">
        <f>"96/05/30"</f>
        <v>96/05/30</v>
      </c>
      <c r="AC962" s="1" t="str">
        <f>"كهكيلويه و بوير احمد"</f>
        <v>كهكيلويه و بوير احمد</v>
      </c>
      <c r="AD962" s="1" t="str">
        <f>"96/06/05"</f>
        <v>96/06/05</v>
      </c>
      <c r="AE962" s="1" t="str">
        <f>"اختتام"</f>
        <v>اختتام</v>
      </c>
      <c r="AF962" s="1" t="str">
        <f>""</f>
        <v/>
      </c>
      <c r="AG962" s="1" t="str">
        <f>""</f>
        <v/>
      </c>
      <c r="AH962" s="1" t="str">
        <f>""</f>
        <v/>
      </c>
      <c r="AI962" s="1" t="str">
        <f>""</f>
        <v/>
      </c>
      <c r="AJ962" s="1" t="str">
        <f>""</f>
        <v/>
      </c>
      <c r="AK962" s="1" t="str">
        <f>""</f>
        <v/>
      </c>
    </row>
    <row r="963" spans="1:37">
      <c r="A963" s="1">
        <v>250000</v>
      </c>
      <c r="B963" s="1">
        <v>961900179</v>
      </c>
      <c r="C963" s="1" t="str">
        <f>"تخليه - کهگيلويه و بويراحمد-باشت -کارخانه آسغالت رزمان"</f>
        <v>تخليه - کهگيلويه و بويراحمد-باشت -کارخانه آسغالت رزمان</v>
      </c>
      <c r="D963" s="1">
        <v>9716</v>
      </c>
      <c r="E963" s="1">
        <v>241360</v>
      </c>
      <c r="F963" s="1">
        <v>96</v>
      </c>
      <c r="G963" s="1">
        <v>8640</v>
      </c>
      <c r="H963" s="1" t="str">
        <f>"96/07/29"</f>
        <v>96/07/29</v>
      </c>
      <c r="I963" s="1" t="str">
        <f>"كيلوگرم"</f>
        <v>كيلوگرم</v>
      </c>
      <c r="J963" s="1" t="str">
        <f>"0000000091"</f>
        <v>0000000091</v>
      </c>
      <c r="K963" s="1" t="str">
        <f>"قير  PG64-22"</f>
        <v>قير  PG64-22</v>
      </c>
      <c r="L963" s="1">
        <v>100</v>
      </c>
      <c r="M963" s="1" t="str">
        <f>"مخازن قير اصفهان"</f>
        <v>مخازن قير اصفهان</v>
      </c>
      <c r="N963" s="1">
        <v>11046</v>
      </c>
      <c r="O963" s="1">
        <v>50036858</v>
      </c>
      <c r="P963" s="1" t="str">
        <f>"  آذين بام مشايخ"</f>
        <v xml:space="preserve">  آذين بام مشايخ</v>
      </c>
      <c r="Q963" s="1">
        <v>19</v>
      </c>
      <c r="R96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63" s="1" t="str">
        <f>"قرارداد فروش"</f>
        <v>قرارداد فروش</v>
      </c>
      <c r="T963" s="1" t="str">
        <f>"ندارد"</f>
        <v>ندارد</v>
      </c>
      <c r="U963" s="1" t="str">
        <f>"شيخي خيراله (1841012)"</f>
        <v>شيخي خيراله (1841012)</v>
      </c>
      <c r="V963" s="1">
        <v>961900179</v>
      </c>
      <c r="W963" s="1">
        <v>961900179</v>
      </c>
      <c r="X963" s="1" t="str">
        <f>"1396520119"</f>
        <v>1396520119</v>
      </c>
      <c r="Y963" s="1" t="str">
        <f>"96/07/29"</f>
        <v>96/07/29</v>
      </c>
      <c r="Z963" s="1" t="str">
        <f>"36812/710"</f>
        <v>36812/710</v>
      </c>
      <c r="AA963" s="1" t="str">
        <f>"سازمان راهداري وحمل نقل جاده اي"</f>
        <v>سازمان راهداري وحمل نقل جاده اي</v>
      </c>
      <c r="AB963" s="1" t="str">
        <f>"96/07/25"</f>
        <v>96/07/25</v>
      </c>
      <c r="AC963" s="1" t="str">
        <f>"كهكيلويه و بوير احمد"</f>
        <v>كهكيلويه و بوير احمد</v>
      </c>
      <c r="AD963" s="1" t="str">
        <f>"96/07/29"</f>
        <v>96/07/29</v>
      </c>
      <c r="AE963" s="1" t="str">
        <f>"اختتام"</f>
        <v>اختتام</v>
      </c>
      <c r="AF963" s="1" t="str">
        <f>""</f>
        <v/>
      </c>
      <c r="AG963" s="1" t="str">
        <f>""</f>
        <v/>
      </c>
      <c r="AH963" s="1" t="str">
        <f>""</f>
        <v/>
      </c>
      <c r="AI963" s="1" t="str">
        <f>""</f>
        <v/>
      </c>
      <c r="AJ963" s="1" t="str">
        <f>""</f>
        <v/>
      </c>
      <c r="AK963" s="1" t="str">
        <f>""</f>
        <v/>
      </c>
    </row>
    <row r="964" spans="1:37">
      <c r="A964" s="1">
        <v>750000</v>
      </c>
      <c r="B964" s="1">
        <v>961700026</v>
      </c>
      <c r="C964" s="1" t="str">
        <f>"تخليه - لرستان-شهرستان درود-روستاي پهلوانکل"</f>
        <v>تخليه - لرستان-شهرستان درود-روستاي پهلوانکل</v>
      </c>
      <c r="D964" s="1">
        <v>8904</v>
      </c>
      <c r="E964" s="1">
        <v>750000</v>
      </c>
      <c r="F964" s="1">
        <v>96</v>
      </c>
      <c r="G964" s="1">
        <v>0</v>
      </c>
      <c r="H964" s="1" t="str">
        <f>"96/04/19"</f>
        <v>96/04/19</v>
      </c>
      <c r="I964" s="1" t="str">
        <f>"كيلوگرم"</f>
        <v>كيلوگرم</v>
      </c>
      <c r="J964" s="1" t="str">
        <f>"0000000091"</f>
        <v>0000000091</v>
      </c>
      <c r="K964" s="1" t="str">
        <f>"قير  PG64-22"</f>
        <v>قير  PG64-22</v>
      </c>
      <c r="L964" s="1">
        <v>100</v>
      </c>
      <c r="M964" s="1" t="str">
        <f>"مخازن قير اصفهان"</f>
        <v>مخازن قير اصفهان</v>
      </c>
      <c r="N964" s="1">
        <v>10562</v>
      </c>
      <c r="O964" s="1">
        <v>50035155</v>
      </c>
      <c r="P964" s="1" t="str">
        <f>"  آسفالت ريزان گهرلرستان"</f>
        <v xml:space="preserve">  آسفالت ريزان گهرلرستان</v>
      </c>
      <c r="Q964" s="1">
        <v>17</v>
      </c>
      <c r="R964" s="1" t="str">
        <f>"فروش داخلي تهران - وزارت راه - راه روستايي - روکش"</f>
        <v>فروش داخلي تهران - وزارت راه - راه روستايي - روکش</v>
      </c>
      <c r="S964" s="1" t="str">
        <f>"قرارداد فروش"</f>
        <v>قرارداد فروش</v>
      </c>
      <c r="T964" s="1" t="str">
        <f>"ندارد"</f>
        <v>ندارد</v>
      </c>
      <c r="U964" s="1" t="str">
        <f>"ريسماني حسن(1007ج89)"</f>
        <v>ريسماني حسن(1007ج89)</v>
      </c>
      <c r="V964" s="1">
        <v>961700026</v>
      </c>
      <c r="W964" s="1">
        <v>961700026</v>
      </c>
      <c r="X964" s="1" t="str">
        <f>"1396494230"</f>
        <v>1396494230</v>
      </c>
      <c r="Y964" s="1" t="str">
        <f>"96/04/19"</f>
        <v>96/04/19</v>
      </c>
      <c r="Z964" s="1" t="str">
        <f>"16364/710"</f>
        <v>16364/710</v>
      </c>
      <c r="AA964" s="1" t="str">
        <f>"راه روستائي -روكش"</f>
        <v>راه روستائي -روكش</v>
      </c>
      <c r="AB964" s="1" t="str">
        <f>"96/04/12"</f>
        <v>96/04/12</v>
      </c>
      <c r="AC964" s="1" t="str">
        <f>"لرستان"</f>
        <v>لرستان</v>
      </c>
      <c r="AD964" s="1" t="str">
        <f>"96/04/17"</f>
        <v>96/04/17</v>
      </c>
      <c r="AE964" s="1" t="str">
        <f>"اختتام"</f>
        <v>اختتام</v>
      </c>
      <c r="AF964" s="1" t="str">
        <f>""</f>
        <v/>
      </c>
      <c r="AG964" s="1" t="str">
        <f>""</f>
        <v/>
      </c>
      <c r="AH964" s="1" t="str">
        <f>""</f>
        <v/>
      </c>
      <c r="AI964" s="1" t="str">
        <f>""</f>
        <v/>
      </c>
      <c r="AJ964" s="1" t="str">
        <f>""</f>
        <v/>
      </c>
      <c r="AK964" s="1" t="str">
        <f>""</f>
        <v/>
      </c>
    </row>
    <row r="965" spans="1:37">
      <c r="A965" s="1">
        <v>250000</v>
      </c>
      <c r="B965" s="1">
        <v>966200726</v>
      </c>
      <c r="C965" s="1" t="str">
        <f>"تخليه-کهگيلويه - دهدشت-روستاي خيراباد-کارخانه آسفالت مظفر"</f>
        <v>تخليه-کهگيلويه - دهدشت-روستاي خيراباد-کارخانه آسفالت مظفر</v>
      </c>
      <c r="D965" s="1">
        <v>13350</v>
      </c>
      <c r="E965" s="1">
        <v>250000</v>
      </c>
      <c r="F965" s="1">
        <v>96</v>
      </c>
      <c r="G965" s="1">
        <v>0</v>
      </c>
      <c r="H965" s="1" t="str">
        <f>"96/12/26"</f>
        <v>96/12/26</v>
      </c>
      <c r="I965" s="1" t="str">
        <f>"كيلوگرم"</f>
        <v>كيلوگرم</v>
      </c>
      <c r="J965" s="1" t="str">
        <f>"0000000076"</f>
        <v>0000000076</v>
      </c>
      <c r="K965" s="1" t="str">
        <f>"قير 60/70 - فله"</f>
        <v>قير 60/70 - فله</v>
      </c>
      <c r="L965" s="1">
        <v>100</v>
      </c>
      <c r="M965" s="1" t="str">
        <f>"مخازن قير اصفهان"</f>
        <v>مخازن قير اصفهان</v>
      </c>
      <c r="N965" s="1">
        <v>10523</v>
      </c>
      <c r="O965" s="1">
        <v>50039087</v>
      </c>
      <c r="P965" s="1" t="str">
        <f>"  تراوش نويدياسوج"</f>
        <v xml:space="preserve">  تراوش نويدياسوج</v>
      </c>
      <c r="Q965" s="1">
        <v>62</v>
      </c>
      <c r="R965" s="1" t="str">
        <f>"فروش داخلي - سازمان بنيادمسكن انقلاب اسلامي"</f>
        <v>فروش داخلي - سازمان بنيادمسكن انقلاب اسلامي</v>
      </c>
      <c r="S965" s="1" t="str">
        <f>"قرارداد فروش"</f>
        <v>قرارداد فروش</v>
      </c>
      <c r="T965" s="1" t="str">
        <f>"ندارد"</f>
        <v>ندارد</v>
      </c>
      <c r="U965" s="1" t="str">
        <f>"غلام نجفي سيامك‌‌‌‌‌‌(1881082)"</f>
        <v>غلام نجفي سيامك‌‌‌‌‌‌(1881082)</v>
      </c>
      <c r="V965" s="1">
        <v>966200726</v>
      </c>
      <c r="W965" s="1">
        <v>966200726</v>
      </c>
      <c r="X965" s="1" t="str">
        <f>"1396555392"</f>
        <v>1396555392</v>
      </c>
      <c r="Y965" s="1" t="str">
        <f>"96/12/26"</f>
        <v>96/12/26</v>
      </c>
      <c r="Z965" s="1" t="str">
        <f>"59383/د"</f>
        <v>59383/د</v>
      </c>
      <c r="AA965" s="1" t="str">
        <f>"بنيادمسكن انقلاب اسلامي"</f>
        <v>بنيادمسكن انقلاب اسلامي</v>
      </c>
      <c r="AB965" s="1" t="str">
        <f>"96/12/23"</f>
        <v>96/12/23</v>
      </c>
      <c r="AC965" s="1" t="str">
        <f>"كهكيلويه و بوير احمد"</f>
        <v>كهكيلويه و بوير احمد</v>
      </c>
      <c r="AD965" s="1" t="str">
        <f>"96/12/26"</f>
        <v>96/12/26</v>
      </c>
      <c r="AE965" s="1" t="str">
        <f>"اختتام"</f>
        <v>اختتام</v>
      </c>
      <c r="AF965" s="1" t="str">
        <f>""</f>
        <v/>
      </c>
      <c r="AG965" s="1" t="str">
        <f>""</f>
        <v/>
      </c>
      <c r="AH965" s="1" t="str">
        <f>""</f>
        <v/>
      </c>
      <c r="AI965" s="1" t="str">
        <f>""</f>
        <v/>
      </c>
      <c r="AJ965" s="1" t="str">
        <f>""</f>
        <v/>
      </c>
      <c r="AK965" s="1" t="str">
        <f>""</f>
        <v/>
      </c>
    </row>
    <row r="966" spans="1:37">
      <c r="A966" s="1">
        <v>242000</v>
      </c>
      <c r="B966" s="1">
        <v>966300009</v>
      </c>
      <c r="C966" s="1" t="str">
        <f>"تخليه اصفهان كاشان كارخانه آسفالت شهرداري كاشان"</f>
        <v>تخليه اصفهان كاشان كارخانه آسفالت شهرداري كاشان</v>
      </c>
      <c r="D966" s="1">
        <v>9416</v>
      </c>
      <c r="E966" s="1">
        <v>240860</v>
      </c>
      <c r="F966" s="1">
        <v>96</v>
      </c>
      <c r="G966" s="1">
        <v>1140</v>
      </c>
      <c r="H966" s="1" t="str">
        <f>"96/08/10"</f>
        <v>96/08/10</v>
      </c>
      <c r="I966" s="1" t="str">
        <f>"كيلوگرم"</f>
        <v>كيلوگرم</v>
      </c>
      <c r="J966" s="1" t="str">
        <f>"0000000076"</f>
        <v>0000000076</v>
      </c>
      <c r="K966" s="1" t="str">
        <f>"قير 60/70 - فله"</f>
        <v>قير 60/70 - فله</v>
      </c>
      <c r="L966" s="1">
        <v>100</v>
      </c>
      <c r="M966" s="1" t="str">
        <f>"مخازن قير اصفهان"</f>
        <v>مخازن قير اصفهان</v>
      </c>
      <c r="N966" s="1">
        <v>10536</v>
      </c>
      <c r="O966" s="1">
        <v>50036995</v>
      </c>
      <c r="P966" s="1" t="str">
        <f>"  آبجيل صنعت"</f>
        <v xml:space="preserve">  آبجيل صنعت</v>
      </c>
      <c r="Q966" s="1">
        <v>63</v>
      </c>
      <c r="R966" s="1" t="str">
        <f>"سازمان نوسازي،توسعه و تجهيز مدارس كشور"</f>
        <v>سازمان نوسازي،توسعه و تجهيز مدارس كشور</v>
      </c>
      <c r="S966" s="1" t="str">
        <f>"قرارداد فروش"</f>
        <v>قرارداد فروش</v>
      </c>
      <c r="T966" s="1" t="str">
        <f>"ندارد"</f>
        <v>ندارد</v>
      </c>
      <c r="U966" s="1" t="str">
        <f>"سيفي پور گودرز(1019ج89)"</f>
        <v>سيفي پور گودرز(1019ج89)</v>
      </c>
      <c r="V966" s="1">
        <v>966300009</v>
      </c>
      <c r="W966" s="1">
        <v>966300009</v>
      </c>
      <c r="X966" s="1" t="str">
        <f>"1396523296"</f>
        <v>1396523296</v>
      </c>
      <c r="Y966" s="1" t="str">
        <f>"96/08/10"</f>
        <v>96/08/10</v>
      </c>
      <c r="Z966" s="1" t="str">
        <f>"3-96/422-20942"</f>
        <v>3-96/422-20942</v>
      </c>
      <c r="AA966" s="1" t="str">
        <f>"سازمان نوسازي توسعه وتجهيزمدارس كشور"</f>
        <v>سازمان نوسازي توسعه وتجهيزمدارس كشور</v>
      </c>
      <c r="AB966" s="1" t="str">
        <f>"96/08/08"</f>
        <v>96/08/08</v>
      </c>
      <c r="AC966" s="1" t="str">
        <f>"استان اصفهان"</f>
        <v>استان اصفهان</v>
      </c>
      <c r="AD966" s="1" t="str">
        <f>"96/08/10"</f>
        <v>96/08/10</v>
      </c>
      <c r="AE966" s="1" t="str">
        <f>"اختتام"</f>
        <v>اختتام</v>
      </c>
      <c r="AF966" s="1" t="str">
        <f>""</f>
        <v/>
      </c>
      <c r="AG966" s="1" t="str">
        <f>""</f>
        <v/>
      </c>
      <c r="AH966" s="1" t="str">
        <f>""</f>
        <v/>
      </c>
      <c r="AI966" s="1" t="str">
        <f>""</f>
        <v/>
      </c>
      <c r="AJ966" s="1" t="str">
        <f>""</f>
        <v/>
      </c>
      <c r="AK966" s="1" t="str">
        <f>""</f>
        <v/>
      </c>
    </row>
    <row r="967" spans="1:37">
      <c r="A967" s="1">
        <v>37000</v>
      </c>
      <c r="B967" s="1">
        <v>966300087</v>
      </c>
      <c r="C967" s="1" t="str">
        <f>"تخليه اصفهان كاشان كارخانه آسفالت شهرداري كاشان"</f>
        <v>تخليه اصفهان كاشان كارخانه آسفالت شهرداري كاشان</v>
      </c>
      <c r="D967" s="1">
        <v>13350</v>
      </c>
      <c r="E967" s="1">
        <v>36500</v>
      </c>
      <c r="F967" s="1">
        <v>96</v>
      </c>
      <c r="G967" s="1">
        <v>500</v>
      </c>
      <c r="H967" s="1" t="str">
        <f>"96/12/26"</f>
        <v>96/12/26</v>
      </c>
      <c r="I967" s="1" t="str">
        <f>"كيلوگرم"</f>
        <v>كيلوگرم</v>
      </c>
      <c r="J967" s="1" t="str">
        <f>"0000000076"</f>
        <v>0000000076</v>
      </c>
      <c r="K967" s="1" t="str">
        <f>"قير 60/70 - فله"</f>
        <v>قير 60/70 - فله</v>
      </c>
      <c r="L967" s="1">
        <v>100</v>
      </c>
      <c r="M967" s="1" t="str">
        <f>"مخازن قير اصفهان"</f>
        <v>مخازن قير اصفهان</v>
      </c>
      <c r="N967" s="1">
        <v>10536</v>
      </c>
      <c r="O967" s="1">
        <v>50039042</v>
      </c>
      <c r="P967" s="1" t="str">
        <f>"  آبجيل صنعت"</f>
        <v xml:space="preserve">  آبجيل صنعت</v>
      </c>
      <c r="Q967" s="1">
        <v>63</v>
      </c>
      <c r="R967" s="1" t="str">
        <f>"سازمان نوسازي،توسعه و تجهيز مدارس كشور"</f>
        <v>سازمان نوسازي،توسعه و تجهيز مدارس كشور</v>
      </c>
      <c r="S967" s="1" t="str">
        <f>"قرارداد فروش"</f>
        <v>قرارداد فروش</v>
      </c>
      <c r="T967" s="1" t="str">
        <f>"ندارد"</f>
        <v>ندارد</v>
      </c>
      <c r="U967" s="1" t="str">
        <f>"سيفي پور گودرز(1019ج89)"</f>
        <v>سيفي پور گودرز(1019ج89)</v>
      </c>
      <c r="V967" s="1">
        <v>966300087</v>
      </c>
      <c r="W967" s="1">
        <v>966300087</v>
      </c>
      <c r="X967" s="1" t="str">
        <f>"1396555375"</f>
        <v>1396555375</v>
      </c>
      <c r="Y967" s="1" t="str">
        <f>"96/12/26"</f>
        <v>96/12/26</v>
      </c>
      <c r="Z967" s="1" t="str">
        <f>"3-96/422-34180"</f>
        <v>3-96/422-34180</v>
      </c>
      <c r="AA967" s="1" t="str">
        <f>"سازمان نوسازي توسعه وتجهيزمدارس كشور"</f>
        <v>سازمان نوسازي توسعه وتجهيزمدارس كشور</v>
      </c>
      <c r="AB967" s="1" t="str">
        <f>"96/12/22"</f>
        <v>96/12/22</v>
      </c>
      <c r="AC967" s="1" t="str">
        <f>"استان اصفهان"</f>
        <v>استان اصفهان</v>
      </c>
      <c r="AD967" s="1" t="str">
        <f>"96/12/26"</f>
        <v>96/12/26</v>
      </c>
      <c r="AE967" s="1" t="str">
        <f>"اختتام"</f>
        <v>اختتام</v>
      </c>
      <c r="AF967" s="1" t="str">
        <f>""</f>
        <v/>
      </c>
      <c r="AG967" s="1" t="str">
        <f>""</f>
        <v/>
      </c>
      <c r="AH967" s="1" t="str">
        <f>""</f>
        <v/>
      </c>
      <c r="AI967" s="1" t="str">
        <f>""</f>
        <v/>
      </c>
      <c r="AJ967" s="1" t="str">
        <f>""</f>
        <v/>
      </c>
      <c r="AK967" s="1" t="str">
        <f>""</f>
        <v/>
      </c>
    </row>
    <row r="968" spans="1:37">
      <c r="A968" s="1">
        <v>800000</v>
      </c>
      <c r="B968" s="1">
        <v>961800041</v>
      </c>
      <c r="C968" s="1" t="str">
        <f>"تخليه -اصفهان -شهرستان داران كارخانه آسفالت بهاران بتن فراگيران"</f>
        <v>تخليه -اصفهان -شهرستان داران كارخانه آسفالت بهاران بتن فراگيران</v>
      </c>
      <c r="D968" s="1">
        <v>9363</v>
      </c>
      <c r="E968" s="1">
        <v>798440</v>
      </c>
      <c r="F968" s="1">
        <v>96</v>
      </c>
      <c r="G968" s="1">
        <v>1560</v>
      </c>
      <c r="H968" s="1" t="str">
        <f>"96/06/25"</f>
        <v>96/06/25</v>
      </c>
      <c r="I968" s="1" t="str">
        <f>"كيلوگرم"</f>
        <v>كيلوگرم</v>
      </c>
      <c r="J968" s="1" t="str">
        <f>"0000000091"</f>
        <v>0000000091</v>
      </c>
      <c r="K968" s="1" t="str">
        <f>"قير  PG64-22"</f>
        <v>قير  PG64-22</v>
      </c>
      <c r="L968" s="1">
        <v>100</v>
      </c>
      <c r="M968" s="1" t="str">
        <f>"مخازن قير اصفهان"</f>
        <v>مخازن قير اصفهان</v>
      </c>
      <c r="N968" s="1">
        <v>9639</v>
      </c>
      <c r="O968" s="1">
        <v>50036044</v>
      </c>
      <c r="P968" s="1" t="str">
        <f>"  بهاران بتن فراگيران"</f>
        <v xml:space="preserve">  بهاران بتن فراگيران</v>
      </c>
      <c r="Q968" s="1">
        <v>18</v>
      </c>
      <c r="R968" s="1" t="str">
        <f>"فروش داخلي تهران - وزارت راه - شرکت ساخت و توسعه راهها"</f>
        <v>فروش داخلي تهران - وزارت راه - شرکت ساخت و توسعه راهها</v>
      </c>
      <c r="S968" s="1" t="str">
        <f>"قرارداد فروش"</f>
        <v>قرارداد فروش</v>
      </c>
      <c r="T968" s="1" t="str">
        <f>"ندارد"</f>
        <v>ندارد</v>
      </c>
      <c r="U968" s="1" t="str">
        <f>"مرادي نجاتعلي(1020ج89)"</f>
        <v>مرادي نجاتعلي(1020ج89)</v>
      </c>
      <c r="V968" s="1">
        <v>961800041</v>
      </c>
      <c r="W968" s="1">
        <v>961800041</v>
      </c>
      <c r="X968" s="1" t="str">
        <f>"1396512667"</f>
        <v>1396512667</v>
      </c>
      <c r="Y968" s="1" t="str">
        <f>"96/06/25"</f>
        <v>96/06/25</v>
      </c>
      <c r="Z968" s="1" t="str">
        <f>"29626/710"</f>
        <v>29626/710</v>
      </c>
      <c r="AA968" s="1" t="str">
        <f>"شركت  ساخت وتوسعه راهها"</f>
        <v>شركت  ساخت وتوسعه راهها</v>
      </c>
      <c r="AB968" s="1" t="str">
        <f>"96/06/15"</f>
        <v>96/06/15</v>
      </c>
      <c r="AC968" s="1" t="str">
        <f>"استان اصفهان"</f>
        <v>استان اصفهان</v>
      </c>
      <c r="AD968" s="1" t="str">
        <f>"96/06/25"</f>
        <v>96/06/25</v>
      </c>
      <c r="AE968" s="1" t="str">
        <f>"اختتام"</f>
        <v>اختتام</v>
      </c>
      <c r="AF968" s="1" t="str">
        <f>""</f>
        <v/>
      </c>
      <c r="AG968" s="1" t="str">
        <f>""</f>
        <v/>
      </c>
      <c r="AH968" s="1" t="str">
        <f>""</f>
        <v/>
      </c>
      <c r="AI968" s="1" t="str">
        <f>""</f>
        <v/>
      </c>
      <c r="AJ968" s="1" t="str">
        <f>""</f>
        <v/>
      </c>
      <c r="AK968" s="1" t="str">
        <f>""</f>
        <v/>
      </c>
    </row>
    <row r="969" spans="1:37">
      <c r="A969" s="1">
        <v>1000000</v>
      </c>
      <c r="B969" s="1">
        <v>961800057</v>
      </c>
      <c r="C969" s="1" t="str">
        <f>"تخليه -اصفهان -شهرستان داران كارخانه آسفالت بهاران بتن فراگيران"</f>
        <v>تخليه -اصفهان -شهرستان داران كارخانه آسفالت بهاران بتن فراگيران</v>
      </c>
      <c r="D969" s="1">
        <v>12970</v>
      </c>
      <c r="E969" s="1">
        <v>999440</v>
      </c>
      <c r="F969" s="1">
        <v>96</v>
      </c>
      <c r="G969" s="1">
        <v>560</v>
      </c>
      <c r="H969" s="1" t="str">
        <f>"96/07/06"</f>
        <v>96/07/06</v>
      </c>
      <c r="I969" s="1" t="str">
        <f>"كيلوگرم"</f>
        <v>كيلوگرم</v>
      </c>
      <c r="J969" s="1" t="str">
        <f>"0000000091"</f>
        <v>0000000091</v>
      </c>
      <c r="K969" s="1" t="str">
        <f>"قير  PG64-22"</f>
        <v>قير  PG64-22</v>
      </c>
      <c r="L969" s="1">
        <v>100</v>
      </c>
      <c r="M969" s="1" t="str">
        <f>"مخازن قير اصفهان"</f>
        <v>مخازن قير اصفهان</v>
      </c>
      <c r="N969" s="1">
        <v>9639</v>
      </c>
      <c r="O969" s="1">
        <v>50036416</v>
      </c>
      <c r="P969" s="1" t="str">
        <f>"  بهاران بتن فراگيران"</f>
        <v xml:space="preserve">  بهاران بتن فراگيران</v>
      </c>
      <c r="Q969" s="1">
        <v>18</v>
      </c>
      <c r="R969" s="1" t="str">
        <f>"فروش داخلي تهران - وزارت راه - شرکت ساخت و توسعه راهها"</f>
        <v>فروش داخلي تهران - وزارت راه - شرکت ساخت و توسعه راهها</v>
      </c>
      <c r="S969" s="1" t="str">
        <f>"قرارداد فروش"</f>
        <v>قرارداد فروش</v>
      </c>
      <c r="T969" s="1" t="str">
        <f>"ندارد"</f>
        <v>ندارد</v>
      </c>
      <c r="U969" s="1" t="str">
        <f>"مرادي نجاتعلي(1020ج89)"</f>
        <v>مرادي نجاتعلي(1020ج89)</v>
      </c>
      <c r="V969" s="1">
        <v>961800057</v>
      </c>
      <c r="W969" s="1">
        <v>961800057</v>
      </c>
      <c r="X969" s="1" t="str">
        <f>"1396514730"</f>
        <v>1396514730</v>
      </c>
      <c r="Y969" s="1" t="str">
        <f>"96/07/06"</f>
        <v>96/07/06</v>
      </c>
      <c r="Z969" s="1" t="str">
        <f>"32513/710"</f>
        <v>32513/710</v>
      </c>
      <c r="AA969" s="1" t="str">
        <f>"شركت  ساخت وتوسعه راهها"</f>
        <v>شركت  ساخت وتوسعه راهها</v>
      </c>
      <c r="AB969" s="1" t="str">
        <f>"96/07/01"</f>
        <v>96/07/01</v>
      </c>
      <c r="AC969" s="1" t="str">
        <f>"استان اصفهان"</f>
        <v>استان اصفهان</v>
      </c>
      <c r="AD969" s="1" t="str">
        <f>"96/07/04"</f>
        <v>96/07/04</v>
      </c>
      <c r="AE969" s="1" t="str">
        <f>"اختتام"</f>
        <v>اختتام</v>
      </c>
      <c r="AF969" s="1" t="str">
        <f>""</f>
        <v/>
      </c>
      <c r="AG969" s="1" t="str">
        <f>""</f>
        <v/>
      </c>
      <c r="AH969" s="1" t="str">
        <f>""</f>
        <v/>
      </c>
      <c r="AI969" s="1" t="str">
        <f>""</f>
        <v/>
      </c>
      <c r="AJ969" s="1" t="str">
        <f>""</f>
        <v/>
      </c>
      <c r="AK969" s="1" t="str">
        <f>""</f>
        <v/>
      </c>
    </row>
    <row r="970" spans="1:37">
      <c r="A970" s="1">
        <v>105000</v>
      </c>
      <c r="B970" s="1">
        <v>966200670</v>
      </c>
      <c r="C970" s="1" t="str">
        <f>"تخليه -چهارمحال وبختياري -شهرستان كيارجاده ايذه -جنب تونل ناغان -كارخانه آسفالت اتحادناغان"</f>
        <v>تخليه -چهارمحال وبختياري -شهرستان كيارجاده ايذه -جنب تونل ناغان -كارخانه آسفالت اتحادناغان</v>
      </c>
      <c r="D970" s="1">
        <v>13600</v>
      </c>
      <c r="E970" s="1">
        <v>105000</v>
      </c>
      <c r="F970" s="1">
        <v>96</v>
      </c>
      <c r="G970" s="1">
        <v>0</v>
      </c>
      <c r="H970" s="1" t="str">
        <f>"96/12/16"</f>
        <v>96/12/16</v>
      </c>
      <c r="I970" s="1" t="str">
        <f>"كيلوگرم"</f>
        <v>كيلوگرم</v>
      </c>
      <c r="J970" s="1" t="str">
        <f>"0000000091"</f>
        <v>0000000091</v>
      </c>
      <c r="K970" s="1" t="str">
        <f>"قير  PG64-22"</f>
        <v>قير  PG64-22</v>
      </c>
      <c r="L970" s="1">
        <v>100</v>
      </c>
      <c r="M970" s="1" t="str">
        <f>"مخازن قير اصفهان"</f>
        <v>مخازن قير اصفهان</v>
      </c>
      <c r="N970" s="1">
        <v>10203</v>
      </c>
      <c r="O970" s="1">
        <v>50038823</v>
      </c>
      <c r="P970" s="1" t="str">
        <f>"  پارساکوشان زاگرس"</f>
        <v xml:space="preserve">  پارساکوشان زاگرس</v>
      </c>
      <c r="Q970" s="1">
        <v>62</v>
      </c>
      <c r="R970" s="1" t="str">
        <f>"فروش داخلي - سازمان بنيادمسكن انقلاب اسلامي"</f>
        <v>فروش داخلي - سازمان بنيادمسكن انقلاب اسلامي</v>
      </c>
      <c r="S970" s="1" t="str">
        <f>"قرارداد فروش"</f>
        <v>قرارداد فروش</v>
      </c>
      <c r="T970" s="1" t="str">
        <f>"ندارد"</f>
        <v>ندارد</v>
      </c>
      <c r="U970" s="1" t="str">
        <f>"قره باغي مجيد(1871065)"</f>
        <v>قره باغي مجيد(1871065)</v>
      </c>
      <c r="V970" s="1">
        <v>966200670</v>
      </c>
      <c r="W970" s="1">
        <v>966200670</v>
      </c>
      <c r="X970" s="1" t="str">
        <f>"1396553442"</f>
        <v>1396553442</v>
      </c>
      <c r="Y970" s="1" t="str">
        <f>"96/12/16"</f>
        <v>96/12/16</v>
      </c>
      <c r="Z970" s="1" t="str">
        <f>"57263/د"</f>
        <v>57263/د</v>
      </c>
      <c r="AA970" s="1" t="str">
        <f>"بنيادمسكن انقلاب اسلامي"</f>
        <v>بنيادمسكن انقلاب اسلامي</v>
      </c>
      <c r="AB970" s="1" t="str">
        <f>"96/12/15"</f>
        <v>96/12/15</v>
      </c>
      <c r="AC970" s="1" t="str">
        <f>"استان چهارمحال بختياري"</f>
        <v>استان چهارمحال بختياري</v>
      </c>
      <c r="AD970" s="1" t="str">
        <f>"96/12/16"</f>
        <v>96/12/16</v>
      </c>
      <c r="AE970" s="1" t="str">
        <f>"اختتام"</f>
        <v>اختتام</v>
      </c>
      <c r="AF970" s="1" t="str">
        <f>""</f>
        <v/>
      </c>
      <c r="AG970" s="1" t="str">
        <f>""</f>
        <v/>
      </c>
      <c r="AH970" s="1" t="str">
        <f>""</f>
        <v/>
      </c>
      <c r="AI970" s="1" t="str">
        <f>""</f>
        <v/>
      </c>
      <c r="AJ970" s="1" t="str">
        <f>""</f>
        <v/>
      </c>
      <c r="AK970" s="1" t="str">
        <f>""</f>
        <v/>
      </c>
    </row>
    <row r="971" spans="1:37">
      <c r="A971" s="1">
        <v>19000</v>
      </c>
      <c r="B971" s="1">
        <v>966200476</v>
      </c>
      <c r="C971" s="1" t="str">
        <f>"تخليه - کهگيلويه و بوير احمد-گچساران-روستاي خيرآباد-کارخانه آسفالت محسن زارع"</f>
        <v>تخليه - کهگيلويه و بوير احمد-گچساران-روستاي خيرآباد-کارخانه آسفالت محسن زارع</v>
      </c>
      <c r="D971" s="1">
        <v>12820</v>
      </c>
      <c r="E971" s="1">
        <v>14460</v>
      </c>
      <c r="F971" s="1">
        <v>96</v>
      </c>
      <c r="G971" s="1">
        <v>4540</v>
      </c>
      <c r="H971" s="1" t="str">
        <f>"96/09/27"</f>
        <v>96/09/27</v>
      </c>
      <c r="I971" s="1" t="str">
        <f>"كيلوگرم"</f>
        <v>كيلوگرم</v>
      </c>
      <c r="J971" s="1" t="str">
        <f>"0000000076"</f>
        <v>0000000076</v>
      </c>
      <c r="K971" s="1" t="str">
        <f>"قير 60/70 - فله"</f>
        <v>قير 60/70 - فله</v>
      </c>
      <c r="L971" s="1">
        <v>100</v>
      </c>
      <c r="M971" s="1" t="str">
        <f>"مخازن قير اصفهان"</f>
        <v>مخازن قير اصفهان</v>
      </c>
      <c r="N971" s="1">
        <v>10543</v>
      </c>
      <c r="O971" s="1">
        <v>50037921</v>
      </c>
      <c r="P971" s="1" t="str">
        <f>"  پارسيان برج ايليا"</f>
        <v xml:space="preserve">  پارسيان برج ايليا</v>
      </c>
      <c r="Q971" s="1">
        <v>62</v>
      </c>
      <c r="R971" s="1" t="str">
        <f>"فروش داخلي - سازمان بنيادمسكن انقلاب اسلامي"</f>
        <v>فروش داخلي - سازمان بنيادمسكن انقلاب اسلامي</v>
      </c>
      <c r="S971" s="1" t="str">
        <f>"قرارداد فروش"</f>
        <v>قرارداد فروش</v>
      </c>
      <c r="T971" s="1" t="str">
        <f>"ندارد"</f>
        <v>ندارد</v>
      </c>
      <c r="U971" s="1" t="str">
        <f>"غلام نجفي سيامك‌‌‌‌‌‌(1881082)"</f>
        <v>غلام نجفي سيامك‌‌‌‌‌‌(1881082)</v>
      </c>
      <c r="V971" s="1">
        <v>966200476</v>
      </c>
      <c r="W971" s="1">
        <v>966200476</v>
      </c>
      <c r="X971" s="1" t="str">
        <f>"1396533043"</f>
        <v>1396533043</v>
      </c>
      <c r="Y971" s="1" t="str">
        <f>"96/09/27"</f>
        <v>96/09/27</v>
      </c>
      <c r="Z971" s="1" t="str">
        <f>"42442/د"</f>
        <v>42442/د</v>
      </c>
      <c r="AA971" s="1" t="str">
        <f>"بنيادمسكن انقلاب اسلامي"</f>
        <v>بنيادمسكن انقلاب اسلامي</v>
      </c>
      <c r="AB971" s="1" t="str">
        <f>"96/09/26"</f>
        <v>96/09/26</v>
      </c>
      <c r="AC971" s="1" t="str">
        <f>"كهكيلويه و بوير احمد"</f>
        <v>كهكيلويه و بوير احمد</v>
      </c>
      <c r="AD971" s="1" t="str">
        <f>"96/09/27"</f>
        <v>96/09/27</v>
      </c>
      <c r="AE971" s="1" t="str">
        <f>"اختتام"</f>
        <v>اختتام</v>
      </c>
      <c r="AF971" s="1" t="str">
        <f>""</f>
        <v/>
      </c>
      <c r="AG971" s="1" t="str">
        <f>""</f>
        <v/>
      </c>
      <c r="AH971" s="1" t="str">
        <f>""</f>
        <v/>
      </c>
      <c r="AI971" s="1" t="str">
        <f>""</f>
        <v/>
      </c>
      <c r="AJ971" s="1" t="str">
        <f>""</f>
        <v/>
      </c>
      <c r="AK971" s="1" t="str">
        <f>""</f>
        <v/>
      </c>
    </row>
    <row r="972" spans="1:37">
      <c r="A972" s="1">
        <v>2000000</v>
      </c>
      <c r="B972" s="1">
        <v>961100127</v>
      </c>
      <c r="C972" s="1" t="str">
        <f>"تخليه خراسان رضوي مشهدجاده كلات كيلومتر14جاده كلات كارخانه آسفالت شهيدمجيدي"</f>
        <v>تخليه خراسان رضوي مشهدجاده كلات كيلومتر14جاده كلات كارخانه آسفالت شهيدمجيدي</v>
      </c>
      <c r="D972" s="1">
        <v>13450</v>
      </c>
      <c r="E972" s="1">
        <v>1991900</v>
      </c>
      <c r="F972" s="1">
        <v>96</v>
      </c>
      <c r="G972" s="1">
        <v>8100</v>
      </c>
      <c r="H972" s="1" t="str">
        <f>"96/11/25"</f>
        <v>96/11/25</v>
      </c>
      <c r="I972" s="1" t="str">
        <f>"كيلوگرم"</f>
        <v>كيلوگرم</v>
      </c>
      <c r="J972" s="1" t="str">
        <f>"0000000091"</f>
        <v>0000000091</v>
      </c>
      <c r="K972" s="1" t="str">
        <f>"قير  PG64-22"</f>
        <v>قير  PG64-22</v>
      </c>
      <c r="L972" s="1">
        <v>100</v>
      </c>
      <c r="M972" s="1" t="str">
        <f>"مخازن قير اصفهان"</f>
        <v>مخازن قير اصفهان</v>
      </c>
      <c r="N972" s="1">
        <v>8163</v>
      </c>
      <c r="O972" s="1">
        <v>50038523</v>
      </c>
      <c r="P972" s="1" t="str">
        <f>"  سازمان عمران شهرداري مشهد"</f>
        <v xml:space="preserve">  سازمان عمران شهرداري مشهد</v>
      </c>
      <c r="Q972" s="1">
        <v>11</v>
      </c>
      <c r="R972" s="1" t="str">
        <f>"فروش داخلي تهران - بورس"</f>
        <v>فروش داخلي تهران - بورس</v>
      </c>
      <c r="S972" s="1" t="str">
        <f>"قرارداد فروش"</f>
        <v>قرارداد فروش</v>
      </c>
      <c r="T972" s="1" t="str">
        <f>"ندارد"</f>
        <v>ندارد</v>
      </c>
      <c r="U972" s="1" t="str">
        <f>"حسيني حسن(1841075)"</f>
        <v>حسيني حسن(1841075)</v>
      </c>
      <c r="V972" s="1">
        <v>961100127</v>
      </c>
      <c r="W972" s="1">
        <v>961100127</v>
      </c>
      <c r="X972" s="1" t="str">
        <f>"1396547335"</f>
        <v>1396547335</v>
      </c>
      <c r="Y972" s="1" t="str">
        <f>"96/11/24"</f>
        <v>96/11/24</v>
      </c>
      <c r="Z972" s="1" t="str">
        <f>"49/21683"</f>
        <v>49/21683</v>
      </c>
      <c r="AA972" s="1" t="str">
        <f>"بنيادمسكن انقلاب اسلامي"</f>
        <v>بنيادمسكن انقلاب اسلامي</v>
      </c>
      <c r="AB972" s="1" t="str">
        <f>"96/11/24"</f>
        <v>96/11/24</v>
      </c>
      <c r="AC972" s="1" t="str">
        <f>"خراسان رضوي"</f>
        <v>خراسان رضوي</v>
      </c>
      <c r="AD972" s="1" t="str">
        <f>"96/11/23"</f>
        <v>96/11/23</v>
      </c>
      <c r="AE972" s="1" t="str">
        <f>"اختتام"</f>
        <v>اختتام</v>
      </c>
      <c r="AF972" s="1" t="str">
        <f>""</f>
        <v/>
      </c>
      <c r="AG972" s="1" t="str">
        <f>""</f>
        <v/>
      </c>
      <c r="AH972" s="1" t="str">
        <f>""</f>
        <v/>
      </c>
      <c r="AI972" s="1" t="str">
        <f>""</f>
        <v/>
      </c>
      <c r="AJ972" s="1" t="str">
        <f>""</f>
        <v/>
      </c>
      <c r="AK972" s="1" t="str">
        <f>""</f>
        <v/>
      </c>
    </row>
    <row r="973" spans="1:37">
      <c r="A973" s="1">
        <v>2000000</v>
      </c>
      <c r="B973" s="1">
        <v>961900184</v>
      </c>
      <c r="C973" s="1" t="str">
        <f>"تخليه خراسان رضوي مشهدكيلومتر25جاده مشهدبه فريمان قبل ازروستاي سنگ بست كارخانه آسفالت سنگ بست"</f>
        <v>تخليه خراسان رضوي مشهدكيلومتر25جاده مشهدبه فريمان قبل ازروستاي سنگ بست كارخانه آسفالت سنگ بست</v>
      </c>
      <c r="D973" s="1">
        <v>16350</v>
      </c>
      <c r="E973" s="1">
        <v>1997940</v>
      </c>
      <c r="F973" s="1">
        <v>96</v>
      </c>
      <c r="G973" s="1">
        <v>2060</v>
      </c>
      <c r="H973" s="1" t="str">
        <f>"96/09/08"</f>
        <v>96/09/08</v>
      </c>
      <c r="I973" s="1" t="str">
        <f>"كيلوگرم"</f>
        <v>كيلوگرم</v>
      </c>
      <c r="J973" s="1" t="str">
        <f>"0000000091"</f>
        <v>0000000091</v>
      </c>
      <c r="K973" s="1" t="str">
        <f>"قير  PG64-22"</f>
        <v>قير  PG64-22</v>
      </c>
      <c r="L973" s="1">
        <v>100</v>
      </c>
      <c r="M973" s="1" t="str">
        <f>"مخازن قير اصفهان"</f>
        <v>مخازن قير اصفهان</v>
      </c>
      <c r="N973" s="1">
        <v>8333</v>
      </c>
      <c r="O973" s="1">
        <v>50037317</v>
      </c>
      <c r="P973" s="1" t="str">
        <f>"  گيتي گسترخاوران"</f>
        <v xml:space="preserve">  گيتي گسترخاوران</v>
      </c>
      <c r="Q973" s="1">
        <v>19</v>
      </c>
      <c r="R97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73" s="1" t="str">
        <f>"قرارداد فروش"</f>
        <v>قرارداد فروش</v>
      </c>
      <c r="T973" s="1" t="str">
        <f>"ندارد"</f>
        <v>ندارد</v>
      </c>
      <c r="U973" s="1" t="str">
        <f>"نظام دوست امين (1911102)"</f>
        <v>نظام دوست امين (1911102)</v>
      </c>
      <c r="V973" s="1">
        <v>961900184</v>
      </c>
      <c r="W973" s="1">
        <v>961900184</v>
      </c>
      <c r="X973" s="1" t="str">
        <f>"1396529168"</f>
        <v>1396529168</v>
      </c>
      <c r="Y973" s="1" t="str">
        <f>"96/09/08"</f>
        <v>96/09/08</v>
      </c>
      <c r="Z973" s="1" t="str">
        <f>"44498/710"</f>
        <v>44498/710</v>
      </c>
      <c r="AA973" s="1" t="str">
        <f>"سازمان راهداري وحمل نقل جاده اي"</f>
        <v>سازمان راهداري وحمل نقل جاده اي</v>
      </c>
      <c r="AB973" s="1" t="str">
        <f>"96/08/30"</f>
        <v>96/08/30</v>
      </c>
      <c r="AC973" s="1" t="str">
        <f>"خراسان رضوي"</f>
        <v>خراسان رضوي</v>
      </c>
      <c r="AD973" s="1" t="str">
        <f>"96/09/08"</f>
        <v>96/09/08</v>
      </c>
      <c r="AE973" s="1" t="str">
        <f>"اختتام"</f>
        <v>اختتام</v>
      </c>
      <c r="AF973" s="1" t="str">
        <f>""</f>
        <v/>
      </c>
      <c r="AG973" s="1" t="str">
        <f>""</f>
        <v/>
      </c>
      <c r="AH973" s="1" t="str">
        <f>""</f>
        <v/>
      </c>
      <c r="AI973" s="1" t="str">
        <f>""</f>
        <v/>
      </c>
      <c r="AJ973" s="1" t="str">
        <f>""</f>
        <v/>
      </c>
      <c r="AK973" s="1" t="str">
        <f>""</f>
        <v/>
      </c>
    </row>
    <row r="974" spans="1:37">
      <c r="A974" s="1">
        <v>27000</v>
      </c>
      <c r="B974" s="1">
        <v>966200083</v>
      </c>
      <c r="C974" s="1" t="str">
        <f>"تخليه - خراسان شمالي-بجنورد-کيلومتر 20 جاده بجنورد-گيفان-کاخانه آسفالت شرکت يول آوران تاتار"</f>
        <v>تخليه - خراسان شمالي-بجنورد-کيلومتر 20 جاده بجنورد-گيفان-کاخانه آسفالت شرکت يول آوران تاتار</v>
      </c>
      <c r="D974" s="1">
        <v>8918</v>
      </c>
      <c r="E974" s="1">
        <v>24080</v>
      </c>
      <c r="F974" s="1">
        <v>96</v>
      </c>
      <c r="G974" s="1">
        <v>2920</v>
      </c>
      <c r="H974" s="1" t="str">
        <f>"96/02/27"</f>
        <v>96/02/27</v>
      </c>
      <c r="I974" s="1" t="str">
        <f>"كيلوگرم"</f>
        <v>كيلوگرم</v>
      </c>
      <c r="J974" s="1" t="str">
        <f>"0000000076"</f>
        <v>0000000076</v>
      </c>
      <c r="K974" s="1" t="str">
        <f>"قير 60/70 - فله"</f>
        <v>قير 60/70 - فله</v>
      </c>
      <c r="L974" s="1">
        <v>100</v>
      </c>
      <c r="M974" s="1" t="str">
        <f>"مخازن قير اصفهان"</f>
        <v>مخازن قير اصفهان</v>
      </c>
      <c r="N974" s="1">
        <v>8413</v>
      </c>
      <c r="O974" s="1">
        <v>50034852</v>
      </c>
      <c r="P974" s="1" t="str">
        <f>"  يول آوران تاتار"</f>
        <v xml:space="preserve">  يول آوران تاتار</v>
      </c>
      <c r="Q974" s="1">
        <v>62</v>
      </c>
      <c r="R974" s="1" t="str">
        <f>"فروش داخلي - سازمان بنيادمسكن انقلاب اسلامي"</f>
        <v>فروش داخلي - سازمان بنيادمسكن انقلاب اسلامي</v>
      </c>
      <c r="S974" s="1" t="str">
        <f>"قرارداد فروش"</f>
        <v>قرارداد فروش</v>
      </c>
      <c r="T974" s="1" t="str">
        <f>"ندارد"</f>
        <v>ندارد</v>
      </c>
      <c r="U974" s="1" t="str">
        <f>"نظام دوست امين (1911102)"</f>
        <v>نظام دوست امين (1911102)</v>
      </c>
      <c r="V974" s="1">
        <v>966200083</v>
      </c>
      <c r="W974" s="1">
        <v>966200083</v>
      </c>
      <c r="X974" s="1" t="str">
        <f>"1396481180"</f>
        <v>1396481180</v>
      </c>
      <c r="Y974" s="1" t="str">
        <f>"96/02/26"</f>
        <v>96/02/26</v>
      </c>
      <c r="Z974" s="1" t="str">
        <f>"6824/د"</f>
        <v>6824/د</v>
      </c>
      <c r="AA974" s="1" t="str">
        <f>"بنيادمسكن انقلاب اسلامي"</f>
        <v>بنيادمسكن انقلاب اسلامي</v>
      </c>
      <c r="AB974" s="1" t="str">
        <f>"96/02/25"</f>
        <v>96/02/25</v>
      </c>
      <c r="AC974" s="1" t="str">
        <f>"خراسان شمالي"</f>
        <v>خراسان شمالي</v>
      </c>
      <c r="AD974" s="1" t="str">
        <f>"96/02/26"</f>
        <v>96/02/26</v>
      </c>
      <c r="AE974" s="1" t="str">
        <f>"اختتام"</f>
        <v>اختتام</v>
      </c>
      <c r="AF974" s="1" t="str">
        <f>""</f>
        <v/>
      </c>
      <c r="AG974" s="1" t="str">
        <f>""</f>
        <v/>
      </c>
      <c r="AH974" s="1" t="str">
        <f>""</f>
        <v/>
      </c>
      <c r="AI974" s="1" t="str">
        <f>""</f>
        <v/>
      </c>
      <c r="AJ974" s="1" t="str">
        <f>""</f>
        <v/>
      </c>
      <c r="AK974" s="1" t="str">
        <f>""</f>
        <v/>
      </c>
    </row>
    <row r="975" spans="1:37">
      <c r="A975" s="1">
        <v>102239</v>
      </c>
      <c r="B975" s="1">
        <v>962000047</v>
      </c>
      <c r="C975" s="1" t="str">
        <f>"تخليه اصفهان كيلومتر30اتوبان ذوب آهن كارخانه آسفالت زرين سپاهان"</f>
        <v>تخليه اصفهان كيلومتر30اتوبان ذوب آهن كارخانه آسفالت زرين سپاهان</v>
      </c>
      <c r="D975" s="1">
        <v>9113</v>
      </c>
      <c r="E975" s="1">
        <v>102239</v>
      </c>
      <c r="F975" s="1">
        <v>96</v>
      </c>
      <c r="G975" s="1">
        <v>0</v>
      </c>
      <c r="H975" s="1" t="str">
        <f>"96/07/03"</f>
        <v>96/07/03</v>
      </c>
      <c r="I975" s="1" t="str">
        <f>"كيلوگرم"</f>
        <v>كيلوگرم</v>
      </c>
      <c r="J975" s="1" t="str">
        <f>"0000000076"</f>
        <v>0000000076</v>
      </c>
      <c r="K975" s="1" t="str">
        <f>"قير 60/70 - فله"</f>
        <v>قير 60/70 - فله</v>
      </c>
      <c r="L975" s="1">
        <v>100</v>
      </c>
      <c r="M975" s="1" t="str">
        <f>"مخازن قير اصفهان"</f>
        <v>مخازن قير اصفهان</v>
      </c>
      <c r="N975" s="1">
        <v>10653</v>
      </c>
      <c r="O975" s="1">
        <v>50036194</v>
      </c>
      <c r="P975" s="1" t="str">
        <f>"  شهرداري زاينده رود"</f>
        <v xml:space="preserve">  شهرداري زاينده رود</v>
      </c>
      <c r="Q975" s="1">
        <v>20</v>
      </c>
      <c r="R975" s="1" t="str">
        <f>"فروش داخلي - سازمان شهرداري ها و دهياري هاي كشور"</f>
        <v>فروش داخلي - سازمان شهرداري ها و دهياري هاي كشور</v>
      </c>
      <c r="S975" s="1" t="str">
        <f>"قرارداد فروش"</f>
        <v>قرارداد فروش</v>
      </c>
      <c r="T975" s="1" t="str">
        <f>"ندارد"</f>
        <v>ندارد</v>
      </c>
      <c r="U975" s="1" t="str">
        <f>"تعاوني جم گستر (1001 ج 89)"</f>
        <v>تعاوني جم گستر (1001 ج 89)</v>
      </c>
      <c r="V975" s="1">
        <v>962000047</v>
      </c>
      <c r="W975" s="1">
        <v>962000047</v>
      </c>
      <c r="X975" s="1" t="str">
        <f>"1396514467"</f>
        <v>1396514467</v>
      </c>
      <c r="Y975" s="1" t="str">
        <f>"96/07/03"</f>
        <v>96/07/03</v>
      </c>
      <c r="Z975" s="1" t="str">
        <f>"26781مرحله اول"</f>
        <v>26781مرحله اول</v>
      </c>
      <c r="AA975" s="1" t="str">
        <f>"شهرداريها"</f>
        <v>شهرداريها</v>
      </c>
      <c r="AB975" s="1" t="str">
        <f>"96/06/29"</f>
        <v>96/06/29</v>
      </c>
      <c r="AC975" s="1" t="str">
        <f>"استان اصفهان"</f>
        <v>استان اصفهان</v>
      </c>
      <c r="AD975" s="1" t="str">
        <f>"96/07/03"</f>
        <v>96/07/03</v>
      </c>
      <c r="AE975" s="1" t="str">
        <f>"اختتام"</f>
        <v>اختتام</v>
      </c>
      <c r="AF975" s="1" t="str">
        <f>""</f>
        <v/>
      </c>
      <c r="AG975" s="1" t="str">
        <f>""</f>
        <v/>
      </c>
      <c r="AH975" s="1" t="str">
        <f>""</f>
        <v/>
      </c>
      <c r="AI975" s="1" t="str">
        <f>""</f>
        <v/>
      </c>
      <c r="AJ975" s="1" t="str">
        <f>""</f>
        <v/>
      </c>
      <c r="AK975" s="1" t="str">
        <f>""</f>
        <v/>
      </c>
    </row>
    <row r="976" spans="1:37">
      <c r="A976" s="1">
        <v>38158</v>
      </c>
      <c r="B976" s="1">
        <v>962000480</v>
      </c>
      <c r="C976" s="1" t="str">
        <f>"تخليه اصفهان نجف آباداتوبان شهيدكاظمي تنگ جوزدان كارخانه آسفالت بنيادمسكن انقلاب اسلامي نجف آباد"</f>
        <v>تخليه اصفهان نجف آباداتوبان شهيدكاظمي تنگ جوزدان كارخانه آسفالت بنيادمسكن انقلاب اسلامي نجف آباد</v>
      </c>
      <c r="D976" s="1">
        <v>12820</v>
      </c>
      <c r="E976" s="1">
        <v>38158</v>
      </c>
      <c r="F976" s="1">
        <v>96</v>
      </c>
      <c r="G976" s="1">
        <v>0</v>
      </c>
      <c r="H976" s="1" t="str">
        <f>"96/09/20"</f>
        <v>96/09/20</v>
      </c>
      <c r="I976" s="1" t="str">
        <f>"كيلوگرم"</f>
        <v>كيلوگرم</v>
      </c>
      <c r="J976" s="1" t="str">
        <f>"0000000076"</f>
        <v>0000000076</v>
      </c>
      <c r="K976" s="1" t="str">
        <f>"قير 60/70 - فله"</f>
        <v>قير 60/70 - فله</v>
      </c>
      <c r="L976" s="1">
        <v>100</v>
      </c>
      <c r="M976" s="1" t="str">
        <f>"مخازن قير اصفهان"</f>
        <v>مخازن قير اصفهان</v>
      </c>
      <c r="N976" s="1">
        <v>10654</v>
      </c>
      <c r="O976" s="1">
        <v>50037802</v>
      </c>
      <c r="P976" s="1" t="str">
        <f>"  شهرداري جوزدان"</f>
        <v xml:space="preserve">  شهرداري جوزدان</v>
      </c>
      <c r="Q976" s="1">
        <v>20</v>
      </c>
      <c r="R976" s="1" t="str">
        <f>"فروش داخلي - سازمان شهرداري ها و دهياري هاي كشور"</f>
        <v>فروش داخلي - سازمان شهرداري ها و دهياري هاي كشور</v>
      </c>
      <c r="S976" s="1" t="str">
        <f>"قرارداد فروش"</f>
        <v>قرارداد فروش</v>
      </c>
      <c r="T976" s="1" t="str">
        <f>"ندارد"</f>
        <v>ندارد</v>
      </c>
      <c r="U976" s="1" t="str">
        <f>"تعاوني جم گستر (1001 ج 89)"</f>
        <v>تعاوني جم گستر (1001 ج 89)</v>
      </c>
      <c r="V976" s="1">
        <v>962000480</v>
      </c>
      <c r="W976" s="1">
        <v>962000480</v>
      </c>
      <c r="X976" s="1" t="str">
        <f>"1396529711"</f>
        <v>1396529711</v>
      </c>
      <c r="Y976" s="1" t="str">
        <f>"96/09/20"</f>
        <v>96/09/20</v>
      </c>
      <c r="Z976" s="1" t="str">
        <f>"37596مرحله دوم"</f>
        <v>37596مرحله دوم</v>
      </c>
      <c r="AA976" s="1" t="str">
        <f>"شهرداريها"</f>
        <v>شهرداريها</v>
      </c>
      <c r="AB976" s="1" t="str">
        <f>"96/09/05"</f>
        <v>96/09/05</v>
      </c>
      <c r="AC976" s="1" t="str">
        <f>"استان اصفهان"</f>
        <v>استان اصفهان</v>
      </c>
      <c r="AD976" s="1" t="str">
        <f>"96/09/13"</f>
        <v>96/09/13</v>
      </c>
      <c r="AE976" s="1" t="str">
        <f>"اختتام"</f>
        <v>اختتام</v>
      </c>
      <c r="AF976" s="1" t="str">
        <f>""</f>
        <v/>
      </c>
      <c r="AG976" s="1" t="str">
        <f>""</f>
        <v/>
      </c>
      <c r="AH976" s="1" t="str">
        <f>""</f>
        <v/>
      </c>
      <c r="AI976" s="1" t="str">
        <f>""</f>
        <v/>
      </c>
      <c r="AJ976" s="1" t="str">
        <f>""</f>
        <v/>
      </c>
      <c r="AK976" s="1" t="str">
        <f>""</f>
        <v/>
      </c>
    </row>
    <row r="977" spans="1:37">
      <c r="A977" s="1">
        <v>39889</v>
      </c>
      <c r="B977" s="1">
        <v>962000470</v>
      </c>
      <c r="C977" s="1" t="str">
        <f>"تخليه اصفهان اشترجان منطقه صنعتي كارخانه ماژين سازه چكاد"</f>
        <v>تخليه اصفهان اشترجان منطقه صنعتي كارخانه ماژين سازه چكاد</v>
      </c>
      <c r="D977" s="1">
        <v>12820</v>
      </c>
      <c r="E977" s="1">
        <v>39889</v>
      </c>
      <c r="F977" s="1">
        <v>96</v>
      </c>
      <c r="G977" s="1">
        <v>0</v>
      </c>
      <c r="H977" s="1" t="str">
        <f>"96/09/20"</f>
        <v>96/09/20</v>
      </c>
      <c r="I977" s="1" t="str">
        <f>"كيلوگرم"</f>
        <v>كيلوگرم</v>
      </c>
      <c r="J977" s="1" t="str">
        <f>"0000000076"</f>
        <v>0000000076</v>
      </c>
      <c r="K977" s="1" t="str">
        <f>"قير 60/70 - فله"</f>
        <v>قير 60/70 - فله</v>
      </c>
      <c r="L977" s="1">
        <v>100</v>
      </c>
      <c r="M977" s="1" t="str">
        <f>"مخازن قير اصفهان"</f>
        <v>مخازن قير اصفهان</v>
      </c>
      <c r="N977" s="1">
        <v>10655</v>
      </c>
      <c r="O977" s="1">
        <v>50037792</v>
      </c>
      <c r="P977" s="1" t="str">
        <f>"  شهرداري سده لنجان"</f>
        <v xml:space="preserve">  شهرداري سده لنجان</v>
      </c>
      <c r="Q977" s="1">
        <v>20</v>
      </c>
      <c r="R977" s="1" t="str">
        <f>"فروش داخلي - سازمان شهرداري ها و دهياري هاي كشور"</f>
        <v>فروش داخلي - سازمان شهرداري ها و دهياري هاي كشور</v>
      </c>
      <c r="S977" s="1" t="str">
        <f>"قرارداد فروش"</f>
        <v>قرارداد فروش</v>
      </c>
      <c r="T977" s="1" t="str">
        <f>"ندارد"</f>
        <v>ندارد</v>
      </c>
      <c r="U977" s="1" t="str">
        <f>"تعاوني جم گستر (1001 ج 89)"</f>
        <v>تعاوني جم گستر (1001 ج 89)</v>
      </c>
      <c r="V977" s="1">
        <v>962000470</v>
      </c>
      <c r="W977" s="1">
        <v>962000470</v>
      </c>
      <c r="X977" s="1" t="str">
        <f>"1396529711"</f>
        <v>1396529711</v>
      </c>
      <c r="Y977" s="1" t="str">
        <f>"96/09/20"</f>
        <v>96/09/20</v>
      </c>
      <c r="Z977" s="1" t="str">
        <f>"37172مرحله دوم"</f>
        <v>37172مرحله دوم</v>
      </c>
      <c r="AA977" s="1" t="str">
        <f>"شهرداريها"</f>
        <v>شهرداريها</v>
      </c>
      <c r="AB977" s="1" t="str">
        <f>"96/09/05"</f>
        <v>96/09/05</v>
      </c>
      <c r="AC977" s="1" t="str">
        <f>"استان اصفهان"</f>
        <v>استان اصفهان</v>
      </c>
      <c r="AD977" s="1" t="str">
        <f>"96/09/13"</f>
        <v>96/09/13</v>
      </c>
      <c r="AE977" s="1" t="str">
        <f>"اختتام"</f>
        <v>اختتام</v>
      </c>
      <c r="AF977" s="1" t="str">
        <f>""</f>
        <v/>
      </c>
      <c r="AG977" s="1" t="str">
        <f>""</f>
        <v/>
      </c>
      <c r="AH977" s="1" t="str">
        <f>""</f>
        <v/>
      </c>
      <c r="AI977" s="1" t="str">
        <f>""</f>
        <v/>
      </c>
      <c r="AJ977" s="1" t="str">
        <f>""</f>
        <v/>
      </c>
      <c r="AK977" s="1" t="str">
        <f>""</f>
        <v/>
      </c>
    </row>
    <row r="978" spans="1:37">
      <c r="A978" s="1">
        <v>50616</v>
      </c>
      <c r="B978" s="1">
        <v>962000435</v>
      </c>
      <c r="C978" s="1" t="str">
        <f>"تخليه اصفهان سميرم شهرداري سميرم"</f>
        <v>تخليه اصفهان سميرم شهرداري سميرم</v>
      </c>
      <c r="D978" s="1">
        <v>12820</v>
      </c>
      <c r="E978" s="1">
        <v>50616</v>
      </c>
      <c r="F978" s="1">
        <v>96</v>
      </c>
      <c r="G978" s="1">
        <v>0</v>
      </c>
      <c r="H978" s="1" t="str">
        <f>"96/09/20"</f>
        <v>96/09/20</v>
      </c>
      <c r="I978" s="1" t="str">
        <f>"كيلوگرم"</f>
        <v>كيلوگرم</v>
      </c>
      <c r="J978" s="1" t="str">
        <f>"0000000076"</f>
        <v>0000000076</v>
      </c>
      <c r="K978" s="1" t="str">
        <f>"قير 60/70 - فله"</f>
        <v>قير 60/70 - فله</v>
      </c>
      <c r="L978" s="1">
        <v>100</v>
      </c>
      <c r="M978" s="1" t="str">
        <f>"مخازن قير اصفهان"</f>
        <v>مخازن قير اصفهان</v>
      </c>
      <c r="N978" s="1">
        <v>10659</v>
      </c>
      <c r="O978" s="1">
        <v>50037757</v>
      </c>
      <c r="P978" s="1" t="str">
        <f>"  شهرداري سميرم"</f>
        <v xml:space="preserve">  شهرداري سميرم</v>
      </c>
      <c r="Q978" s="1">
        <v>20</v>
      </c>
      <c r="R978" s="1" t="str">
        <f>"فروش داخلي - سازمان شهرداري ها و دهياري هاي كشور"</f>
        <v>فروش داخلي - سازمان شهرداري ها و دهياري هاي كشور</v>
      </c>
      <c r="S978" s="1" t="str">
        <f>"قرارداد فروش"</f>
        <v>قرارداد فروش</v>
      </c>
      <c r="T978" s="1" t="str">
        <f>"ندارد"</f>
        <v>ندارد</v>
      </c>
      <c r="U978" s="1" t="str">
        <f>"تعاوني جم گستر (1001 ج 89)"</f>
        <v>تعاوني جم گستر (1001 ج 89)</v>
      </c>
      <c r="V978" s="1">
        <v>962000435</v>
      </c>
      <c r="W978" s="1">
        <v>962000435</v>
      </c>
      <c r="X978" s="1" t="str">
        <f>"1396529711"</f>
        <v>1396529711</v>
      </c>
      <c r="Y978" s="1" t="str">
        <f>"96/09/20"</f>
        <v>96/09/20</v>
      </c>
      <c r="Z978" s="1" t="str">
        <f>"37176مرحله دوم"</f>
        <v>37176مرحله دوم</v>
      </c>
      <c r="AA978" s="1" t="str">
        <f>"شهرداريها"</f>
        <v>شهرداريها</v>
      </c>
      <c r="AB978" s="1" t="str">
        <f>"96/09/05"</f>
        <v>96/09/05</v>
      </c>
      <c r="AC978" s="1" t="str">
        <f>"استان اصفهان"</f>
        <v>استان اصفهان</v>
      </c>
      <c r="AD978" s="1" t="str">
        <f>"96/09/13"</f>
        <v>96/09/13</v>
      </c>
      <c r="AE978" s="1" t="str">
        <f>"اختتام"</f>
        <v>اختتام</v>
      </c>
      <c r="AF978" s="1" t="str">
        <f>""</f>
        <v/>
      </c>
      <c r="AG978" s="1" t="str">
        <f>""</f>
        <v/>
      </c>
      <c r="AH978" s="1" t="str">
        <f>""</f>
        <v/>
      </c>
      <c r="AI978" s="1" t="str">
        <f>""</f>
        <v/>
      </c>
      <c r="AJ978" s="1" t="str">
        <f>""</f>
        <v/>
      </c>
      <c r="AK978" s="1" t="str">
        <f>""</f>
        <v/>
      </c>
    </row>
    <row r="979" spans="1:37">
      <c r="A979" s="1">
        <v>700000</v>
      </c>
      <c r="B979" s="1">
        <v>961800067</v>
      </c>
      <c r="C979" s="1" t="str">
        <f>"تخليه -جاده تربت جام -تايباد15كيلومتري مانده به تايباد-استحكام انديش توس"</f>
        <v>تخليه -جاده تربت جام -تايباد15كيلومتري مانده به تايباد-استحكام انديش توس</v>
      </c>
      <c r="D979" s="1">
        <v>16350</v>
      </c>
      <c r="E979" s="1">
        <v>693100</v>
      </c>
      <c r="F979" s="1">
        <v>96</v>
      </c>
      <c r="G979" s="1">
        <v>6900</v>
      </c>
      <c r="H979" s="1" t="str">
        <f>"96/07/18"</f>
        <v>96/07/18</v>
      </c>
      <c r="I979" s="1" t="str">
        <f>"كيلوگرم"</f>
        <v>كيلوگرم</v>
      </c>
      <c r="J979" s="1" t="str">
        <f>"0000000091"</f>
        <v>0000000091</v>
      </c>
      <c r="K979" s="1" t="str">
        <f>"قير  PG64-22"</f>
        <v>قير  PG64-22</v>
      </c>
      <c r="L979" s="1">
        <v>100</v>
      </c>
      <c r="M979" s="1" t="str">
        <f>"مخازن قير اصفهان"</f>
        <v>مخازن قير اصفهان</v>
      </c>
      <c r="N979" s="1">
        <v>8337</v>
      </c>
      <c r="O979" s="1">
        <v>50036667</v>
      </c>
      <c r="P979" s="1" t="str">
        <f>"  استحكام انديش توس"</f>
        <v xml:space="preserve">  استحكام انديش توس</v>
      </c>
      <c r="Q979" s="1">
        <v>18</v>
      </c>
      <c r="R979" s="1" t="str">
        <f>"فروش داخلي تهران - وزارت راه - شرکت ساخت و توسعه راهها"</f>
        <v>فروش داخلي تهران - وزارت راه - شرکت ساخت و توسعه راهها</v>
      </c>
      <c r="S979" s="1" t="str">
        <f>"قرارداد فروش"</f>
        <v>قرارداد فروش</v>
      </c>
      <c r="T979" s="1" t="str">
        <f>"ندارد"</f>
        <v>ندارد</v>
      </c>
      <c r="U979" s="1" t="str">
        <f>"نظام دوست امين (1911102)"</f>
        <v>نظام دوست امين (1911102)</v>
      </c>
      <c r="V979" s="1">
        <v>961800067</v>
      </c>
      <c r="W979" s="1">
        <v>961800067</v>
      </c>
      <c r="X979" s="1" t="str">
        <f>"1396517388"</f>
        <v>1396517388</v>
      </c>
      <c r="Y979" s="1" t="str">
        <f>"96/07/18"</f>
        <v>96/07/18</v>
      </c>
      <c r="Z979" s="1" t="str">
        <f>"34639/710"</f>
        <v>34639/710</v>
      </c>
      <c r="AA979" s="1" t="str">
        <f>"شركت  ساخت وتوسعه راهها"</f>
        <v>شركت  ساخت وتوسعه راهها</v>
      </c>
      <c r="AB979" s="1" t="str">
        <f>"96/07/15"</f>
        <v>96/07/15</v>
      </c>
      <c r="AC979" s="1" t="str">
        <f>"خراسان رضوي"</f>
        <v>خراسان رضوي</v>
      </c>
      <c r="AD979" s="1" t="str">
        <f>"96/07/17"</f>
        <v>96/07/17</v>
      </c>
      <c r="AE979" s="1" t="str">
        <f>"اختتام"</f>
        <v>اختتام</v>
      </c>
      <c r="AF979" s="1" t="str">
        <f>""</f>
        <v/>
      </c>
      <c r="AG979" s="1" t="str">
        <f>""</f>
        <v/>
      </c>
      <c r="AH979" s="1" t="str">
        <f>""</f>
        <v/>
      </c>
      <c r="AI979" s="1" t="str">
        <f>""</f>
        <v/>
      </c>
      <c r="AJ979" s="1" t="str">
        <f>""</f>
        <v/>
      </c>
      <c r="AK979" s="1" t="str">
        <f>""</f>
        <v/>
      </c>
    </row>
    <row r="980" spans="1:37">
      <c r="A980" s="1">
        <v>400000</v>
      </c>
      <c r="B980" s="1">
        <v>961900113</v>
      </c>
      <c r="C980" s="1" t="str">
        <f>"تخليه يزد شركت تعاوني موحدين آسفالت يزد"</f>
        <v>تخليه يزد شركت تعاوني موحدين آسفالت يزد</v>
      </c>
      <c r="D980" s="1">
        <v>15810</v>
      </c>
      <c r="E980" s="1">
        <v>399640</v>
      </c>
      <c r="F980" s="1">
        <v>96</v>
      </c>
      <c r="G980" s="1">
        <v>360</v>
      </c>
      <c r="H980" s="1" t="str">
        <f>"96/05/11"</f>
        <v>96/05/11</v>
      </c>
      <c r="I980" s="1" t="str">
        <f>"كيلوگرم"</f>
        <v>كيلوگرم</v>
      </c>
      <c r="J980" s="1" t="str">
        <f>"0000000091"</f>
        <v>0000000091</v>
      </c>
      <c r="K980" s="1" t="str">
        <f>"قير  PG64-22"</f>
        <v>قير  PG64-22</v>
      </c>
      <c r="L980" s="1">
        <v>100</v>
      </c>
      <c r="M980" s="1" t="str">
        <f>"مخازن قير اصفهان"</f>
        <v>مخازن قير اصفهان</v>
      </c>
      <c r="N980" s="1">
        <v>11270</v>
      </c>
      <c r="O980" s="1">
        <v>50035487</v>
      </c>
      <c r="P980" s="1" t="str">
        <f>"  اداره كل راهداري وحمل ونقل جاده اي يزد"</f>
        <v xml:space="preserve">  اداره كل راهداري وحمل ونقل جاده اي يزد</v>
      </c>
      <c r="Q980" s="1">
        <v>19</v>
      </c>
      <c r="R98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80" s="1" t="str">
        <f>"قرارداد فروش"</f>
        <v>قرارداد فروش</v>
      </c>
      <c r="T980" s="1" t="str">
        <f>"ندارد"</f>
        <v>ندارد</v>
      </c>
      <c r="U980" s="1" t="str">
        <f>"قانعي محمدرضا(1011ج89)"</f>
        <v>قانعي محمدرضا(1011ج89)</v>
      </c>
      <c r="V980" s="1">
        <v>961900113</v>
      </c>
      <c r="W980" s="1">
        <v>961900113</v>
      </c>
      <c r="X980" s="1" t="str">
        <f>"1396502558"</f>
        <v>1396502558</v>
      </c>
      <c r="Y980" s="1" t="str">
        <f>"96/05/11"</f>
        <v>96/05/11</v>
      </c>
      <c r="Z980" s="1" t="str">
        <f>"22358/710"</f>
        <v>22358/710</v>
      </c>
      <c r="AA980" s="1" t="str">
        <f>"سازمان راهداري وحمل نقل جاده اي"</f>
        <v>سازمان راهداري وحمل نقل جاده اي</v>
      </c>
      <c r="AB980" s="1" t="str">
        <f>"96/05/10"</f>
        <v>96/05/10</v>
      </c>
      <c r="AC980" s="1" t="str">
        <f>"استان يزد"</f>
        <v>استان يزد</v>
      </c>
      <c r="AD980" s="1" t="str">
        <f>"96/05/11"</f>
        <v>96/05/11</v>
      </c>
      <c r="AE980" s="1" t="str">
        <f>"اختتام"</f>
        <v>اختتام</v>
      </c>
      <c r="AF980" s="1" t="str">
        <f>""</f>
        <v/>
      </c>
      <c r="AG980" s="1" t="str">
        <f>""</f>
        <v/>
      </c>
      <c r="AH980" s="1" t="str">
        <f>""</f>
        <v/>
      </c>
      <c r="AI980" s="1" t="str">
        <f>""</f>
        <v/>
      </c>
      <c r="AJ980" s="1" t="str">
        <f>""</f>
        <v/>
      </c>
      <c r="AK980" s="1" t="str">
        <f>""</f>
        <v/>
      </c>
    </row>
    <row r="981" spans="1:37">
      <c r="A981" s="1">
        <v>600000</v>
      </c>
      <c r="B981" s="1">
        <v>961900116</v>
      </c>
      <c r="C981" s="1" t="str">
        <f>"تخليه يزدشركت هميارجي"</f>
        <v>تخليه يزدشركت هميارجي</v>
      </c>
      <c r="D981" s="1">
        <v>16350</v>
      </c>
      <c r="E981" s="1">
        <v>600000</v>
      </c>
      <c r="F981" s="1">
        <v>96</v>
      </c>
      <c r="G981" s="1">
        <v>0</v>
      </c>
      <c r="H981" s="1" t="str">
        <f>"96/05/11"</f>
        <v>96/05/11</v>
      </c>
      <c r="I981" s="1" t="str">
        <f>"كيلوگرم"</f>
        <v>كيلوگرم</v>
      </c>
      <c r="J981" s="1" t="str">
        <f>"0000000091"</f>
        <v>0000000091</v>
      </c>
      <c r="K981" s="1" t="str">
        <f>"قير  PG64-22"</f>
        <v>قير  PG64-22</v>
      </c>
      <c r="L981" s="1">
        <v>100</v>
      </c>
      <c r="M981" s="1" t="str">
        <f>"مخازن قير اصفهان"</f>
        <v>مخازن قير اصفهان</v>
      </c>
      <c r="N981" s="1">
        <v>11270</v>
      </c>
      <c r="O981" s="1">
        <v>50035495</v>
      </c>
      <c r="P981" s="1" t="str">
        <f>"  اداره كل راهداري وحمل ونقل جاده اي يزد"</f>
        <v xml:space="preserve">  اداره كل راهداري وحمل ونقل جاده اي يزد</v>
      </c>
      <c r="Q981" s="1">
        <v>19</v>
      </c>
      <c r="R98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81" s="1" t="str">
        <f>"قرارداد فروش"</f>
        <v>قرارداد فروش</v>
      </c>
      <c r="T981" s="1" t="str">
        <f>"ندارد"</f>
        <v>ندارد</v>
      </c>
      <c r="U981" s="1" t="str">
        <f>"قانعي محمدرضا(1011ج89)"</f>
        <v>قانعي محمدرضا(1011ج89)</v>
      </c>
      <c r="V981" s="1">
        <v>961900116</v>
      </c>
      <c r="W981" s="1">
        <v>961900116</v>
      </c>
      <c r="X981" s="1" t="str">
        <f>"1396502538"</f>
        <v>1396502538</v>
      </c>
      <c r="Y981" s="1" t="str">
        <f>"96/05/11"</f>
        <v>96/05/11</v>
      </c>
      <c r="Z981" s="1" t="str">
        <f>"22350/710"</f>
        <v>22350/710</v>
      </c>
      <c r="AA981" s="1" t="str">
        <f>"سازمان راهداري وحمل نقل جاده اي"</f>
        <v>سازمان راهداري وحمل نقل جاده اي</v>
      </c>
      <c r="AB981" s="1" t="str">
        <f>"96/05/10"</f>
        <v>96/05/10</v>
      </c>
      <c r="AC981" s="1" t="str">
        <f>"استان يزد"</f>
        <v>استان يزد</v>
      </c>
      <c r="AD981" s="1" t="str">
        <f>"96/05/11"</f>
        <v>96/05/11</v>
      </c>
      <c r="AE981" s="1" t="str">
        <f>"اختتام"</f>
        <v>اختتام</v>
      </c>
      <c r="AF981" s="1" t="str">
        <f>""</f>
        <v/>
      </c>
      <c r="AG981" s="1" t="str">
        <f>""</f>
        <v/>
      </c>
      <c r="AH981" s="1" t="str">
        <f>""</f>
        <v/>
      </c>
      <c r="AI981" s="1" t="str">
        <f>""</f>
        <v/>
      </c>
      <c r="AJ981" s="1" t="str">
        <f>""</f>
        <v/>
      </c>
      <c r="AK981" s="1" t="str">
        <f>""</f>
        <v/>
      </c>
    </row>
    <row r="982" spans="1:37">
      <c r="A982" s="1">
        <v>250000</v>
      </c>
      <c r="B982" s="1">
        <v>961900159</v>
      </c>
      <c r="C982" s="1" t="str">
        <f>"تخليه لرستان خرم آبادكيلومتر50محورخرم آبادكوهدشت بعدازپل كشكان شركت آبادگران راه خرم"</f>
        <v>تخليه لرستان خرم آبادكيلومتر50محورخرم آبادكوهدشت بعدازپل كشكان شركت آبادگران راه خرم</v>
      </c>
      <c r="D982" s="1">
        <v>9363</v>
      </c>
      <c r="E982" s="1">
        <v>249740</v>
      </c>
      <c r="F982" s="1">
        <v>96</v>
      </c>
      <c r="G982" s="1">
        <v>260</v>
      </c>
      <c r="H982" s="1" t="str">
        <f>"96/07/11"</f>
        <v>96/07/11</v>
      </c>
      <c r="I982" s="1" t="str">
        <f>"كيلوگرم"</f>
        <v>كيلوگرم</v>
      </c>
      <c r="J982" s="1" t="str">
        <f>"0000000091"</f>
        <v>0000000091</v>
      </c>
      <c r="K982" s="1" t="str">
        <f>"قير  PG64-22"</f>
        <v>قير  PG64-22</v>
      </c>
      <c r="L982" s="1">
        <v>100</v>
      </c>
      <c r="M982" s="1" t="str">
        <f>"مخازن قير اصفهان"</f>
        <v>مخازن قير اصفهان</v>
      </c>
      <c r="N982" s="1">
        <v>11295</v>
      </c>
      <c r="O982" s="1">
        <v>50036509</v>
      </c>
      <c r="P982" s="1" t="str">
        <f>"  اداره كل راهداري وحمل ونقل جاده اي لرستان"</f>
        <v xml:space="preserve">  اداره كل راهداري وحمل ونقل جاده اي لرستان</v>
      </c>
      <c r="Q982" s="1">
        <v>19</v>
      </c>
      <c r="R98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82" s="1" t="str">
        <f>"قرارداد فروش"</f>
        <v>قرارداد فروش</v>
      </c>
      <c r="T982" s="1" t="str">
        <f>"ندارد"</f>
        <v>ندارد</v>
      </c>
      <c r="U982" s="1" t="str">
        <f>"ريسماني حسن(1007ج89)"</f>
        <v>ريسماني حسن(1007ج89)</v>
      </c>
      <c r="V982" s="1">
        <v>961900159</v>
      </c>
      <c r="W982" s="1">
        <v>961900159</v>
      </c>
      <c r="X982" s="1" t="str">
        <f>"1396515916"</f>
        <v>1396515916</v>
      </c>
      <c r="Y982" s="1" t="str">
        <f>"96/07/11"</f>
        <v>96/07/11</v>
      </c>
      <c r="Z982" s="1" t="str">
        <f>"33343/710"</f>
        <v>33343/710</v>
      </c>
      <c r="AA982" s="1" t="str">
        <f>"سازمان راهداري وحمل نقل جاده اي"</f>
        <v>سازمان راهداري وحمل نقل جاده اي</v>
      </c>
      <c r="AB982" s="1" t="str">
        <f>"96/07/04"</f>
        <v>96/07/04</v>
      </c>
      <c r="AC982" s="1" t="str">
        <f>"لرستان"</f>
        <v>لرستان</v>
      </c>
      <c r="AD982" s="1" t="str">
        <f>"96/07/11"</f>
        <v>96/07/11</v>
      </c>
      <c r="AE982" s="1" t="str">
        <f>"اختتام"</f>
        <v>اختتام</v>
      </c>
      <c r="AF982" s="1" t="str">
        <f>""</f>
        <v/>
      </c>
      <c r="AG982" s="1" t="str">
        <f>""</f>
        <v/>
      </c>
      <c r="AH982" s="1" t="str">
        <f>""</f>
        <v/>
      </c>
      <c r="AI982" s="1" t="str">
        <f>""</f>
        <v/>
      </c>
      <c r="AJ982" s="1" t="str">
        <f>""</f>
        <v/>
      </c>
      <c r="AK982" s="1" t="str">
        <f>""</f>
        <v/>
      </c>
    </row>
    <row r="983" spans="1:37">
      <c r="A983" s="1">
        <v>200000</v>
      </c>
      <c r="B983" s="1">
        <v>961900160</v>
      </c>
      <c r="C983" s="1" t="str">
        <f>"تخليه لرستان شهرچالان چولان روستاي پهلوان كل شركت آسفالت ريزان گهرلرستان"</f>
        <v>تخليه لرستان شهرچالان چولان روستاي پهلوان كل شركت آسفالت ريزان گهرلرستان</v>
      </c>
      <c r="D983" s="1">
        <v>12970</v>
      </c>
      <c r="E983" s="1">
        <v>198340</v>
      </c>
      <c r="F983" s="1">
        <v>96</v>
      </c>
      <c r="G983" s="1">
        <v>1660</v>
      </c>
      <c r="H983" s="1" t="str">
        <f>"96/07/11"</f>
        <v>96/07/11</v>
      </c>
      <c r="I983" s="1" t="str">
        <f>"كيلوگرم"</f>
        <v>كيلوگرم</v>
      </c>
      <c r="J983" s="1" t="str">
        <f>"0000000091"</f>
        <v>0000000091</v>
      </c>
      <c r="K983" s="1" t="str">
        <f>"قير  PG64-22"</f>
        <v>قير  PG64-22</v>
      </c>
      <c r="L983" s="1">
        <v>100</v>
      </c>
      <c r="M983" s="1" t="str">
        <f>"مخازن قير اصفهان"</f>
        <v>مخازن قير اصفهان</v>
      </c>
      <c r="N983" s="1">
        <v>11295</v>
      </c>
      <c r="O983" s="1">
        <v>50036517</v>
      </c>
      <c r="P983" s="1" t="str">
        <f>"  اداره كل راهداري وحمل ونقل جاده اي لرستان"</f>
        <v xml:space="preserve">  اداره كل راهداري وحمل ونقل جاده اي لرستان</v>
      </c>
      <c r="Q983" s="1">
        <v>19</v>
      </c>
      <c r="R98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83" s="1" t="str">
        <f>"قرارداد فروش"</f>
        <v>قرارداد فروش</v>
      </c>
      <c r="T983" s="1" t="str">
        <f>"ندارد"</f>
        <v>ندارد</v>
      </c>
      <c r="U983" s="1" t="str">
        <f>"ريسماني حسن(1007ج89)"</f>
        <v>ريسماني حسن(1007ج89)</v>
      </c>
      <c r="V983" s="1">
        <v>961900160</v>
      </c>
      <c r="W983" s="1">
        <v>961900160</v>
      </c>
      <c r="X983" s="1" t="str">
        <f>"1396515916"</f>
        <v>1396515916</v>
      </c>
      <c r="Y983" s="1" t="str">
        <f>"96/07/11"</f>
        <v>96/07/11</v>
      </c>
      <c r="Z983" s="1" t="str">
        <f>"333345/710"</f>
        <v>333345/710</v>
      </c>
      <c r="AA983" s="1" t="str">
        <f>"سازمان راهداري وحمل نقل جاده اي"</f>
        <v>سازمان راهداري وحمل نقل جاده اي</v>
      </c>
      <c r="AB983" s="1" t="str">
        <f>"96/07/04"</f>
        <v>96/07/04</v>
      </c>
      <c r="AC983" s="1" t="str">
        <f>"لرستان"</f>
        <v>لرستان</v>
      </c>
      <c r="AD983" s="1" t="str">
        <f>"96/07/11"</f>
        <v>96/07/11</v>
      </c>
      <c r="AE983" s="1" t="str">
        <f>"اختتام"</f>
        <v>اختتام</v>
      </c>
      <c r="AF983" s="1" t="str">
        <f>""</f>
        <v/>
      </c>
      <c r="AG983" s="1" t="str">
        <f>""</f>
        <v/>
      </c>
      <c r="AH983" s="1" t="str">
        <f>""</f>
        <v/>
      </c>
      <c r="AI983" s="1" t="str">
        <f>""</f>
        <v/>
      </c>
      <c r="AJ983" s="1" t="str">
        <f>""</f>
        <v/>
      </c>
      <c r="AK983" s="1" t="str">
        <f>""</f>
        <v/>
      </c>
    </row>
    <row r="984" spans="1:37">
      <c r="A984" s="1">
        <v>500000</v>
      </c>
      <c r="B984" s="1">
        <v>961900012</v>
      </c>
      <c r="C984" s="1" t="str">
        <f>"تخليه خراسان رضوي شهرستان مه ولايت كارخانه آسفالت قدرت ايمان كوير"</f>
        <v>تخليه خراسان رضوي شهرستان مه ولايت كارخانه آسفالت قدرت ايمان كوير</v>
      </c>
      <c r="D984" s="1">
        <v>9354</v>
      </c>
      <c r="E984" s="1">
        <v>499120</v>
      </c>
      <c r="F984" s="1">
        <v>96</v>
      </c>
      <c r="G984" s="1">
        <v>880</v>
      </c>
      <c r="H984" s="1" t="str">
        <f>"96/01/16"</f>
        <v>96/01/16</v>
      </c>
      <c r="I984" s="1" t="str">
        <f>"كيلوگرم"</f>
        <v>كيلوگرم</v>
      </c>
      <c r="J984" s="1" t="str">
        <f>"0000000091"</f>
        <v>0000000091</v>
      </c>
      <c r="K984" s="1" t="str">
        <f>"قير  PG64-22"</f>
        <v>قير  PG64-22</v>
      </c>
      <c r="L984" s="1">
        <v>100</v>
      </c>
      <c r="M984" s="1" t="str">
        <f>"مخازن قير اصفهان"</f>
        <v>مخازن قير اصفهان</v>
      </c>
      <c r="N984" s="1">
        <v>11305</v>
      </c>
      <c r="O984" s="1">
        <v>50034369</v>
      </c>
      <c r="P984" s="1" t="str">
        <f>"  اداره كل راهداري وحمل ونقل جاده اي خراسان رضوي"</f>
        <v xml:space="preserve">  اداره كل راهداري وحمل ونقل جاده اي خراسان رضوي</v>
      </c>
      <c r="Q984" s="1">
        <v>19</v>
      </c>
      <c r="R98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84" s="1" t="str">
        <f>"قرارداد فروش"</f>
        <v>قرارداد فروش</v>
      </c>
      <c r="T984" s="1" t="str">
        <f>"ندارد"</f>
        <v>ندارد</v>
      </c>
      <c r="U984" s="1" t="str">
        <f>"نظام دوست امين (1911102)"</f>
        <v>نظام دوست امين (1911102)</v>
      </c>
      <c r="V984" s="1">
        <v>961900012</v>
      </c>
      <c r="W984" s="1">
        <v>961900012</v>
      </c>
      <c r="X984" s="1" t="str">
        <f>"1395470874"</f>
        <v>1395470874</v>
      </c>
      <c r="Y984" s="1" t="str">
        <f>"96/01/16"</f>
        <v>96/01/16</v>
      </c>
      <c r="Z984" s="1" t="str">
        <f>"65447/710"</f>
        <v>65447/710</v>
      </c>
      <c r="AA984" s="1" t="str">
        <f>"سازمان راهداري وحمل نقل جاده اي"</f>
        <v>سازمان راهداري وحمل نقل جاده اي</v>
      </c>
      <c r="AB984" s="1" t="str">
        <f>"95/12/21"</f>
        <v>95/12/21</v>
      </c>
      <c r="AC984" s="1" t="str">
        <f>"خراسان رضوي"</f>
        <v>خراسان رضوي</v>
      </c>
      <c r="AD984" s="1" t="str">
        <f>"95/12/23"</f>
        <v>95/12/23</v>
      </c>
      <c r="AE984" s="1" t="str">
        <f>"اختتام"</f>
        <v>اختتام</v>
      </c>
      <c r="AF984" s="1" t="str">
        <f>""</f>
        <v/>
      </c>
      <c r="AG984" s="1" t="str">
        <f>""</f>
        <v/>
      </c>
      <c r="AH984" s="1" t="str">
        <f>""</f>
        <v/>
      </c>
      <c r="AI984" s="1" t="str">
        <f>""</f>
        <v/>
      </c>
      <c r="AJ984" s="1" t="str">
        <f>""</f>
        <v/>
      </c>
      <c r="AK984" s="1" t="str">
        <f>""</f>
        <v/>
      </c>
    </row>
    <row r="985" spans="1:37">
      <c r="A985" s="1">
        <v>300000</v>
      </c>
      <c r="B985" s="1">
        <v>961900021</v>
      </c>
      <c r="C985" s="1" t="str">
        <f>"تخليه خراسان رضوي شهرستان چناران كارخانه آسفالت توس راديه"</f>
        <v>تخليه خراسان رضوي شهرستان چناران كارخانه آسفالت توس راديه</v>
      </c>
      <c r="D985" s="1">
        <v>9068</v>
      </c>
      <c r="E985" s="1">
        <v>295960</v>
      </c>
      <c r="F985" s="1">
        <v>96</v>
      </c>
      <c r="G985" s="1">
        <v>4040</v>
      </c>
      <c r="H985" s="1" t="str">
        <f>"96/01/16"</f>
        <v>96/01/16</v>
      </c>
      <c r="I985" s="1" t="str">
        <f>"كيلوگرم"</f>
        <v>كيلوگرم</v>
      </c>
      <c r="J985" s="1" t="str">
        <f>"0000000091"</f>
        <v>0000000091</v>
      </c>
      <c r="K985" s="1" t="str">
        <f>"قير  PG64-22"</f>
        <v>قير  PG64-22</v>
      </c>
      <c r="L985" s="1">
        <v>100</v>
      </c>
      <c r="M985" s="1" t="str">
        <f>"مخازن قير اصفهان"</f>
        <v>مخازن قير اصفهان</v>
      </c>
      <c r="N985" s="1">
        <v>11305</v>
      </c>
      <c r="O985" s="1">
        <v>50034378</v>
      </c>
      <c r="P985" s="1" t="str">
        <f>"  اداره كل راهداري وحمل ونقل جاده اي خراسان رضوي"</f>
        <v xml:space="preserve">  اداره كل راهداري وحمل ونقل جاده اي خراسان رضوي</v>
      </c>
      <c r="Q985" s="1">
        <v>19</v>
      </c>
      <c r="R98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85" s="1" t="str">
        <f>"قرارداد فروش"</f>
        <v>قرارداد فروش</v>
      </c>
      <c r="T985" s="1" t="str">
        <f>"ندارد"</f>
        <v>ندارد</v>
      </c>
      <c r="U985" s="1" t="str">
        <f>"بابامحمدي عنايت اله(4844000)"</f>
        <v>بابامحمدي عنايت اله(4844000)</v>
      </c>
      <c r="V985" s="1">
        <v>961900021</v>
      </c>
      <c r="W985" s="1">
        <v>961900021</v>
      </c>
      <c r="X985" s="1" t="str">
        <f>"1395470874"</f>
        <v>1395470874</v>
      </c>
      <c r="Y985" s="1" t="str">
        <f>"96/01/16"</f>
        <v>96/01/16</v>
      </c>
      <c r="Z985" s="1" t="str">
        <f>"65473/710"</f>
        <v>65473/710</v>
      </c>
      <c r="AA985" s="1" t="str">
        <f>"سازمان راهداري وحمل نقل جاده اي"</f>
        <v>سازمان راهداري وحمل نقل جاده اي</v>
      </c>
      <c r="AB985" s="1" t="str">
        <f>"95/12/21"</f>
        <v>95/12/21</v>
      </c>
      <c r="AC985" s="1" t="str">
        <f>"خراسان رضوي"</f>
        <v>خراسان رضوي</v>
      </c>
      <c r="AD985" s="1" t="str">
        <f>"95/12/23"</f>
        <v>95/12/23</v>
      </c>
      <c r="AE985" s="1" t="str">
        <f>"اختتام"</f>
        <v>اختتام</v>
      </c>
      <c r="AF985" s="1" t="str">
        <f>""</f>
        <v/>
      </c>
      <c r="AG985" s="1" t="str">
        <f>""</f>
        <v/>
      </c>
      <c r="AH985" s="1" t="str">
        <f>""</f>
        <v/>
      </c>
      <c r="AI985" s="1" t="str">
        <f>""</f>
        <v/>
      </c>
      <c r="AJ985" s="1" t="str">
        <f>""</f>
        <v/>
      </c>
      <c r="AK985" s="1" t="str">
        <f>""</f>
        <v/>
      </c>
    </row>
    <row r="986" spans="1:37">
      <c r="A986" s="1">
        <v>150000</v>
      </c>
      <c r="B986" s="1">
        <v>961900027</v>
      </c>
      <c r="C986" s="1" t="str">
        <f>"تخليه خراسان رضوي شهرستان گنابادكارخانه آسفالت كيهان راه شرق"</f>
        <v>تخليه خراسان رضوي شهرستان گنابادكارخانه آسفالت كيهان راه شرق</v>
      </c>
      <c r="D986" s="1">
        <v>8348</v>
      </c>
      <c r="E986" s="1">
        <v>149080</v>
      </c>
      <c r="F986" s="1">
        <v>96</v>
      </c>
      <c r="G986" s="1">
        <v>920</v>
      </c>
      <c r="H986" s="1" t="str">
        <f>"96/01/16"</f>
        <v>96/01/16</v>
      </c>
      <c r="I986" s="1" t="str">
        <f>"كيلوگرم"</f>
        <v>كيلوگرم</v>
      </c>
      <c r="J986" s="1" t="str">
        <f>"0000000091"</f>
        <v>0000000091</v>
      </c>
      <c r="K986" s="1" t="str">
        <f>"قير  PG64-22"</f>
        <v>قير  PG64-22</v>
      </c>
      <c r="L986" s="1">
        <v>100</v>
      </c>
      <c r="M986" s="1" t="str">
        <f>"مخازن قير اصفهان"</f>
        <v>مخازن قير اصفهان</v>
      </c>
      <c r="N986" s="1">
        <v>11305</v>
      </c>
      <c r="O986" s="1">
        <v>50034384</v>
      </c>
      <c r="P986" s="1" t="str">
        <f>"  اداره كل راهداري وحمل ونقل جاده اي خراسان رضوي"</f>
        <v xml:space="preserve">  اداره كل راهداري وحمل ونقل جاده اي خراسان رضوي</v>
      </c>
      <c r="Q986" s="1">
        <v>19</v>
      </c>
      <c r="R98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86" s="1" t="str">
        <f>"قرارداد فروش"</f>
        <v>قرارداد فروش</v>
      </c>
      <c r="T986" s="1" t="str">
        <f>"ندارد"</f>
        <v>ندارد</v>
      </c>
      <c r="U986" s="1" t="str">
        <f>"نظام دوست امين (1911102)"</f>
        <v>نظام دوست امين (1911102)</v>
      </c>
      <c r="V986" s="1">
        <v>961900027</v>
      </c>
      <c r="W986" s="1">
        <v>961900027</v>
      </c>
      <c r="X986" s="1" t="str">
        <f>"1395470897"</f>
        <v>1395470897</v>
      </c>
      <c r="Y986" s="1" t="str">
        <f>"96/01/16"</f>
        <v>96/01/16</v>
      </c>
      <c r="Z986" s="1" t="str">
        <f>"65481/710"</f>
        <v>65481/710</v>
      </c>
      <c r="AA986" s="1" t="str">
        <f>"سازمان راهداري وحمل نقل جاده اي"</f>
        <v>سازمان راهداري وحمل نقل جاده اي</v>
      </c>
      <c r="AB986" s="1" t="str">
        <f>"95/12/21"</f>
        <v>95/12/21</v>
      </c>
      <c r="AC986" s="1" t="str">
        <f>"خراسان رضوي"</f>
        <v>خراسان رضوي</v>
      </c>
      <c r="AD986" s="1" t="str">
        <f>"95/12/23"</f>
        <v>95/12/23</v>
      </c>
      <c r="AE986" s="1" t="str">
        <f>"اختتام"</f>
        <v>اختتام</v>
      </c>
      <c r="AF986" s="1" t="str">
        <f>""</f>
        <v/>
      </c>
      <c r="AG986" s="1" t="str">
        <f>""</f>
        <v/>
      </c>
      <c r="AH986" s="1" t="str">
        <f>""</f>
        <v/>
      </c>
      <c r="AI986" s="1" t="str">
        <f>""</f>
        <v/>
      </c>
      <c r="AJ986" s="1" t="str">
        <f>""</f>
        <v/>
      </c>
      <c r="AK986" s="1" t="str">
        <f>""</f>
        <v/>
      </c>
    </row>
    <row r="987" spans="1:37">
      <c r="A987" s="1">
        <v>500000</v>
      </c>
      <c r="B987" s="1">
        <v>961900014</v>
      </c>
      <c r="C987" s="1" t="str">
        <f>"تخليه خراسان رضوي شهرستان درگز كارخانه آسفالت شهرداري درگز"</f>
        <v>تخليه خراسان رضوي شهرستان درگز كارخانه آسفالت شهرداري درگز</v>
      </c>
      <c r="D987" s="1">
        <v>9354</v>
      </c>
      <c r="E987" s="1">
        <v>497820</v>
      </c>
      <c r="F987" s="1">
        <v>96</v>
      </c>
      <c r="G987" s="1">
        <v>2180</v>
      </c>
      <c r="H987" s="1" t="str">
        <f>"96/01/16"</f>
        <v>96/01/16</v>
      </c>
      <c r="I987" s="1" t="str">
        <f>"كيلوگرم"</f>
        <v>كيلوگرم</v>
      </c>
      <c r="J987" s="1" t="str">
        <f>"0000000091"</f>
        <v>0000000091</v>
      </c>
      <c r="K987" s="1" t="str">
        <f>"قير  PG64-22"</f>
        <v>قير  PG64-22</v>
      </c>
      <c r="L987" s="1">
        <v>100</v>
      </c>
      <c r="M987" s="1" t="str">
        <f>"مخازن قير اصفهان"</f>
        <v>مخازن قير اصفهان</v>
      </c>
      <c r="N987" s="1">
        <v>11305</v>
      </c>
      <c r="O987" s="1">
        <v>50034786</v>
      </c>
      <c r="P987" s="1" t="str">
        <f>"  اداره كل راهداري وحمل ونقل جاده اي خراسان رضوي"</f>
        <v xml:space="preserve">  اداره كل راهداري وحمل ونقل جاده اي خراسان رضوي</v>
      </c>
      <c r="Q987" s="1">
        <v>19</v>
      </c>
      <c r="R98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87" s="1" t="str">
        <f>"قرارداد فروش"</f>
        <v>قرارداد فروش</v>
      </c>
      <c r="T987" s="1" t="str">
        <f>"ندارد"</f>
        <v>ندارد</v>
      </c>
      <c r="U987" s="1" t="str">
        <f>"نظام دوست امين (1911102)"</f>
        <v>نظام دوست امين (1911102)</v>
      </c>
      <c r="V987" s="1">
        <v>961900014</v>
      </c>
      <c r="W987" s="1">
        <v>961900014</v>
      </c>
      <c r="X987" s="1" t="str">
        <f>"1395470874"</f>
        <v>1395470874</v>
      </c>
      <c r="Y987" s="1" t="str">
        <f>"96/01/16"</f>
        <v>96/01/16</v>
      </c>
      <c r="Z987" s="1" t="str">
        <f>"65464/710"</f>
        <v>65464/710</v>
      </c>
      <c r="AA987" s="1" t="str">
        <f>"سازمان راهداري وحمل نقل جاده اي"</f>
        <v>سازمان راهداري وحمل نقل جاده اي</v>
      </c>
      <c r="AB987" s="1" t="str">
        <f>"95/12/21"</f>
        <v>95/12/21</v>
      </c>
      <c r="AC987" s="1" t="str">
        <f>"خراسان رضوي"</f>
        <v>خراسان رضوي</v>
      </c>
      <c r="AD987" s="1" t="str">
        <f>"95/12/23"</f>
        <v>95/12/23</v>
      </c>
      <c r="AE987" s="1" t="str">
        <f>"اختتام"</f>
        <v>اختتام</v>
      </c>
      <c r="AF987" s="1" t="str">
        <f>""</f>
        <v/>
      </c>
      <c r="AG987" s="1" t="str">
        <f>""</f>
        <v/>
      </c>
      <c r="AH987" s="1" t="str">
        <f>""</f>
        <v/>
      </c>
      <c r="AI987" s="1" t="str">
        <f>""</f>
        <v/>
      </c>
      <c r="AJ987" s="1" t="str">
        <f>""</f>
        <v/>
      </c>
      <c r="AK987" s="1" t="str">
        <f>""</f>
        <v/>
      </c>
    </row>
    <row r="988" spans="1:37">
      <c r="A988" s="1">
        <v>450000</v>
      </c>
      <c r="B988" s="1">
        <v>961900049</v>
      </c>
      <c r="C988" s="1" t="str">
        <f>"تخليه خراسان رضوي شهرستان احمدآبادكارخانه آسفالت سنگ بست"</f>
        <v>تخليه خراسان رضوي شهرستان احمدآبادكارخانه آسفالت سنگ بست</v>
      </c>
      <c r="D988" s="1">
        <v>8854</v>
      </c>
      <c r="E988" s="1">
        <v>450000</v>
      </c>
      <c r="F988" s="1">
        <v>96</v>
      </c>
      <c r="G988" s="1">
        <v>0</v>
      </c>
      <c r="H988" s="1" t="str">
        <f>"96/03/10"</f>
        <v>96/03/10</v>
      </c>
      <c r="I988" s="1" t="str">
        <f>"كيلوگرم"</f>
        <v>كيلوگرم</v>
      </c>
      <c r="J988" s="1" t="str">
        <f>"0000000091"</f>
        <v>0000000091</v>
      </c>
      <c r="K988" s="1" t="str">
        <f>"قير  PG64-22"</f>
        <v>قير  PG64-22</v>
      </c>
      <c r="L988" s="1">
        <v>100</v>
      </c>
      <c r="M988" s="1" t="str">
        <f>"مخازن قير اصفهان"</f>
        <v>مخازن قير اصفهان</v>
      </c>
      <c r="N988" s="1">
        <v>11305</v>
      </c>
      <c r="O988" s="1">
        <v>50034934</v>
      </c>
      <c r="P988" s="1" t="str">
        <f>"  اداره كل راهداري وحمل ونقل جاده اي خراسان رضوي"</f>
        <v xml:space="preserve">  اداره كل راهداري وحمل ونقل جاده اي خراسان رضوي</v>
      </c>
      <c r="Q988" s="1">
        <v>19</v>
      </c>
      <c r="R98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88" s="1" t="str">
        <f>"قرارداد فروش"</f>
        <v>قرارداد فروش</v>
      </c>
      <c r="T988" s="1" t="str">
        <f>"ندارد"</f>
        <v>ندارد</v>
      </c>
      <c r="U988" s="1" t="str">
        <f>"نظام دوست امين (1911102)"</f>
        <v>نظام دوست امين (1911102)</v>
      </c>
      <c r="V988" s="1">
        <v>961900049</v>
      </c>
      <c r="W988" s="1">
        <v>961900049</v>
      </c>
      <c r="X988" s="1" t="str">
        <f>"1396485061"</f>
        <v>1396485061</v>
      </c>
      <c r="Y988" s="1" t="str">
        <f>"96/03/10"</f>
        <v>96/03/10</v>
      </c>
      <c r="Z988" s="1" t="str">
        <f>"10860/710"</f>
        <v>10860/710</v>
      </c>
      <c r="AA988" s="1" t="str">
        <f>"سازمان راهداري وحمل نقل جاده اي"</f>
        <v>سازمان راهداري وحمل نقل جاده اي</v>
      </c>
      <c r="AB988" s="1" t="str">
        <f>"96/03/09"</f>
        <v>96/03/09</v>
      </c>
      <c r="AC988" s="1" t="str">
        <f>"خراسان رضوي"</f>
        <v>خراسان رضوي</v>
      </c>
      <c r="AD988" s="1" t="str">
        <f>"96/03/10"</f>
        <v>96/03/10</v>
      </c>
      <c r="AE988" s="1" t="str">
        <f>"اختتام"</f>
        <v>اختتام</v>
      </c>
      <c r="AF988" s="1" t="str">
        <f>""</f>
        <v/>
      </c>
      <c r="AG988" s="1" t="str">
        <f>""</f>
        <v/>
      </c>
      <c r="AH988" s="1" t="str">
        <f>""</f>
        <v/>
      </c>
      <c r="AI988" s="1" t="str">
        <f>""</f>
        <v/>
      </c>
      <c r="AJ988" s="1" t="str">
        <f>""</f>
        <v/>
      </c>
      <c r="AK988" s="1" t="str">
        <f>""</f>
        <v/>
      </c>
    </row>
    <row r="989" spans="1:37">
      <c r="A989" s="1">
        <v>270000</v>
      </c>
      <c r="B989" s="1">
        <v>961900058</v>
      </c>
      <c r="C989" s="1" t="str">
        <f>"تخليه خراسان رضوي شهرستان سرولايت كارخانه آسفالت دنابنيان بيرجند"</f>
        <v>تخليه خراسان رضوي شهرستان سرولايت كارخانه آسفالت دنابنيان بيرجند</v>
      </c>
      <c r="D989" s="1">
        <v>8854</v>
      </c>
      <c r="E989" s="1">
        <v>269560</v>
      </c>
      <c r="F989" s="1">
        <v>96</v>
      </c>
      <c r="G989" s="1">
        <v>440</v>
      </c>
      <c r="H989" s="1" t="str">
        <f>"96/03/10"</f>
        <v>96/03/10</v>
      </c>
      <c r="I989" s="1" t="str">
        <f>"كيلوگرم"</f>
        <v>كيلوگرم</v>
      </c>
      <c r="J989" s="1" t="str">
        <f>"0000000091"</f>
        <v>0000000091</v>
      </c>
      <c r="K989" s="1" t="str">
        <f>"قير  PG64-22"</f>
        <v>قير  PG64-22</v>
      </c>
      <c r="L989" s="1">
        <v>100</v>
      </c>
      <c r="M989" s="1" t="str">
        <f>"مخازن قير اصفهان"</f>
        <v>مخازن قير اصفهان</v>
      </c>
      <c r="N989" s="1">
        <v>11305</v>
      </c>
      <c r="O989" s="1">
        <v>50034944</v>
      </c>
      <c r="P989" s="1" t="str">
        <f>"  اداره كل راهداري وحمل ونقل جاده اي خراسان رضوي"</f>
        <v xml:space="preserve">  اداره كل راهداري وحمل ونقل جاده اي خراسان رضوي</v>
      </c>
      <c r="Q989" s="1">
        <v>19</v>
      </c>
      <c r="R98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89" s="1" t="str">
        <f>"قرارداد فروش"</f>
        <v>قرارداد فروش</v>
      </c>
      <c r="T989" s="1" t="str">
        <f>"ندارد"</f>
        <v>ندارد</v>
      </c>
      <c r="U989" s="1" t="str">
        <f>"نظام دوست امين (1911102)"</f>
        <v>نظام دوست امين (1911102)</v>
      </c>
      <c r="V989" s="1">
        <v>961900058</v>
      </c>
      <c r="W989" s="1">
        <v>961900058</v>
      </c>
      <c r="X989" s="1" t="str">
        <f>"1396485082"</f>
        <v>1396485082</v>
      </c>
      <c r="Y989" s="1" t="str">
        <f>"96/03/10"</f>
        <v>96/03/10</v>
      </c>
      <c r="Z989" s="1" t="str">
        <f>"10892/710"</f>
        <v>10892/710</v>
      </c>
      <c r="AA989" s="1" t="str">
        <f>"سازمان راهداري وحمل نقل جاده اي"</f>
        <v>سازمان راهداري وحمل نقل جاده اي</v>
      </c>
      <c r="AB989" s="1" t="str">
        <f>"96/03/09"</f>
        <v>96/03/09</v>
      </c>
      <c r="AC989" s="1" t="str">
        <f>"خراسان رضوي"</f>
        <v>خراسان رضوي</v>
      </c>
      <c r="AD989" s="1" t="str">
        <f>"96/03/10"</f>
        <v>96/03/10</v>
      </c>
      <c r="AE989" s="1" t="str">
        <f>"اختتام"</f>
        <v>اختتام</v>
      </c>
      <c r="AF989" s="1" t="str">
        <f>""</f>
        <v/>
      </c>
      <c r="AG989" s="1" t="str">
        <f>""</f>
        <v/>
      </c>
      <c r="AH989" s="1" t="str">
        <f>""</f>
        <v/>
      </c>
      <c r="AI989" s="1" t="str">
        <f>""</f>
        <v/>
      </c>
      <c r="AJ989" s="1" t="str">
        <f>""</f>
        <v/>
      </c>
      <c r="AK989" s="1" t="str">
        <f>""</f>
        <v/>
      </c>
    </row>
    <row r="990" spans="1:37">
      <c r="A990" s="1">
        <v>144000</v>
      </c>
      <c r="B990" s="1">
        <v>961700001</v>
      </c>
      <c r="C990" s="1" t="str">
        <f>"تخليه كرمانشاه كارخانه آسفالت دره سبز برناج"</f>
        <v>تخليه كرمانشاه كارخانه آسفالت دره سبز برناج</v>
      </c>
      <c r="D990" s="1">
        <v>9068</v>
      </c>
      <c r="E990" s="1">
        <v>141320</v>
      </c>
      <c r="F990" s="1">
        <v>96</v>
      </c>
      <c r="G990" s="1">
        <v>2680</v>
      </c>
      <c r="H990" s="1" t="str">
        <f>"96/01/15"</f>
        <v>96/01/15</v>
      </c>
      <c r="I990" s="1" t="str">
        <f>"كيلوگرم"</f>
        <v>كيلوگرم</v>
      </c>
      <c r="J990" s="1" t="str">
        <f>"0000000091"</f>
        <v>0000000091</v>
      </c>
      <c r="K990" s="1" t="str">
        <f>"قير  PG64-22"</f>
        <v>قير  PG64-22</v>
      </c>
      <c r="L990" s="1">
        <v>100</v>
      </c>
      <c r="M990" s="1" t="str">
        <f>"مخازن قير اصفهان"</f>
        <v>مخازن قير اصفهان</v>
      </c>
      <c r="N990" s="1">
        <v>10681</v>
      </c>
      <c r="O990" s="1">
        <v>50034350</v>
      </c>
      <c r="P990" s="1" t="str">
        <f>"  دره سبزبرناج"</f>
        <v xml:space="preserve">  دره سبزبرناج</v>
      </c>
      <c r="Q990" s="1">
        <v>17</v>
      </c>
      <c r="R990" s="1" t="str">
        <f>"فروش داخلي تهران - وزارت راه - راه روستايي - روکش"</f>
        <v>فروش داخلي تهران - وزارت راه - راه روستايي - روکش</v>
      </c>
      <c r="S990" s="1" t="str">
        <f>"قرارداد فروش"</f>
        <v>قرارداد فروش</v>
      </c>
      <c r="T990" s="1" t="str">
        <f>"ندارد"</f>
        <v>ندارد</v>
      </c>
      <c r="U990" s="1" t="str">
        <f>"حاجيلوئي علي اصغر(2842019)"</f>
        <v>حاجيلوئي علي اصغر(2842019)</v>
      </c>
      <c r="V990" s="1">
        <v>961700001</v>
      </c>
      <c r="W990" s="1">
        <v>961700001</v>
      </c>
      <c r="X990" s="1" t="str">
        <f>"1395471092"</f>
        <v>1395471092</v>
      </c>
      <c r="Y990" s="1" t="str">
        <f>"96/01/15"</f>
        <v>96/01/15</v>
      </c>
      <c r="Z990" s="1" t="str">
        <f>"67141/710"</f>
        <v>67141/710</v>
      </c>
      <c r="AA990" s="1" t="str">
        <f>"راه روستائي -روكش"</f>
        <v>راه روستائي -روكش</v>
      </c>
      <c r="AB990" s="1" t="str">
        <f>"95/12/25"</f>
        <v>95/12/25</v>
      </c>
      <c r="AC990" s="1" t="str">
        <f>"استان كرمانشاه"</f>
        <v>استان كرمانشاه</v>
      </c>
      <c r="AD990" s="1" t="str">
        <f>"95/12/28"</f>
        <v>95/12/28</v>
      </c>
      <c r="AE990" s="1" t="str">
        <f>"اختتام"</f>
        <v>اختتام</v>
      </c>
      <c r="AF990" s="1" t="str">
        <f>""</f>
        <v/>
      </c>
      <c r="AG990" s="1" t="str">
        <f>""</f>
        <v/>
      </c>
      <c r="AH990" s="1" t="str">
        <f>""</f>
        <v/>
      </c>
      <c r="AI990" s="1" t="str">
        <f>""</f>
        <v/>
      </c>
      <c r="AJ990" s="1" t="str">
        <f>""</f>
        <v/>
      </c>
      <c r="AK990" s="1" t="str">
        <f>""</f>
        <v/>
      </c>
    </row>
    <row r="991" spans="1:37">
      <c r="A991" s="1">
        <v>182000</v>
      </c>
      <c r="B991" s="1">
        <v>961700036</v>
      </c>
      <c r="C991" s="1" t="str">
        <f>"تخليه خراسان رضوي شهرستان قوچان روستاي  جعفرآبادكارخانه آسفالت توس راديه"</f>
        <v>تخليه خراسان رضوي شهرستان قوچان روستاي  جعفرآبادكارخانه آسفالت توس راديه</v>
      </c>
      <c r="D991" s="1">
        <v>8904</v>
      </c>
      <c r="E991" s="1">
        <v>179780</v>
      </c>
      <c r="F991" s="1">
        <v>96</v>
      </c>
      <c r="G991" s="1">
        <v>2220</v>
      </c>
      <c r="H991" s="1" t="str">
        <f>"96/05/07"</f>
        <v>96/05/07</v>
      </c>
      <c r="I991" s="1" t="str">
        <f>"كيلوگرم"</f>
        <v>كيلوگرم</v>
      </c>
      <c r="J991" s="1" t="str">
        <f>"0000000091"</f>
        <v>0000000091</v>
      </c>
      <c r="K991" s="1" t="str">
        <f>"قير  PG64-22"</f>
        <v>قير  PG64-22</v>
      </c>
      <c r="L991" s="1">
        <v>100</v>
      </c>
      <c r="M991" s="1" t="str">
        <f>"مخازن قير اصفهان"</f>
        <v>مخازن قير اصفهان</v>
      </c>
      <c r="N991" s="1">
        <v>10983</v>
      </c>
      <c r="O991" s="1">
        <v>50035377</v>
      </c>
      <c r="P991" s="1" t="str">
        <f>"  راهاب توسعه توس"</f>
        <v xml:space="preserve">  راهاب توسعه توس</v>
      </c>
      <c r="Q991" s="1">
        <v>17</v>
      </c>
      <c r="R991" s="1" t="str">
        <f>"فروش داخلي تهران - وزارت راه - راه روستايي - روکش"</f>
        <v>فروش داخلي تهران - وزارت راه - راه روستايي - روکش</v>
      </c>
      <c r="S991" s="1" t="str">
        <f>"قرارداد فروش"</f>
        <v>قرارداد فروش</v>
      </c>
      <c r="T991" s="1" t="str">
        <f>"ندارد"</f>
        <v>ندارد</v>
      </c>
      <c r="U991" s="1" t="str">
        <f>"بابامحمدي عنايت اله(4844000)"</f>
        <v>بابامحمدي عنايت اله(4844000)</v>
      </c>
      <c r="V991" s="1">
        <v>961700036</v>
      </c>
      <c r="W991" s="1">
        <v>961700036</v>
      </c>
      <c r="X991" s="1" t="str">
        <f>"1396500713"</f>
        <v>1396500713</v>
      </c>
      <c r="Y991" s="1" t="str">
        <f>"96/05/07"</f>
        <v>96/05/07</v>
      </c>
      <c r="Z991" s="1" t="str">
        <f>"19028/710"</f>
        <v>19028/710</v>
      </c>
      <c r="AA991" s="1" t="str">
        <f>"راه روستائي -روكش"</f>
        <v>راه روستائي -روكش</v>
      </c>
      <c r="AB991" s="1" t="str">
        <f>"96/04/26"</f>
        <v>96/04/26</v>
      </c>
      <c r="AC991" s="1" t="str">
        <f>"خراسان رضوي"</f>
        <v>خراسان رضوي</v>
      </c>
      <c r="AD991" s="1" t="str">
        <f>"96/05/07"</f>
        <v>96/05/07</v>
      </c>
      <c r="AE991" s="1" t="str">
        <f>"اختتام"</f>
        <v>اختتام</v>
      </c>
      <c r="AF991" s="1" t="str">
        <f>""</f>
        <v/>
      </c>
      <c r="AG991" s="1" t="str">
        <f>""</f>
        <v/>
      </c>
      <c r="AH991" s="1" t="str">
        <f>""</f>
        <v/>
      </c>
      <c r="AI991" s="1" t="str">
        <f>""</f>
        <v/>
      </c>
      <c r="AJ991" s="1" t="str">
        <f>""</f>
        <v/>
      </c>
      <c r="AK991" s="1" t="str">
        <f>""</f>
        <v/>
      </c>
    </row>
    <row r="992" spans="1:37">
      <c r="A992" s="1">
        <v>97368</v>
      </c>
      <c r="B992" s="1">
        <v>962000057</v>
      </c>
      <c r="C992" s="1" t="str">
        <f>"تخليه اصفهان مباركه مقابل شهرطالخونچه مجتمع كارگاهي اميركبيرشركت نويدنورسپاهان"</f>
        <v>تخليه اصفهان مباركه مقابل شهرطالخونچه مجتمع كارگاهي اميركبيرشركت نويدنورسپاهان</v>
      </c>
      <c r="D992" s="1">
        <v>9113</v>
      </c>
      <c r="E992" s="1">
        <v>97368</v>
      </c>
      <c r="F992" s="1">
        <v>96</v>
      </c>
      <c r="G992" s="1">
        <v>0</v>
      </c>
      <c r="H992" s="1" t="str">
        <f>"96/07/03"</f>
        <v>96/07/03</v>
      </c>
      <c r="I992" s="1" t="str">
        <f>"كيلوگرم"</f>
        <v>كيلوگرم</v>
      </c>
      <c r="J992" s="1" t="str">
        <f>"0000000076"</f>
        <v>0000000076</v>
      </c>
      <c r="K992" s="1" t="str">
        <f>"قير 60/70 - فله"</f>
        <v>قير 60/70 - فله</v>
      </c>
      <c r="L992" s="1">
        <v>100</v>
      </c>
      <c r="M992" s="1" t="str">
        <f>"مخازن قير اصفهان"</f>
        <v>مخازن قير اصفهان</v>
      </c>
      <c r="N992" s="1">
        <v>10661</v>
      </c>
      <c r="O992" s="1">
        <v>50036205</v>
      </c>
      <c r="P992" s="1" t="str">
        <f>"  شهرداري طالخونچه"</f>
        <v xml:space="preserve">  شهرداري طالخونچه</v>
      </c>
      <c r="Q992" s="1">
        <v>20</v>
      </c>
      <c r="R992" s="1" t="str">
        <f>"فروش داخلي - سازمان شهرداري ها و دهياري هاي كشور"</f>
        <v>فروش داخلي - سازمان شهرداري ها و دهياري هاي كشور</v>
      </c>
      <c r="S992" s="1" t="str">
        <f>"قرارداد فروش"</f>
        <v>قرارداد فروش</v>
      </c>
      <c r="T992" s="1" t="str">
        <f>"ندارد"</f>
        <v>ندارد</v>
      </c>
      <c r="U992" s="1" t="str">
        <f>"تعاوني جم گستر (1001 ج 89)"</f>
        <v>تعاوني جم گستر (1001 ج 89)</v>
      </c>
      <c r="V992" s="1">
        <v>962000057</v>
      </c>
      <c r="W992" s="1">
        <v>962000057</v>
      </c>
      <c r="X992" s="1" t="str">
        <f>"1396514467"</f>
        <v>1396514467</v>
      </c>
      <c r="Y992" s="1" t="str">
        <f>"96/07/03"</f>
        <v>96/07/03</v>
      </c>
      <c r="Z992" s="1" t="str">
        <f>"26761مرحله اول"</f>
        <v>26761مرحله اول</v>
      </c>
      <c r="AA992" s="1" t="str">
        <f>"شهرداريها"</f>
        <v>شهرداريها</v>
      </c>
      <c r="AB992" s="1" t="str">
        <f>"96/06/29"</f>
        <v>96/06/29</v>
      </c>
      <c r="AC992" s="1" t="str">
        <f>"استان اصفهان"</f>
        <v>استان اصفهان</v>
      </c>
      <c r="AD992" s="1" t="str">
        <f>"96/07/03"</f>
        <v>96/07/03</v>
      </c>
      <c r="AE992" s="1" t="str">
        <f>"اختتام"</f>
        <v>اختتام</v>
      </c>
      <c r="AF992" s="1" t="str">
        <f>""</f>
        <v/>
      </c>
      <c r="AG992" s="1" t="str">
        <f>""</f>
        <v/>
      </c>
      <c r="AH992" s="1" t="str">
        <f>""</f>
        <v/>
      </c>
      <c r="AI992" s="1" t="str">
        <f>""</f>
        <v/>
      </c>
      <c r="AJ992" s="1" t="str">
        <f>""</f>
        <v/>
      </c>
      <c r="AK992" s="1" t="str">
        <f>""</f>
        <v/>
      </c>
    </row>
    <row r="993" spans="1:37">
      <c r="A993" s="1">
        <v>36373</v>
      </c>
      <c r="B993" s="1">
        <v>962000421</v>
      </c>
      <c r="C993" s="1" t="str">
        <f>"تخليه اصفهان ارغوانيه گردنه زينل بعدازبازيافت سمت راست كارخانه آسفالت كاشمر"</f>
        <v>تخليه اصفهان ارغوانيه گردنه زينل بعدازبازيافت سمت راست كارخانه آسفالت كاشمر</v>
      </c>
      <c r="D993" s="1">
        <v>12820</v>
      </c>
      <c r="E993" s="1">
        <v>36373</v>
      </c>
      <c r="F993" s="1">
        <v>96</v>
      </c>
      <c r="G993" s="1">
        <v>0</v>
      </c>
      <c r="H993" s="1" t="str">
        <f>"96/09/20"</f>
        <v>96/09/20</v>
      </c>
      <c r="I993" s="1" t="str">
        <f>"كيلوگرم"</f>
        <v>كيلوگرم</v>
      </c>
      <c r="J993" s="1" t="str">
        <f>"0000000076"</f>
        <v>0000000076</v>
      </c>
      <c r="K993" s="1" t="str">
        <f>"قير 60/70 - فله"</f>
        <v>قير 60/70 - فله</v>
      </c>
      <c r="L993" s="1">
        <v>100</v>
      </c>
      <c r="M993" s="1" t="str">
        <f>"مخازن قير اصفهان"</f>
        <v>مخازن قير اصفهان</v>
      </c>
      <c r="N993" s="1">
        <v>10669</v>
      </c>
      <c r="O993" s="1">
        <v>50037734</v>
      </c>
      <c r="P993" s="1" t="str">
        <f>"  شهرداري رضوانشهراصفهان"</f>
        <v xml:space="preserve">  شهرداري رضوانشهراصفهان</v>
      </c>
      <c r="Q993" s="1">
        <v>20</v>
      </c>
      <c r="R993" s="1" t="str">
        <f>"فروش داخلي - سازمان شهرداري ها و دهياري هاي كشور"</f>
        <v>فروش داخلي - سازمان شهرداري ها و دهياري هاي كشور</v>
      </c>
      <c r="S993" s="1" t="str">
        <f>"قرارداد فروش"</f>
        <v>قرارداد فروش</v>
      </c>
      <c r="T993" s="1" t="str">
        <f>"ندارد"</f>
        <v>ندارد</v>
      </c>
      <c r="U993" s="1" t="str">
        <f>"تعاوني جم گستر (1001 ج 89)"</f>
        <v>تعاوني جم گستر (1001 ج 89)</v>
      </c>
      <c r="V993" s="1">
        <v>962000421</v>
      </c>
      <c r="W993" s="1">
        <v>962000421</v>
      </c>
      <c r="X993" s="1" t="str">
        <f>"1396529711"</f>
        <v>1396529711</v>
      </c>
      <c r="Y993" s="1" t="str">
        <f>"96/09/20"</f>
        <v>96/09/20</v>
      </c>
      <c r="Z993" s="1" t="str">
        <f>"37162مرحله دوم"</f>
        <v>37162مرحله دوم</v>
      </c>
      <c r="AA993" s="1" t="str">
        <f>"شهرداريها"</f>
        <v>شهرداريها</v>
      </c>
      <c r="AB993" s="1" t="str">
        <f>"96/09/05"</f>
        <v>96/09/05</v>
      </c>
      <c r="AC993" s="1" t="str">
        <f>"استان اصفهان"</f>
        <v>استان اصفهان</v>
      </c>
      <c r="AD993" s="1" t="str">
        <f>"96/09/13"</f>
        <v>96/09/13</v>
      </c>
      <c r="AE993" s="1" t="str">
        <f>"اختتام"</f>
        <v>اختتام</v>
      </c>
      <c r="AF993" s="1" t="str">
        <f>""</f>
        <v/>
      </c>
      <c r="AG993" s="1" t="str">
        <f>""</f>
        <v/>
      </c>
      <c r="AH993" s="1" t="str">
        <f>""</f>
        <v/>
      </c>
      <c r="AI993" s="1" t="str">
        <f>""</f>
        <v/>
      </c>
      <c r="AJ993" s="1" t="str">
        <f>""</f>
        <v/>
      </c>
      <c r="AK993" s="1" t="str">
        <f>""</f>
        <v/>
      </c>
    </row>
    <row r="994" spans="1:37">
      <c r="A994" s="1">
        <v>35427</v>
      </c>
      <c r="B994" s="1">
        <v>962000442</v>
      </c>
      <c r="C994" s="1" t="str">
        <f>"تخليه اصفهان نرسيده به شهروزوان كارخانه آسفالت خاكپي"</f>
        <v>تخليه اصفهان نرسيده به شهروزوان كارخانه آسفالت خاكپي</v>
      </c>
      <c r="D994" s="1">
        <v>12820</v>
      </c>
      <c r="E994" s="1">
        <v>35427</v>
      </c>
      <c r="F994" s="1">
        <v>96</v>
      </c>
      <c r="G994" s="1">
        <v>0</v>
      </c>
      <c r="H994" s="1" t="str">
        <f>"96/09/20"</f>
        <v>96/09/20</v>
      </c>
      <c r="I994" s="1" t="str">
        <f>"كيلوگرم"</f>
        <v>كيلوگرم</v>
      </c>
      <c r="J994" s="1" t="str">
        <f>"0000000076"</f>
        <v>0000000076</v>
      </c>
      <c r="K994" s="1" t="str">
        <f>"قير 60/70 - فله"</f>
        <v>قير 60/70 - فله</v>
      </c>
      <c r="L994" s="1">
        <v>100</v>
      </c>
      <c r="M994" s="1" t="str">
        <f>"مخازن قير اصفهان"</f>
        <v>مخازن قير اصفهان</v>
      </c>
      <c r="N994" s="1">
        <v>10673</v>
      </c>
      <c r="O994" s="1">
        <v>50037764</v>
      </c>
      <c r="P994" s="1" t="str">
        <f>"  شهرداري وزوان"</f>
        <v xml:space="preserve">  شهرداري وزوان</v>
      </c>
      <c r="Q994" s="1">
        <v>20</v>
      </c>
      <c r="R994" s="1" t="str">
        <f>"فروش داخلي - سازمان شهرداري ها و دهياري هاي كشور"</f>
        <v>فروش داخلي - سازمان شهرداري ها و دهياري هاي كشور</v>
      </c>
      <c r="S994" s="1" t="str">
        <f>"قرارداد فروش"</f>
        <v>قرارداد فروش</v>
      </c>
      <c r="T994" s="1" t="str">
        <f>"ندارد"</f>
        <v>ندارد</v>
      </c>
      <c r="U994" s="1" t="str">
        <f>"تعاوني جم گستر (1001 ج 89)"</f>
        <v>تعاوني جم گستر (1001 ج 89)</v>
      </c>
      <c r="V994" s="1">
        <v>962000442</v>
      </c>
      <c r="W994" s="1">
        <v>962000442</v>
      </c>
      <c r="X994" s="1" t="str">
        <f>"1396529711"</f>
        <v>1396529711</v>
      </c>
      <c r="Y994" s="1" t="str">
        <f>"96/09/20"</f>
        <v>96/09/20</v>
      </c>
      <c r="Z994" s="1" t="str">
        <f>"37597مرحله دوم"</f>
        <v>37597مرحله دوم</v>
      </c>
      <c r="AA994" s="1" t="str">
        <f>"شهرداريها"</f>
        <v>شهرداريها</v>
      </c>
      <c r="AB994" s="1" t="str">
        <f>"96/09/05"</f>
        <v>96/09/05</v>
      </c>
      <c r="AC994" s="1" t="str">
        <f>"استان اصفهان"</f>
        <v>استان اصفهان</v>
      </c>
      <c r="AD994" s="1" t="str">
        <f>"96/09/13"</f>
        <v>96/09/13</v>
      </c>
      <c r="AE994" s="1" t="str">
        <f>"اختتام"</f>
        <v>اختتام</v>
      </c>
      <c r="AF994" s="1" t="str">
        <f>""</f>
        <v/>
      </c>
      <c r="AG994" s="1" t="str">
        <f>""</f>
        <v/>
      </c>
      <c r="AH994" s="1" t="str">
        <f>""</f>
        <v/>
      </c>
      <c r="AI994" s="1" t="str">
        <f>""</f>
        <v/>
      </c>
      <c r="AJ994" s="1" t="str">
        <f>""</f>
        <v/>
      </c>
      <c r="AK994" s="1" t="str">
        <f>""</f>
        <v/>
      </c>
    </row>
    <row r="995" spans="1:37">
      <c r="A995" s="1">
        <v>200000</v>
      </c>
      <c r="B995" s="1">
        <v>961900066</v>
      </c>
      <c r="C995" s="1" t="str">
        <f>"تخليه خراسان رضوي شهرستان نيشابوركارخانه آسفالت دل حفره"</f>
        <v>تخليه خراسان رضوي شهرستان نيشابوركارخانه آسفالت دل حفره</v>
      </c>
      <c r="D995" s="1">
        <v>8904</v>
      </c>
      <c r="E995" s="1">
        <v>200000</v>
      </c>
      <c r="F995" s="1">
        <v>96</v>
      </c>
      <c r="G995" s="1">
        <v>0</v>
      </c>
      <c r="H995" s="1" t="str">
        <f>"96/04/04"</f>
        <v>96/04/04</v>
      </c>
      <c r="I995" s="1" t="str">
        <f>"كيلوگرم"</f>
        <v>كيلوگرم</v>
      </c>
      <c r="J995" s="1" t="str">
        <f>"0000000091"</f>
        <v>0000000091</v>
      </c>
      <c r="K995" s="1" t="str">
        <f>"قير  PG64-22"</f>
        <v>قير  PG64-22</v>
      </c>
      <c r="L995" s="1">
        <v>100</v>
      </c>
      <c r="M995" s="1" t="str">
        <f>"مخازن قير اصفهان"</f>
        <v>مخازن قير اصفهان</v>
      </c>
      <c r="N995" s="1">
        <v>11305</v>
      </c>
      <c r="O995" s="1">
        <v>50035045</v>
      </c>
      <c r="P995" s="1" t="str">
        <f>"  اداره كل راهداري وحمل ونقل جاده اي خراسان رضوي"</f>
        <v xml:space="preserve">  اداره كل راهداري وحمل ونقل جاده اي خراسان رضوي</v>
      </c>
      <c r="Q995" s="1">
        <v>19</v>
      </c>
      <c r="R99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95" s="1" t="str">
        <f>"قرارداد فروش"</f>
        <v>قرارداد فروش</v>
      </c>
      <c r="T995" s="1" t="str">
        <f>"ندارد"</f>
        <v>ندارد</v>
      </c>
      <c r="U995" s="1" t="str">
        <f>"نظام دوست امين (1911102)"</f>
        <v>نظام دوست امين (1911102)</v>
      </c>
      <c r="V995" s="1">
        <v>961900066</v>
      </c>
      <c r="W995" s="1">
        <v>961900066</v>
      </c>
      <c r="X995" s="1" t="str">
        <f>"1396490815"</f>
        <v>1396490815</v>
      </c>
      <c r="Y995" s="1" t="str">
        <f>"96/04/04"</f>
        <v>96/04/04</v>
      </c>
      <c r="Z995" s="1" t="str">
        <f>"13530/710"</f>
        <v>13530/710</v>
      </c>
      <c r="AA995" s="1" t="str">
        <f>"سازمان راهداري وحمل نقل جاده اي"</f>
        <v>سازمان راهداري وحمل نقل جاده اي</v>
      </c>
      <c r="AB995" s="1" t="str">
        <f>"96/03/24"</f>
        <v>96/03/24</v>
      </c>
      <c r="AC995" s="1" t="str">
        <f>"خراسان رضوي"</f>
        <v>خراسان رضوي</v>
      </c>
      <c r="AD995" s="1" t="str">
        <f>"96/04/04"</f>
        <v>96/04/04</v>
      </c>
      <c r="AE995" s="1" t="str">
        <f>"اختتام"</f>
        <v>اختتام</v>
      </c>
      <c r="AF995" s="1" t="str">
        <f>""</f>
        <v/>
      </c>
      <c r="AG995" s="1" t="str">
        <f>""</f>
        <v/>
      </c>
      <c r="AH995" s="1" t="str">
        <f>""</f>
        <v/>
      </c>
      <c r="AI995" s="1" t="str">
        <f>""</f>
        <v/>
      </c>
      <c r="AJ995" s="1" t="str">
        <f>""</f>
        <v/>
      </c>
      <c r="AK995" s="1" t="str">
        <f>""</f>
        <v/>
      </c>
    </row>
    <row r="996" spans="1:37">
      <c r="A996" s="1">
        <v>2000000</v>
      </c>
      <c r="B996" s="1">
        <v>961900034</v>
      </c>
      <c r="C996" s="1" t="str">
        <f>"تخليه خراسان جنوبي كارخانه آسفالت اداره كل راهداري وحمل ونقل جاده اي خراسان جنوبي"</f>
        <v>تخليه خراسان جنوبي كارخانه آسفالت اداره كل راهداري وحمل ونقل جاده اي خراسان جنوبي</v>
      </c>
      <c r="D996" s="1">
        <v>8854</v>
      </c>
      <c r="E996" s="1">
        <v>1997740</v>
      </c>
      <c r="F996" s="1">
        <v>96</v>
      </c>
      <c r="G996" s="1">
        <v>2260</v>
      </c>
      <c r="H996" s="1" t="str">
        <f>"96/01/16"</f>
        <v>96/01/16</v>
      </c>
      <c r="I996" s="1" t="str">
        <f>"كيلوگرم"</f>
        <v>كيلوگرم</v>
      </c>
      <c r="J996" s="1" t="str">
        <f>"0000000091"</f>
        <v>0000000091</v>
      </c>
      <c r="K996" s="1" t="str">
        <f>"قير  PG64-22"</f>
        <v>قير  PG64-22</v>
      </c>
      <c r="L996" s="1">
        <v>100</v>
      </c>
      <c r="M996" s="1" t="str">
        <f>"مخازن قير اصفهان"</f>
        <v>مخازن قير اصفهان</v>
      </c>
      <c r="N996" s="1">
        <v>11328</v>
      </c>
      <c r="O996" s="1">
        <v>50034397</v>
      </c>
      <c r="P996" s="1" t="str">
        <f>"  اداره كل راهداري وحمل ونقل جاده اي خراسان جنوبي"</f>
        <v xml:space="preserve">  اداره كل راهداري وحمل ونقل جاده اي خراسان جنوبي</v>
      </c>
      <c r="Q996" s="1">
        <v>19</v>
      </c>
      <c r="R99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96" s="1" t="str">
        <f>"قرارداد فروش"</f>
        <v>قرارداد فروش</v>
      </c>
      <c r="T996" s="1" t="str">
        <f>"ندارد"</f>
        <v>ندارد</v>
      </c>
      <c r="U996" s="1" t="str">
        <f>"بابامحمدي عنايت اله(4844000)"</f>
        <v>بابامحمدي عنايت اله(4844000)</v>
      </c>
      <c r="V996" s="1">
        <v>961900034</v>
      </c>
      <c r="W996" s="1">
        <v>961900034</v>
      </c>
      <c r="X996" s="1" t="str">
        <f>"1395471037"</f>
        <v>1395471037</v>
      </c>
      <c r="Y996" s="1" t="str">
        <f>"96/01/16"</f>
        <v>96/01/16</v>
      </c>
      <c r="Z996" s="1" t="str">
        <f>"65719/710"</f>
        <v>65719/710</v>
      </c>
      <c r="AA996" s="1" t="str">
        <f>"سازمان راهداري وحمل نقل جاده اي"</f>
        <v>سازمان راهداري وحمل نقل جاده اي</v>
      </c>
      <c r="AB996" s="1" t="str">
        <f>"95/12/22"</f>
        <v>95/12/22</v>
      </c>
      <c r="AC996" s="1" t="str">
        <f>"خراسان جنوبي"</f>
        <v>خراسان جنوبي</v>
      </c>
      <c r="AD996" s="1" t="str">
        <f>"95/12/25"</f>
        <v>95/12/25</v>
      </c>
      <c r="AE996" s="1" t="str">
        <f>"اختتام"</f>
        <v>اختتام</v>
      </c>
      <c r="AF996" s="1" t="str">
        <f>""</f>
        <v/>
      </c>
      <c r="AG996" s="1" t="str">
        <f>""</f>
        <v/>
      </c>
      <c r="AH996" s="1" t="str">
        <f>""</f>
        <v/>
      </c>
      <c r="AI996" s="1" t="str">
        <f>""</f>
        <v/>
      </c>
      <c r="AJ996" s="1" t="str">
        <f>""</f>
        <v/>
      </c>
      <c r="AK996" s="1" t="str">
        <f>""</f>
        <v/>
      </c>
    </row>
    <row r="997" spans="1:37">
      <c r="A997" s="1">
        <v>320000</v>
      </c>
      <c r="B997" s="1">
        <v>961900135</v>
      </c>
      <c r="C997" s="1" t="str">
        <f>"تخليه - کهگيلويه و بويراحمد-ياسوج-کارخانه آسفالت دارشاهي"</f>
        <v>تخليه - کهگيلويه و بويراحمد-ياسوج-کارخانه آسفالت دارشاهي</v>
      </c>
      <c r="D997" s="1">
        <v>9716</v>
      </c>
      <c r="E997" s="1">
        <v>316520</v>
      </c>
      <c r="F997" s="1">
        <v>96</v>
      </c>
      <c r="G997" s="1">
        <v>3480</v>
      </c>
      <c r="H997" s="1" t="str">
        <f>"96/06/06"</f>
        <v>96/06/06</v>
      </c>
      <c r="I997" s="1" t="str">
        <f>"كيلوگرم"</f>
        <v>كيلوگرم</v>
      </c>
      <c r="J997" s="1" t="str">
        <f>"0000000091"</f>
        <v>0000000091</v>
      </c>
      <c r="K997" s="1" t="str">
        <f>"قير  PG64-22"</f>
        <v>قير  PG64-22</v>
      </c>
      <c r="L997" s="1">
        <v>100</v>
      </c>
      <c r="M997" s="1" t="str">
        <f>"مخازن قير اصفهان"</f>
        <v>مخازن قير اصفهان</v>
      </c>
      <c r="N997" s="1">
        <v>11397</v>
      </c>
      <c r="O997" s="1">
        <v>50035830</v>
      </c>
      <c r="P997" s="1" t="str">
        <f>"  استحکام برج اهرام"</f>
        <v xml:space="preserve">  استحکام برج اهرام</v>
      </c>
      <c r="Q997" s="1">
        <v>19</v>
      </c>
      <c r="R99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97" s="1" t="str">
        <f>"قرارداد فروش"</f>
        <v>قرارداد فروش</v>
      </c>
      <c r="T997" s="1" t="str">
        <f>"ندارد"</f>
        <v>ندارد</v>
      </c>
      <c r="U997" s="1" t="str">
        <f>"غلام نجفي سيامك‌‌‌‌‌‌(1881082)"</f>
        <v>غلام نجفي سيامك‌‌‌‌‌‌(1881082)</v>
      </c>
      <c r="V997" s="1">
        <v>961900135</v>
      </c>
      <c r="W997" s="1">
        <v>961900135</v>
      </c>
      <c r="X997" s="1" t="str">
        <f>"1396508162"</f>
        <v>1396508162</v>
      </c>
      <c r="Y997" s="1" t="str">
        <f>"96/06/06"</f>
        <v>96/06/06</v>
      </c>
      <c r="Z997" s="1" t="str">
        <f>"26239/710"</f>
        <v>26239/710</v>
      </c>
      <c r="AA997" s="1" t="str">
        <f>"سازمان راهداري وحمل نقل جاده اي"</f>
        <v>سازمان راهداري وحمل نقل جاده اي</v>
      </c>
      <c r="AB997" s="1" t="str">
        <f>"96/05/30"</f>
        <v>96/05/30</v>
      </c>
      <c r="AC997" s="1" t="str">
        <f>"كهكيلويه و بوير احمد"</f>
        <v>كهكيلويه و بوير احمد</v>
      </c>
      <c r="AD997" s="1" t="str">
        <f>"96/06/05"</f>
        <v>96/06/05</v>
      </c>
      <c r="AE997" s="1" t="str">
        <f>"اختتام"</f>
        <v>اختتام</v>
      </c>
      <c r="AF997" s="1" t="str">
        <f>""</f>
        <v/>
      </c>
      <c r="AG997" s="1" t="str">
        <f>""</f>
        <v/>
      </c>
      <c r="AH997" s="1" t="str">
        <f>""</f>
        <v/>
      </c>
      <c r="AI997" s="1" t="str">
        <f>""</f>
        <v/>
      </c>
      <c r="AJ997" s="1" t="str">
        <f>""</f>
        <v/>
      </c>
      <c r="AK997" s="1" t="str">
        <f>""</f>
        <v/>
      </c>
    </row>
    <row r="998" spans="1:37">
      <c r="A998" s="1">
        <v>500000</v>
      </c>
      <c r="B998" s="1">
        <v>961900146</v>
      </c>
      <c r="C998" s="1" t="str">
        <f>"تخليه خراسان جنوبي بيرجندكيلومتر15جاده بيرجند-خوسف جنب كويرتايرابتداي جاده كات كارخانه آسفالت مسيرياب بيرجند"</f>
        <v>تخليه خراسان جنوبي بيرجندكيلومتر15جاده بيرجند-خوسف جنب كويرتايرابتداي جاده كات كارخانه آسفالت مسيرياب بيرجند</v>
      </c>
      <c r="D998" s="1">
        <v>9363</v>
      </c>
      <c r="E998" s="1">
        <v>499340</v>
      </c>
      <c r="F998" s="1">
        <v>96</v>
      </c>
      <c r="G998" s="1">
        <v>660</v>
      </c>
      <c r="H998" s="1" t="str">
        <f>"96/06/25"</f>
        <v>96/06/25</v>
      </c>
      <c r="I998" s="1" t="str">
        <f>"كيلوگرم"</f>
        <v>كيلوگرم</v>
      </c>
      <c r="J998" s="1" t="str">
        <f>"0000000091"</f>
        <v>0000000091</v>
      </c>
      <c r="K998" s="1" t="str">
        <f>"قير  PG64-22"</f>
        <v>قير  PG64-22</v>
      </c>
      <c r="L998" s="1">
        <v>100</v>
      </c>
      <c r="M998" s="1" t="str">
        <f>"مخازن قير اصفهان"</f>
        <v>مخازن قير اصفهان</v>
      </c>
      <c r="N998" s="1">
        <v>11109</v>
      </c>
      <c r="O998" s="1">
        <v>50036056</v>
      </c>
      <c r="P998" s="1" t="str">
        <f>"  راهسازي وساختمان مسيرياب بيرجند"</f>
        <v xml:space="preserve">  راهسازي وساختمان مسيرياب بيرجند</v>
      </c>
      <c r="Q998" s="1">
        <v>19</v>
      </c>
      <c r="R99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998" s="1" t="str">
        <f>"قرارداد فروش"</f>
        <v>قرارداد فروش</v>
      </c>
      <c r="T998" s="1" t="str">
        <f>"ندارد"</f>
        <v>ندارد</v>
      </c>
      <c r="U998" s="1" t="str">
        <f>"كاردان اسپادان راه مصطفي  (1911100)"</f>
        <v>كاردان اسپادان راه مصطفي  (1911100)</v>
      </c>
      <c r="V998" s="1">
        <v>961900146</v>
      </c>
      <c r="W998" s="1">
        <v>961900146</v>
      </c>
      <c r="X998" s="1" t="str">
        <f>"1396512670"</f>
        <v>1396512670</v>
      </c>
      <c r="Y998" s="1" t="str">
        <f>"96/06/25"</f>
        <v>96/06/25</v>
      </c>
      <c r="Z998" s="1" t="str">
        <f>"30713/710"</f>
        <v>30713/710</v>
      </c>
      <c r="AA998" s="1" t="str">
        <f>"سازمان راهداري وحمل نقل جاده اي"</f>
        <v>سازمان راهداري وحمل نقل جاده اي</v>
      </c>
      <c r="AB998" s="1" t="str">
        <f>"96/06/22"</f>
        <v>96/06/22</v>
      </c>
      <c r="AC998" s="1" t="str">
        <f>"خراسان جنوبي"</f>
        <v>خراسان جنوبي</v>
      </c>
      <c r="AD998" s="1" t="str">
        <f>"96/06/25"</f>
        <v>96/06/25</v>
      </c>
      <c r="AE998" s="1" t="str">
        <f>"اختتام"</f>
        <v>اختتام</v>
      </c>
      <c r="AF998" s="1" t="str">
        <f>""</f>
        <v/>
      </c>
      <c r="AG998" s="1" t="str">
        <f>""</f>
        <v/>
      </c>
      <c r="AH998" s="1" t="str">
        <f>""</f>
        <v/>
      </c>
      <c r="AI998" s="1" t="str">
        <f>""</f>
        <v/>
      </c>
      <c r="AJ998" s="1" t="str">
        <f>""</f>
        <v/>
      </c>
      <c r="AK998" s="1" t="str">
        <f>""</f>
        <v/>
      </c>
    </row>
    <row r="999" spans="1:37">
      <c r="A999" s="1">
        <v>37551</v>
      </c>
      <c r="B999" s="1">
        <v>962000482</v>
      </c>
      <c r="C999" s="1" t="str">
        <f>"تخليه -اصفهان -كيلومتر20جاده علويجه -شركت اصفهان مترو"</f>
        <v>تخليه -اصفهان -كيلومتر20جاده علويجه -شركت اصفهان مترو</v>
      </c>
      <c r="D999" s="1">
        <v>12820</v>
      </c>
      <c r="E999" s="1">
        <v>37551</v>
      </c>
      <c r="F999" s="1">
        <v>96</v>
      </c>
      <c r="G999" s="1">
        <v>0</v>
      </c>
      <c r="H999" s="1" t="str">
        <f>"96/09/20"</f>
        <v>96/09/20</v>
      </c>
      <c r="I999" s="1" t="str">
        <f>"كيلوگرم"</f>
        <v>كيلوگرم</v>
      </c>
      <c r="J999" s="1" t="str">
        <f>"0000000076"</f>
        <v>0000000076</v>
      </c>
      <c r="K999" s="1" t="str">
        <f>"قير 60/70 - فله"</f>
        <v>قير 60/70 - فله</v>
      </c>
      <c r="L999" s="1">
        <v>100</v>
      </c>
      <c r="M999" s="1" t="str">
        <f>"مخازن قير اصفهان"</f>
        <v>مخازن قير اصفهان</v>
      </c>
      <c r="N999" s="1">
        <v>10677</v>
      </c>
      <c r="O999" s="1">
        <v>50037804</v>
      </c>
      <c r="P999" s="1" t="str">
        <f>"  شهرداري علويجه"</f>
        <v xml:space="preserve">  شهرداري علويجه</v>
      </c>
      <c r="Q999" s="1">
        <v>20</v>
      </c>
      <c r="R999" s="1" t="str">
        <f>"فروش داخلي - سازمان شهرداري ها و دهياري هاي كشور"</f>
        <v>فروش داخلي - سازمان شهرداري ها و دهياري هاي كشور</v>
      </c>
      <c r="S999" s="1" t="str">
        <f>"قرارداد فروش"</f>
        <v>قرارداد فروش</v>
      </c>
      <c r="T999" s="1" t="str">
        <f>"ندارد"</f>
        <v>ندارد</v>
      </c>
      <c r="U999" s="1" t="str">
        <f>"تعاوني جم گستر (1001 ج 89)"</f>
        <v>تعاوني جم گستر (1001 ج 89)</v>
      </c>
      <c r="V999" s="1">
        <v>962000482</v>
      </c>
      <c r="W999" s="1">
        <v>962000482</v>
      </c>
      <c r="X999" s="1" t="str">
        <f>"1396529711"</f>
        <v>1396529711</v>
      </c>
      <c r="Y999" s="1" t="str">
        <f>"96/09/20"</f>
        <v>96/09/20</v>
      </c>
      <c r="Z999" s="1" t="str">
        <f>"37185مرحله دوم"</f>
        <v>37185مرحله دوم</v>
      </c>
      <c r="AA999" s="1" t="str">
        <f>"شهرداريها"</f>
        <v>شهرداريها</v>
      </c>
      <c r="AB999" s="1" t="str">
        <f>"96/09/05"</f>
        <v>96/09/05</v>
      </c>
      <c r="AC999" s="1" t="str">
        <f>"استان اصفهان"</f>
        <v>استان اصفهان</v>
      </c>
      <c r="AD999" s="1" t="str">
        <f>"96/09/13"</f>
        <v>96/09/13</v>
      </c>
      <c r="AE999" s="1" t="str">
        <f>"تاييدشده"</f>
        <v>تاييدشده</v>
      </c>
      <c r="AF999" s="1" t="str">
        <f>""</f>
        <v/>
      </c>
      <c r="AG999" s="1" t="str">
        <f>""</f>
        <v/>
      </c>
      <c r="AH999" s="1" t="str">
        <f>""</f>
        <v/>
      </c>
      <c r="AI999" s="1" t="str">
        <f>""</f>
        <v/>
      </c>
      <c r="AJ999" s="1" t="str">
        <f>""</f>
        <v/>
      </c>
      <c r="AK999" s="1" t="str">
        <f>""</f>
        <v/>
      </c>
    </row>
    <row r="1000" spans="1:37">
      <c r="A1000" s="1">
        <v>50000</v>
      </c>
      <c r="B1000" s="1">
        <v>961100075</v>
      </c>
      <c r="C1000" s="1" t="str">
        <f>"تخليه-شهرستان آباده-روبروي کارخانه سيمان"</f>
        <v>تخليه-شهرستان آباده-روبروي کارخانه سيمان</v>
      </c>
      <c r="D1000" s="1">
        <v>9113</v>
      </c>
      <c r="E1000" s="1">
        <v>50000</v>
      </c>
      <c r="F1000" s="1">
        <v>96</v>
      </c>
      <c r="G1000" s="1">
        <v>0</v>
      </c>
      <c r="H1000" s="1" t="str">
        <f>"96/07/18"</f>
        <v>96/07/18</v>
      </c>
      <c r="I1000" s="1" t="str">
        <f>"كيلوگرم"</f>
        <v>كيلوگرم</v>
      </c>
      <c r="J1000" s="1" t="str">
        <f>"0000000076"</f>
        <v>0000000076</v>
      </c>
      <c r="K1000" s="1" t="str">
        <f>"قير 60/70 - فله"</f>
        <v>قير 60/70 - فله</v>
      </c>
      <c r="L1000" s="1">
        <v>100</v>
      </c>
      <c r="M1000" s="1" t="str">
        <f>"مخازن قير اصفهان"</f>
        <v>مخازن قير اصفهان</v>
      </c>
      <c r="N1000" s="1">
        <v>10683</v>
      </c>
      <c r="O1000" s="1">
        <v>50036661</v>
      </c>
      <c r="P1000" s="1" t="str">
        <f>"  عايق اندود شرق سيصدو دو آسيا"</f>
        <v xml:space="preserve">  عايق اندود شرق سيصدو دو آسيا</v>
      </c>
      <c r="Q1000" s="1">
        <v>11</v>
      </c>
      <c r="R1000" s="1" t="str">
        <f>"فروش داخلي تهران - بورس"</f>
        <v>فروش داخلي تهران - بورس</v>
      </c>
      <c r="S1000" s="1" t="str">
        <f>"قرارداد فروش"</f>
        <v>قرارداد فروش</v>
      </c>
      <c r="T1000" s="1" t="str">
        <f>"ندارد"</f>
        <v>ندارد</v>
      </c>
      <c r="U1000" s="1" t="str">
        <f>"تاج سعيد هوشنگ (1031ج 89)"</f>
        <v>تاج سعيد هوشنگ (1031ج 89)</v>
      </c>
      <c r="V1000" s="1">
        <v>961100075</v>
      </c>
      <c r="W1000" s="1">
        <v>961100075</v>
      </c>
      <c r="X1000" s="1" t="str">
        <f>"1396516791"</f>
        <v>1396516791</v>
      </c>
      <c r="Y1000" s="1" t="str">
        <f>"96/07/17"</f>
        <v>96/07/17</v>
      </c>
      <c r="Z1000" s="1" t="str">
        <f>"96-36339"</f>
        <v>96-36339</v>
      </c>
      <c r="AA1000" s="1" t="str">
        <f>"راه سازي"</f>
        <v>راه سازي</v>
      </c>
      <c r="AB1000" s="1" t="str">
        <f>"96/07/17"</f>
        <v>96/07/17</v>
      </c>
      <c r="AC1000" s="1" t="str">
        <f>"استان فارس"</f>
        <v>استان فارس</v>
      </c>
      <c r="AD1000" s="1" t="str">
        <f>"96/07/12"</f>
        <v>96/07/12</v>
      </c>
      <c r="AE1000" s="1" t="str">
        <f>"اختتام"</f>
        <v>اختتام</v>
      </c>
      <c r="AF1000" s="1" t="str">
        <f>""</f>
        <v/>
      </c>
      <c r="AG1000" s="1" t="str">
        <f>""</f>
        <v/>
      </c>
      <c r="AH1000" s="1" t="str">
        <f>""</f>
        <v/>
      </c>
      <c r="AI1000" s="1" t="str">
        <f>""</f>
        <v/>
      </c>
      <c r="AJ1000" s="1" t="str">
        <f>""</f>
        <v/>
      </c>
      <c r="AK1000" s="1" t="str">
        <f>""</f>
        <v/>
      </c>
    </row>
    <row r="1001" spans="1:37">
      <c r="A1001" s="1">
        <v>455000</v>
      </c>
      <c r="B1001" s="1">
        <v>961700211</v>
      </c>
      <c r="C1001" s="1" t="str">
        <f>"تخليه -لرستان -فيروزآباد-كارخانه آسفالت شركت يكتابتن پرشين"</f>
        <v>تخليه -لرستان -فيروزآباد-كارخانه آسفالت شركت يكتابتن پرشين</v>
      </c>
      <c r="D1001" s="1">
        <v>16350</v>
      </c>
      <c r="E1001" s="1">
        <v>454100</v>
      </c>
      <c r="F1001" s="1">
        <v>96</v>
      </c>
      <c r="G1001" s="1">
        <v>900</v>
      </c>
      <c r="H1001" s="1" t="str">
        <f>"96/12/24"</f>
        <v>96/12/24</v>
      </c>
      <c r="I1001" s="1" t="str">
        <f>"كيلوگرم"</f>
        <v>كيلوگرم</v>
      </c>
      <c r="J1001" s="1" t="str">
        <f>"0000000092"</f>
        <v>0000000092</v>
      </c>
      <c r="K1001" s="1" t="str">
        <f>"قير  PG64-16"</f>
        <v>قير  PG64-16</v>
      </c>
      <c r="L1001" s="1">
        <v>100</v>
      </c>
      <c r="M1001" s="1" t="str">
        <f>"مخازن قير اصفهان"</f>
        <v>مخازن قير اصفهان</v>
      </c>
      <c r="N1001" s="1">
        <v>10506</v>
      </c>
      <c r="O1001" s="1">
        <v>50038986</v>
      </c>
      <c r="P1001" s="1" t="str">
        <f>"  يكتابتن پرشين"</f>
        <v xml:space="preserve">  يكتابتن پرشين</v>
      </c>
      <c r="Q1001" s="1">
        <v>17</v>
      </c>
      <c r="R1001" s="1" t="str">
        <f>"فروش داخلي تهران - وزارت راه - راه روستايي - روکش"</f>
        <v>فروش داخلي تهران - وزارت راه - راه روستايي - روکش</v>
      </c>
      <c r="S1001" s="1" t="str">
        <f>"قرارداد فروش"</f>
        <v>قرارداد فروش</v>
      </c>
      <c r="T1001" s="1" t="str">
        <f>"ندارد"</f>
        <v>ندارد</v>
      </c>
      <c r="U1001" s="1" t="str">
        <f>"عظيمي محمد(2842015)"</f>
        <v>عظيمي محمد(2842015)</v>
      </c>
      <c r="V1001" s="1">
        <v>961700211</v>
      </c>
      <c r="W1001" s="1">
        <v>961700211</v>
      </c>
      <c r="X1001" s="1" t="str">
        <f>"1396554104"</f>
        <v>1396554104</v>
      </c>
      <c r="Y1001" s="1" t="str">
        <f>"96/12/24"</f>
        <v>96/12/24</v>
      </c>
      <c r="Z1001" s="1" t="str">
        <f>"48499/710"</f>
        <v>48499/710</v>
      </c>
      <c r="AA1001" s="1" t="str">
        <f>"راه روستائي -روكش"</f>
        <v>راه روستائي -روكش</v>
      </c>
      <c r="AB1001" s="1" t="str">
        <f>"96/09/21"</f>
        <v>96/09/21</v>
      </c>
      <c r="AC1001" s="1" t="str">
        <f>"لرستان"</f>
        <v>لرستان</v>
      </c>
      <c r="AD1001" s="1" t="str">
        <f>"96/12/21"</f>
        <v>96/12/21</v>
      </c>
      <c r="AE1001" s="1" t="str">
        <f>"اختتام"</f>
        <v>اختتام</v>
      </c>
      <c r="AF1001" s="1" t="str">
        <f>""</f>
        <v/>
      </c>
      <c r="AG1001" s="1" t="str">
        <f>""</f>
        <v/>
      </c>
      <c r="AH1001" s="1" t="str">
        <f>""</f>
        <v/>
      </c>
      <c r="AI1001" s="1" t="str">
        <f>""</f>
        <v/>
      </c>
      <c r="AJ1001" s="1" t="str">
        <f>""</f>
        <v/>
      </c>
      <c r="AK1001" s="1" t="str">
        <f>""</f>
        <v/>
      </c>
    </row>
    <row r="1002" spans="1:37">
      <c r="A1002" s="1">
        <v>50000</v>
      </c>
      <c r="B1002" s="1">
        <v>961100117</v>
      </c>
      <c r="C1002" s="1" t="str">
        <f>"تخليه-شهرستان آباده-روبروي کارخانه سيمان"</f>
        <v>تخليه-شهرستان آباده-روبروي کارخانه سيمان</v>
      </c>
      <c r="D1002" s="1">
        <v>13200</v>
      </c>
      <c r="E1002" s="1">
        <v>47860</v>
      </c>
      <c r="F1002" s="1">
        <v>96</v>
      </c>
      <c r="G1002" s="1">
        <v>2140</v>
      </c>
      <c r="H1002" s="1" t="str">
        <f>"96/11/15"</f>
        <v>96/11/15</v>
      </c>
      <c r="I1002" s="1" t="str">
        <f>"كيلوگرم"</f>
        <v>كيلوگرم</v>
      </c>
      <c r="J1002" s="1" t="str">
        <f>"0000000076"</f>
        <v>0000000076</v>
      </c>
      <c r="K1002" s="1" t="str">
        <f>"قير 60/70 - فله"</f>
        <v>قير 60/70 - فله</v>
      </c>
      <c r="L1002" s="1">
        <v>100</v>
      </c>
      <c r="M1002" s="1" t="str">
        <f>"مخازن قير اصفهان"</f>
        <v>مخازن قير اصفهان</v>
      </c>
      <c r="N1002" s="1">
        <v>10683</v>
      </c>
      <c r="O1002" s="1">
        <v>50038385</v>
      </c>
      <c r="P1002" s="1" t="str">
        <f>"  عايق اندود شرق سيصدو دو آسيا"</f>
        <v xml:space="preserve">  عايق اندود شرق سيصدو دو آسيا</v>
      </c>
      <c r="Q1002" s="1">
        <v>11</v>
      </c>
      <c r="R1002" s="1" t="str">
        <f>"فروش داخلي تهران - بورس"</f>
        <v>فروش داخلي تهران - بورس</v>
      </c>
      <c r="S1002" s="1" t="str">
        <f>"قرارداد فروش"</f>
        <v>قرارداد فروش</v>
      </c>
      <c r="T1002" s="1" t="str">
        <f>"ندارد"</f>
        <v>ندارد</v>
      </c>
      <c r="U1002" s="1" t="str">
        <f>"تاج سعيد هوشنگ (1031ج 89)"</f>
        <v>تاج سعيد هوشنگ (1031ج 89)</v>
      </c>
      <c r="V1002" s="1">
        <v>961100117</v>
      </c>
      <c r="W1002" s="1">
        <v>961100117</v>
      </c>
      <c r="X1002" s="1" t="str">
        <f>"1396543810"</f>
        <v>1396543810</v>
      </c>
      <c r="Y1002" s="1" t="str">
        <f>"96/11/14"</f>
        <v>96/11/14</v>
      </c>
      <c r="Z1002" s="1" t="str">
        <f>"96-37121"</f>
        <v>96-37121</v>
      </c>
      <c r="AA1002" s="1" t="str">
        <f>"راه سازي"</f>
        <v>راه سازي</v>
      </c>
      <c r="AB1002" s="1" t="str">
        <f>"96/11/14"</f>
        <v>96/11/14</v>
      </c>
      <c r="AC1002" s="1" t="str">
        <f>"استان فارس"</f>
        <v>استان فارس</v>
      </c>
      <c r="AD1002" s="1" t="str">
        <f>"96/11/09"</f>
        <v>96/11/09</v>
      </c>
      <c r="AE1002" s="1" t="str">
        <f>"اختتام"</f>
        <v>اختتام</v>
      </c>
      <c r="AF1002" s="1" t="str">
        <f>""</f>
        <v/>
      </c>
      <c r="AG1002" s="1" t="str">
        <f>""</f>
        <v/>
      </c>
      <c r="AH1002" s="1" t="str">
        <f>""</f>
        <v/>
      </c>
      <c r="AI1002" s="1" t="str">
        <f>""</f>
        <v/>
      </c>
      <c r="AJ1002" s="1" t="str">
        <f>""</f>
        <v/>
      </c>
      <c r="AK1002" s="1" t="str">
        <f>""</f>
        <v/>
      </c>
    </row>
    <row r="1003" spans="1:37">
      <c r="A1003" s="1">
        <v>102038</v>
      </c>
      <c r="B1003" s="1">
        <v>962000025</v>
      </c>
      <c r="C1003" s="1" t="str">
        <f>"تخليه اصفهان اتوبان اصفهان تهران جنب پليس راه شاهين شهركاشان جاده تخليه نخاله هاي سنگبري هاشركت زرين سپاهان"</f>
        <v>تخليه اصفهان اتوبان اصفهان تهران جنب پليس راه شاهين شهركاشان جاده تخليه نخاله هاي سنگبري هاشركت زرين سپاهان</v>
      </c>
      <c r="D1003" s="1">
        <v>9113</v>
      </c>
      <c r="E1003" s="1">
        <v>101600</v>
      </c>
      <c r="F1003" s="1">
        <v>96</v>
      </c>
      <c r="G1003" s="1">
        <v>438</v>
      </c>
      <c r="H1003" s="1" t="str">
        <f>"96/07/03"</f>
        <v>96/07/03</v>
      </c>
      <c r="I1003" s="1" t="str">
        <f>"كيلوگرم"</f>
        <v>كيلوگرم</v>
      </c>
      <c r="J1003" s="1" t="str">
        <f>"0000000076"</f>
        <v>0000000076</v>
      </c>
      <c r="K1003" s="1" t="str">
        <f>"قير 60/70 - فله"</f>
        <v>قير 60/70 - فله</v>
      </c>
      <c r="L1003" s="1">
        <v>100</v>
      </c>
      <c r="M1003" s="1" t="str">
        <f>"مخازن قير اصفهان"</f>
        <v>مخازن قير اصفهان</v>
      </c>
      <c r="N1003" s="1">
        <v>10695</v>
      </c>
      <c r="O1003" s="1">
        <v>50036166</v>
      </c>
      <c r="P1003" s="1" t="str">
        <f>"  شهرداري جوشقان قالي"</f>
        <v xml:space="preserve">  شهرداري جوشقان قالي</v>
      </c>
      <c r="Q1003" s="1">
        <v>20</v>
      </c>
      <c r="R1003" s="1" t="str">
        <f>"فروش داخلي - سازمان شهرداري ها و دهياري هاي كشور"</f>
        <v>فروش داخلي - سازمان شهرداري ها و دهياري هاي كشور</v>
      </c>
      <c r="S1003" s="1" t="str">
        <f>"قرارداد فروش"</f>
        <v>قرارداد فروش</v>
      </c>
      <c r="T1003" s="1" t="str">
        <f>"ندارد"</f>
        <v>ندارد</v>
      </c>
      <c r="U1003" s="1" t="str">
        <f>"تعاوني جم گستر (1001 ج 89)"</f>
        <v>تعاوني جم گستر (1001 ج 89)</v>
      </c>
      <c r="V1003" s="1">
        <v>962000025</v>
      </c>
      <c r="W1003" s="1">
        <v>962000025</v>
      </c>
      <c r="X1003" s="1" t="str">
        <f>"1396514467"</f>
        <v>1396514467</v>
      </c>
      <c r="Y1003" s="1" t="str">
        <f>"96/07/03"</f>
        <v>96/07/03</v>
      </c>
      <c r="Z1003" s="1" t="str">
        <f>"26861مرحله اول"</f>
        <v>26861مرحله اول</v>
      </c>
      <c r="AA1003" s="1" t="str">
        <f>"شهرداريها"</f>
        <v>شهرداريها</v>
      </c>
      <c r="AB1003" s="1" t="str">
        <f>"96/06/29"</f>
        <v>96/06/29</v>
      </c>
      <c r="AC1003" s="1" t="str">
        <f>"استان اصفهان"</f>
        <v>استان اصفهان</v>
      </c>
      <c r="AD1003" s="1" t="str">
        <f>"96/07/03"</f>
        <v>96/07/03</v>
      </c>
      <c r="AE1003" s="1" t="str">
        <f>"تاييدشده"</f>
        <v>تاييدشده</v>
      </c>
      <c r="AF1003" s="1" t="str">
        <f>""</f>
        <v/>
      </c>
      <c r="AG1003" s="1" t="str">
        <f>""</f>
        <v/>
      </c>
      <c r="AH1003" s="1" t="str">
        <f>""</f>
        <v/>
      </c>
      <c r="AI1003" s="1" t="str">
        <f>""</f>
        <v/>
      </c>
      <c r="AJ1003" s="1" t="str">
        <f>""</f>
        <v/>
      </c>
      <c r="AK1003" s="1" t="str">
        <f>""</f>
        <v/>
      </c>
    </row>
    <row r="1004" spans="1:37">
      <c r="A1004" s="1">
        <v>107511</v>
      </c>
      <c r="B1004" s="1">
        <v>962000097</v>
      </c>
      <c r="C1004" s="1" t="str">
        <f>"تخليه اصفهان كيلومتر16محورنيك آبادحسن آبادكارخانه آسفالت گل راه نقش جهان"</f>
        <v>تخليه اصفهان كيلومتر16محورنيك آبادحسن آبادكارخانه آسفالت گل راه نقش جهان</v>
      </c>
      <c r="D1004" s="1">
        <v>9113</v>
      </c>
      <c r="E1004" s="1">
        <v>107511</v>
      </c>
      <c r="F1004" s="1">
        <v>96</v>
      </c>
      <c r="G1004" s="1">
        <v>0</v>
      </c>
      <c r="H1004" s="1" t="str">
        <f>"96/07/03"</f>
        <v>96/07/03</v>
      </c>
      <c r="I1004" s="1" t="str">
        <f>"كيلوگرم"</f>
        <v>كيلوگرم</v>
      </c>
      <c r="J1004" s="1" t="str">
        <f>"0000000076"</f>
        <v>0000000076</v>
      </c>
      <c r="K1004" s="1" t="str">
        <f>"قير 60/70 - فله"</f>
        <v>قير 60/70 - فله</v>
      </c>
      <c r="L1004" s="1">
        <v>100</v>
      </c>
      <c r="M1004" s="1" t="str">
        <f>"مخازن قير اصفهان"</f>
        <v>مخازن قير اصفهان</v>
      </c>
      <c r="N1004" s="1">
        <v>10696</v>
      </c>
      <c r="O1004" s="1">
        <v>50036251</v>
      </c>
      <c r="P1004" s="1" t="str">
        <f>"  شهرداري هرند"</f>
        <v xml:space="preserve">  شهرداري هرند</v>
      </c>
      <c r="Q1004" s="1">
        <v>20</v>
      </c>
      <c r="R1004" s="1" t="str">
        <f>"فروش داخلي - سازمان شهرداري ها و دهياري هاي كشور"</f>
        <v>فروش داخلي - سازمان شهرداري ها و دهياري هاي كشور</v>
      </c>
      <c r="S1004" s="1" t="str">
        <f>"قرارداد فروش"</f>
        <v>قرارداد فروش</v>
      </c>
      <c r="T1004" s="1" t="str">
        <f>"ندارد"</f>
        <v>ندارد</v>
      </c>
      <c r="U1004" s="1" t="str">
        <f>"تعاوني جم گستر (1001 ج 89)"</f>
        <v>تعاوني جم گستر (1001 ج 89)</v>
      </c>
      <c r="V1004" s="1">
        <v>962000097</v>
      </c>
      <c r="W1004" s="1">
        <v>962000097</v>
      </c>
      <c r="X1004" s="1" t="str">
        <f>"1396514467"</f>
        <v>1396514467</v>
      </c>
      <c r="Y1004" s="1" t="str">
        <f>"96/07/03"</f>
        <v>96/07/03</v>
      </c>
      <c r="Z1004" s="1" t="str">
        <f>"26667مرحله اول"</f>
        <v>26667مرحله اول</v>
      </c>
      <c r="AA1004" s="1" t="str">
        <f>"شهرداريها"</f>
        <v>شهرداريها</v>
      </c>
      <c r="AB1004" s="1" t="str">
        <f>"96/06/29"</f>
        <v>96/06/29</v>
      </c>
      <c r="AC1004" s="1" t="str">
        <f>"استان اصفهان"</f>
        <v>استان اصفهان</v>
      </c>
      <c r="AD1004" s="1" t="str">
        <f>"96/07/03"</f>
        <v>96/07/03</v>
      </c>
      <c r="AE1004" s="1" t="str">
        <f>"اختتام"</f>
        <v>اختتام</v>
      </c>
      <c r="AF1004" s="1" t="str">
        <f>""</f>
        <v/>
      </c>
      <c r="AG1004" s="1" t="str">
        <f>""</f>
        <v/>
      </c>
      <c r="AH1004" s="1" t="str">
        <f>""</f>
        <v/>
      </c>
      <c r="AI1004" s="1" t="str">
        <f>""</f>
        <v/>
      </c>
      <c r="AJ1004" s="1" t="str">
        <f>""</f>
        <v/>
      </c>
      <c r="AK1004" s="1" t="str">
        <f>""</f>
        <v/>
      </c>
    </row>
    <row r="1005" spans="1:37">
      <c r="A1005" s="1">
        <v>360000</v>
      </c>
      <c r="B1005" s="1">
        <v>961700028</v>
      </c>
      <c r="C1005" s="1" t="str">
        <f>"تخليه خراسان رضوي -سبزوار جاده قديم ششتمدكارخانه آسفالت برادران حسيني نسب"</f>
        <v>تخليه خراسان رضوي -سبزوار جاده قديم ششتمدكارخانه آسفالت برادران حسيني نسب</v>
      </c>
      <c r="D1005" s="1">
        <v>8904</v>
      </c>
      <c r="E1005" s="1">
        <v>354480</v>
      </c>
      <c r="F1005" s="1">
        <v>96</v>
      </c>
      <c r="G1005" s="1">
        <v>5520</v>
      </c>
      <c r="H1005" s="1" t="str">
        <f>"96/04/31"</f>
        <v>96/04/31</v>
      </c>
      <c r="I1005" s="1" t="str">
        <f>"كيلوگرم"</f>
        <v>كيلوگرم</v>
      </c>
      <c r="J1005" s="1" t="str">
        <f>"0000000092"</f>
        <v>0000000092</v>
      </c>
      <c r="K1005" s="1" t="str">
        <f>"قير  PG64-16"</f>
        <v>قير  PG64-16</v>
      </c>
      <c r="L1005" s="1">
        <v>100</v>
      </c>
      <c r="M1005" s="1" t="str">
        <f>"مخازن قير اصفهان"</f>
        <v>مخازن قير اصفهان</v>
      </c>
      <c r="N1005" s="1">
        <v>4026</v>
      </c>
      <c r="O1005" s="1">
        <v>50035282</v>
      </c>
      <c r="P1005" s="1" t="str">
        <f>"  اداره كل راه و شهرسازي خراسان رضوي"</f>
        <v xml:space="preserve">  اداره كل راه و شهرسازي خراسان رضوي</v>
      </c>
      <c r="Q1005" s="1">
        <v>17</v>
      </c>
      <c r="R1005" s="1" t="str">
        <f>"فروش داخلي تهران - وزارت راه - راه روستايي - روکش"</f>
        <v>فروش داخلي تهران - وزارت راه - راه روستايي - روکش</v>
      </c>
      <c r="S1005" s="1" t="str">
        <f>"قرارداد فروش"</f>
        <v>قرارداد فروش</v>
      </c>
      <c r="T1005" s="1" t="str">
        <f>"ندارد"</f>
        <v>ندارد</v>
      </c>
      <c r="U1005" s="1" t="str">
        <f>"حسيني علي(1841001)"</f>
        <v>حسيني علي(1841001)</v>
      </c>
      <c r="V1005" s="1">
        <v>961700028</v>
      </c>
      <c r="W1005" s="1">
        <v>961700028</v>
      </c>
      <c r="X1005" s="1" t="str">
        <f>"1396498445"</f>
        <v>1396498445</v>
      </c>
      <c r="Y1005" s="1" t="str">
        <f>"96/04/31"</f>
        <v>96/04/31</v>
      </c>
      <c r="Z1005" s="1" t="str">
        <f>"19044/710"</f>
        <v>19044/710</v>
      </c>
      <c r="AA1005" s="1" t="str">
        <f>"راه روستائي -روكش"</f>
        <v>راه روستائي -روكش</v>
      </c>
      <c r="AB1005" s="1" t="str">
        <f>"96/04/26"</f>
        <v>96/04/26</v>
      </c>
      <c r="AC1005" s="1" t="str">
        <f>"خراسان رضوي"</f>
        <v>خراسان رضوي</v>
      </c>
      <c r="AD1005" s="1" t="str">
        <f>"96/04/28"</f>
        <v>96/04/28</v>
      </c>
      <c r="AE1005" s="1" t="str">
        <f>"اختتام"</f>
        <v>اختتام</v>
      </c>
      <c r="AF1005" s="1" t="str">
        <f>""</f>
        <v/>
      </c>
      <c r="AG1005" s="1" t="str">
        <f>""</f>
        <v/>
      </c>
      <c r="AH1005" s="1" t="str">
        <f>""</f>
        <v/>
      </c>
      <c r="AI1005" s="1" t="str">
        <f>""</f>
        <v/>
      </c>
      <c r="AJ1005" s="1" t="str">
        <f>""</f>
        <v/>
      </c>
      <c r="AK1005" s="1" t="str">
        <f>""</f>
        <v/>
      </c>
    </row>
    <row r="1006" spans="1:37">
      <c r="A1006" s="1">
        <v>1000000</v>
      </c>
      <c r="B1006" s="1">
        <v>961700029</v>
      </c>
      <c r="C1006" s="1" t="str">
        <f>"تخليه - خراسان رضوي-کارخانه آسفالت ثامن الائمه"</f>
        <v>تخليه - خراسان رضوي-کارخانه آسفالت ثامن الائمه</v>
      </c>
      <c r="D1006" s="1">
        <v>9363</v>
      </c>
      <c r="E1006" s="1">
        <v>998820</v>
      </c>
      <c r="F1006" s="1">
        <v>96</v>
      </c>
      <c r="G1006" s="1">
        <v>1180</v>
      </c>
      <c r="H1006" s="1" t="str">
        <f>"96/04/31"</f>
        <v>96/04/31</v>
      </c>
      <c r="I1006" s="1" t="str">
        <f>"كيلوگرم"</f>
        <v>كيلوگرم</v>
      </c>
      <c r="J1006" s="1" t="str">
        <f>"0000000092"</f>
        <v>0000000092</v>
      </c>
      <c r="K1006" s="1" t="str">
        <f>"قير  PG64-16"</f>
        <v>قير  PG64-16</v>
      </c>
      <c r="L1006" s="1">
        <v>100</v>
      </c>
      <c r="M1006" s="1" t="str">
        <f>"مخازن قير اصفهان"</f>
        <v>مخازن قير اصفهان</v>
      </c>
      <c r="N1006" s="1">
        <v>4026</v>
      </c>
      <c r="O1006" s="1">
        <v>50035285</v>
      </c>
      <c r="P1006" s="1" t="str">
        <f>"  اداره كل راه و شهرسازي خراسان رضوي"</f>
        <v xml:space="preserve">  اداره كل راه و شهرسازي خراسان رضوي</v>
      </c>
      <c r="Q1006" s="1">
        <v>17</v>
      </c>
      <c r="R1006" s="1" t="str">
        <f>"فروش داخلي تهران - وزارت راه - راه روستايي - روکش"</f>
        <v>فروش داخلي تهران - وزارت راه - راه روستايي - روکش</v>
      </c>
      <c r="S1006" s="1" t="str">
        <f>"قرارداد فروش"</f>
        <v>قرارداد فروش</v>
      </c>
      <c r="T1006" s="1" t="str">
        <f>"ندارد"</f>
        <v>ندارد</v>
      </c>
      <c r="U1006" s="1" t="str">
        <f>"عزيزي صفر(1006ج 89)"</f>
        <v>عزيزي صفر(1006ج 89)</v>
      </c>
      <c r="V1006" s="1">
        <v>961700029</v>
      </c>
      <c r="W1006" s="1">
        <v>961700029</v>
      </c>
      <c r="X1006" s="1" t="str">
        <f>"1396498445"</f>
        <v>1396498445</v>
      </c>
      <c r="Y1006" s="1" t="str">
        <f>"96/04/31"</f>
        <v>96/04/31</v>
      </c>
      <c r="Z1006" s="1" t="str">
        <f>"18987/710"</f>
        <v>18987/710</v>
      </c>
      <c r="AA1006" s="1" t="str">
        <f>"راه روستائي -روكش"</f>
        <v>راه روستائي -روكش</v>
      </c>
      <c r="AB1006" s="1" t="str">
        <f>"96/04/26"</f>
        <v>96/04/26</v>
      </c>
      <c r="AC1006" s="1" t="str">
        <f>"خراسان رضوي"</f>
        <v>خراسان رضوي</v>
      </c>
      <c r="AD1006" s="1" t="str">
        <f>"96/04/28"</f>
        <v>96/04/28</v>
      </c>
      <c r="AE1006" s="1" t="str">
        <f>"اختتام"</f>
        <v>اختتام</v>
      </c>
      <c r="AF1006" s="1" t="str">
        <f>""</f>
        <v/>
      </c>
      <c r="AG1006" s="1" t="str">
        <f>""</f>
        <v/>
      </c>
      <c r="AH1006" s="1" t="str">
        <f>""</f>
        <v/>
      </c>
      <c r="AI1006" s="1" t="str">
        <f>""</f>
        <v/>
      </c>
      <c r="AJ1006" s="1" t="str">
        <f>""</f>
        <v/>
      </c>
      <c r="AK1006" s="1" t="str">
        <f>""</f>
        <v/>
      </c>
    </row>
    <row r="1007" spans="1:37">
      <c r="A1007" s="1">
        <v>500000</v>
      </c>
      <c r="B1007" s="1">
        <v>961600007</v>
      </c>
      <c r="C1007" s="1" t="str">
        <f>"تخليه -همدان كيلومتر30محورتويسركان -كنگاور-كارخانه آسفالت كنجوران"</f>
        <v>تخليه -همدان كيلومتر30محورتويسركان -كنگاور-كارخانه آسفالت كنجوران</v>
      </c>
      <c r="D1007" s="1">
        <v>9204</v>
      </c>
      <c r="E1007" s="1">
        <v>498840</v>
      </c>
      <c r="F1007" s="1">
        <v>96</v>
      </c>
      <c r="G1007" s="1">
        <v>1160</v>
      </c>
      <c r="H1007" s="1" t="str">
        <f>"96/05/03"</f>
        <v>96/05/03</v>
      </c>
      <c r="I1007" s="1" t="str">
        <f>"كيلوگرم"</f>
        <v>كيلوگرم</v>
      </c>
      <c r="J1007" s="1" t="str">
        <f>"0000000091"</f>
        <v>0000000091</v>
      </c>
      <c r="K1007" s="1" t="str">
        <f>"قير  PG64-22"</f>
        <v>قير  PG64-22</v>
      </c>
      <c r="L1007" s="1">
        <v>100</v>
      </c>
      <c r="M1007" s="1" t="str">
        <f>"مخازن قير اصفهان"</f>
        <v>مخازن قير اصفهان</v>
      </c>
      <c r="N1007" s="1">
        <v>10053</v>
      </c>
      <c r="O1007" s="1">
        <v>50035329</v>
      </c>
      <c r="P1007" s="1" t="str">
        <f>"  پوشش راه هگمتانه"</f>
        <v xml:space="preserve">  پوشش راه هگمتانه</v>
      </c>
      <c r="Q1007" s="1">
        <v>16</v>
      </c>
      <c r="R1007" s="1" t="str">
        <f>"فروش داخلي تهران - وزارت راه - معاونت اقتصاد"</f>
        <v>فروش داخلي تهران - وزارت راه - معاونت اقتصاد</v>
      </c>
      <c r="S1007" s="1" t="str">
        <f>"قرارداد فروش"</f>
        <v>قرارداد فروش</v>
      </c>
      <c r="T1007" s="1" t="str">
        <f>"ندارد"</f>
        <v>ندارد</v>
      </c>
      <c r="U1007" s="1" t="str">
        <f>"حاجيلوئي علي اصغر(2842019)"</f>
        <v>حاجيلوئي علي اصغر(2842019)</v>
      </c>
      <c r="V1007" s="1">
        <v>961600007</v>
      </c>
      <c r="W1007" s="1">
        <v>961600007</v>
      </c>
      <c r="X1007" s="1" t="str">
        <f>"1396499718"</f>
        <v>1396499718</v>
      </c>
      <c r="Y1007" s="1" t="str">
        <f>"96/05/03"</f>
        <v>96/05/03</v>
      </c>
      <c r="Z1007" s="1" t="str">
        <f>"20352/710"</f>
        <v>20352/710</v>
      </c>
      <c r="AA1007" s="1" t="str">
        <f>"معاونت اقتصادوزارت راه وشهرسازي"</f>
        <v>معاونت اقتصادوزارت راه وشهرسازي</v>
      </c>
      <c r="AB1007" s="1" t="str">
        <f>"96/05/01"</f>
        <v>96/05/01</v>
      </c>
      <c r="AC1007" s="1" t="str">
        <f>"استان همدان"</f>
        <v>استان همدان</v>
      </c>
      <c r="AD1007" s="1" t="str">
        <f>"96/05/03"</f>
        <v>96/05/03</v>
      </c>
      <c r="AE1007" s="1" t="str">
        <f>"اختتام"</f>
        <v>اختتام</v>
      </c>
      <c r="AF1007" s="1" t="str">
        <f>""</f>
        <v/>
      </c>
      <c r="AG1007" s="1" t="str">
        <f>""</f>
        <v/>
      </c>
      <c r="AH1007" s="1" t="str">
        <f>""</f>
        <v/>
      </c>
      <c r="AI1007" s="1" t="str">
        <f>""</f>
        <v/>
      </c>
      <c r="AJ1007" s="1" t="str">
        <f>""</f>
        <v/>
      </c>
      <c r="AK1007" s="1" t="str">
        <f>""</f>
        <v/>
      </c>
    </row>
    <row r="1008" spans="1:37">
      <c r="A1008" s="1">
        <v>1000000</v>
      </c>
      <c r="B1008" s="1">
        <v>961900065</v>
      </c>
      <c r="C1008" s="1" t="str">
        <f>"تخليه -هرمزگان -محوررودان -كهنوج -كارخانه آسفالت شركت پي وپل جنوب"</f>
        <v>تخليه -هرمزگان -محوررودان -كهنوج -كارخانه آسفالت شركت پي وپل جنوب</v>
      </c>
      <c r="D1008" s="1">
        <v>8854</v>
      </c>
      <c r="E1008" s="1">
        <v>1000000</v>
      </c>
      <c r="F1008" s="1">
        <v>96</v>
      </c>
      <c r="G1008" s="1">
        <v>0</v>
      </c>
      <c r="H1008" s="1" t="str">
        <f>"96/04/04"</f>
        <v>96/04/04</v>
      </c>
      <c r="I1008" s="1" t="str">
        <f>"كيلوگرم"</f>
        <v>كيلوگرم</v>
      </c>
      <c r="J1008" s="1" t="str">
        <f>"0000000092"</f>
        <v>0000000092</v>
      </c>
      <c r="K1008" s="1" t="str">
        <f>"قير  PG64-16"</f>
        <v>قير  PG64-16</v>
      </c>
      <c r="L1008" s="1">
        <v>100</v>
      </c>
      <c r="M1008" s="1" t="str">
        <f>"مخازن قير اصفهان"</f>
        <v>مخازن قير اصفهان</v>
      </c>
      <c r="N1008" s="1">
        <v>10547</v>
      </c>
      <c r="O1008" s="1">
        <v>50035053</v>
      </c>
      <c r="P1008" s="1" t="str">
        <f>"  پي و پل جنوب"</f>
        <v xml:space="preserve">  پي و پل جنوب</v>
      </c>
      <c r="Q1008" s="1">
        <v>19</v>
      </c>
      <c r="R100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08" s="1" t="str">
        <f>"قرارداد فروش"</f>
        <v>قرارداد فروش</v>
      </c>
      <c r="T1008" s="1" t="str">
        <f>"ندارد"</f>
        <v>ندارد</v>
      </c>
      <c r="U1008" s="1" t="str">
        <f>"قره باغي مجيد(1871065)"</f>
        <v>قره باغي مجيد(1871065)</v>
      </c>
      <c r="V1008" s="1">
        <v>961900065</v>
      </c>
      <c r="W1008" s="1">
        <v>961900065</v>
      </c>
      <c r="X1008" s="1" t="str">
        <f>"1396490816"</f>
        <v>1396490816</v>
      </c>
      <c r="Y1008" s="1" t="str">
        <f>"96/04/04"</f>
        <v>96/04/04</v>
      </c>
      <c r="Z1008" s="1" t="str">
        <f>"14568/710"</f>
        <v>14568/710</v>
      </c>
      <c r="AA1008" s="1" t="str">
        <f>"سازمان راهداري وحمل نقل جاده اي"</f>
        <v>سازمان راهداري وحمل نقل جاده اي</v>
      </c>
      <c r="AB1008" s="1" t="str">
        <f>"96/03/30"</f>
        <v>96/03/30</v>
      </c>
      <c r="AC1008" s="1" t="str">
        <f>"استان هرمزگان"</f>
        <v>استان هرمزگان</v>
      </c>
      <c r="AD1008" s="1" t="str">
        <f>"96/04/04"</f>
        <v>96/04/04</v>
      </c>
      <c r="AE1008" s="1" t="str">
        <f>"اختتام"</f>
        <v>اختتام</v>
      </c>
      <c r="AF1008" s="1" t="str">
        <f>""</f>
        <v/>
      </c>
      <c r="AG1008" s="1" t="str">
        <f>""</f>
        <v/>
      </c>
      <c r="AH1008" s="1" t="str">
        <f>""</f>
        <v/>
      </c>
      <c r="AI1008" s="1" t="str">
        <f>""</f>
        <v/>
      </c>
      <c r="AJ1008" s="1" t="str">
        <f>""</f>
        <v/>
      </c>
      <c r="AK1008" s="1" t="str">
        <f>""</f>
        <v/>
      </c>
    </row>
    <row r="1009" spans="1:37">
      <c r="A1009" s="1">
        <v>25000</v>
      </c>
      <c r="B1009" s="1">
        <v>961700115</v>
      </c>
      <c r="C1009" s="1" t="str">
        <f>"تخليه -جنوب كرمان -محوررودان -كهنوج -كارخانه آسفالت شركت پي وپل جنوب"</f>
        <v>تخليه -جنوب كرمان -محوررودان -كهنوج -كارخانه آسفالت شركت پي وپل جنوب</v>
      </c>
      <c r="D1009" s="1">
        <v>9363</v>
      </c>
      <c r="E1009" s="1">
        <v>25000</v>
      </c>
      <c r="F1009" s="1">
        <v>96</v>
      </c>
      <c r="G1009" s="1">
        <v>0</v>
      </c>
      <c r="H1009" s="1" t="str">
        <f>"96/07/17"</f>
        <v>96/07/17</v>
      </c>
      <c r="I1009" s="1" t="str">
        <f>"كيلوگرم"</f>
        <v>كيلوگرم</v>
      </c>
      <c r="J1009" s="1" t="str">
        <f>"0000000092"</f>
        <v>0000000092</v>
      </c>
      <c r="K1009" s="1" t="str">
        <f>"قير  PG64-16"</f>
        <v>قير  PG64-16</v>
      </c>
      <c r="L1009" s="1">
        <v>100</v>
      </c>
      <c r="M1009" s="1" t="str">
        <f>"مخازن قير اصفهان"</f>
        <v>مخازن قير اصفهان</v>
      </c>
      <c r="N1009" s="1">
        <v>10547</v>
      </c>
      <c r="O1009" s="1">
        <v>50036622</v>
      </c>
      <c r="P1009" s="1" t="str">
        <f>"  پي و پل جنوب"</f>
        <v xml:space="preserve">  پي و پل جنوب</v>
      </c>
      <c r="Q1009" s="1">
        <v>17</v>
      </c>
      <c r="R1009" s="1" t="str">
        <f>"فروش داخلي تهران - وزارت راه - راه روستايي - روکش"</f>
        <v>فروش داخلي تهران - وزارت راه - راه روستايي - روکش</v>
      </c>
      <c r="S1009" s="1" t="str">
        <f>"قرارداد فروش"</f>
        <v>قرارداد فروش</v>
      </c>
      <c r="T1009" s="1" t="str">
        <f>"ندارد"</f>
        <v>ندارد</v>
      </c>
      <c r="U1009" s="1" t="str">
        <f>"قره باغي مجيد(1871065)"</f>
        <v>قره باغي مجيد(1871065)</v>
      </c>
      <c r="V1009" s="1">
        <v>961700115</v>
      </c>
      <c r="W1009" s="1">
        <v>961700115</v>
      </c>
      <c r="X1009" s="1" t="str">
        <f>"1396517387"</f>
        <v>1396517387</v>
      </c>
      <c r="Y1009" s="1" t="str">
        <f>"96/07/17"</f>
        <v>96/07/17</v>
      </c>
      <c r="Z1009" s="1" t="str">
        <f>"34797/710"</f>
        <v>34797/710</v>
      </c>
      <c r="AA1009" s="1" t="str">
        <f>"راه روستائي -روكش"</f>
        <v>راه روستائي -روكش</v>
      </c>
      <c r="AB1009" s="1" t="str">
        <f>"96/07/16"</f>
        <v>96/07/16</v>
      </c>
      <c r="AC1009" s="1" t="str">
        <f>"جنوب کرمان"</f>
        <v>جنوب کرمان</v>
      </c>
      <c r="AD1009" s="1" t="str">
        <f>"96/07/17"</f>
        <v>96/07/17</v>
      </c>
      <c r="AE1009" s="1" t="str">
        <f>"اختتام"</f>
        <v>اختتام</v>
      </c>
      <c r="AF1009" s="1" t="str">
        <f>""</f>
        <v/>
      </c>
      <c r="AG1009" s="1" t="str">
        <f>""</f>
        <v/>
      </c>
      <c r="AH1009" s="1" t="str">
        <f>""</f>
        <v/>
      </c>
      <c r="AI1009" s="1" t="str">
        <f>""</f>
        <v/>
      </c>
      <c r="AJ1009" s="1" t="str">
        <f>""</f>
        <v/>
      </c>
      <c r="AK1009" s="1" t="str">
        <f>""</f>
        <v/>
      </c>
    </row>
    <row r="1010" spans="1:37">
      <c r="A1010" s="1">
        <v>52000</v>
      </c>
      <c r="B1010" s="1">
        <v>961700119</v>
      </c>
      <c r="C1010" s="1" t="str">
        <f>"تخليه -جنوب كرمان -محوررودان -كهنوج -كارخانه آسفالت شركت پي وپل جنوب"</f>
        <v>تخليه -جنوب كرمان -محوررودان -كهنوج -كارخانه آسفالت شركت پي وپل جنوب</v>
      </c>
      <c r="D1010" s="1">
        <v>9363</v>
      </c>
      <c r="E1010" s="1">
        <v>52000</v>
      </c>
      <c r="F1010" s="1">
        <v>96</v>
      </c>
      <c r="G1010" s="1">
        <v>0</v>
      </c>
      <c r="H1010" s="1" t="str">
        <f>"96/07/17"</f>
        <v>96/07/17</v>
      </c>
      <c r="I1010" s="1" t="str">
        <f>"كيلوگرم"</f>
        <v>كيلوگرم</v>
      </c>
      <c r="J1010" s="1" t="str">
        <f>"0000000092"</f>
        <v>0000000092</v>
      </c>
      <c r="K1010" s="1" t="str">
        <f>"قير  PG64-16"</f>
        <v>قير  PG64-16</v>
      </c>
      <c r="L1010" s="1">
        <v>100</v>
      </c>
      <c r="M1010" s="1" t="str">
        <f>"مخازن قير اصفهان"</f>
        <v>مخازن قير اصفهان</v>
      </c>
      <c r="N1010" s="1">
        <v>10547</v>
      </c>
      <c r="O1010" s="1">
        <v>50036627</v>
      </c>
      <c r="P1010" s="1" t="str">
        <f>"  پي و پل جنوب"</f>
        <v xml:space="preserve">  پي و پل جنوب</v>
      </c>
      <c r="Q1010" s="1">
        <v>17</v>
      </c>
      <c r="R1010" s="1" t="str">
        <f>"فروش داخلي تهران - وزارت راه - راه روستايي - روکش"</f>
        <v>فروش داخلي تهران - وزارت راه - راه روستايي - روکش</v>
      </c>
      <c r="S1010" s="1" t="str">
        <f>"قرارداد فروش"</f>
        <v>قرارداد فروش</v>
      </c>
      <c r="T1010" s="1" t="str">
        <f>"ندارد"</f>
        <v>ندارد</v>
      </c>
      <c r="U1010" s="1" t="str">
        <f>"قره باغي مجيد(1871065)"</f>
        <v>قره باغي مجيد(1871065)</v>
      </c>
      <c r="V1010" s="1">
        <v>961700119</v>
      </c>
      <c r="W1010" s="1">
        <v>961700119</v>
      </c>
      <c r="X1010" s="1" t="str">
        <f>"1396517387"</f>
        <v>1396517387</v>
      </c>
      <c r="Y1010" s="1" t="str">
        <f>"96/07/17"</f>
        <v>96/07/17</v>
      </c>
      <c r="Z1010" s="1" t="str">
        <f>"34822/710"</f>
        <v>34822/710</v>
      </c>
      <c r="AA1010" s="1" t="str">
        <f>"راه روستائي -روكش"</f>
        <v>راه روستائي -روكش</v>
      </c>
      <c r="AB1010" s="1" t="str">
        <f>"96/07/16"</f>
        <v>96/07/16</v>
      </c>
      <c r="AC1010" s="1" t="str">
        <f>"جنوب کرمان"</f>
        <v>جنوب کرمان</v>
      </c>
      <c r="AD1010" s="1" t="str">
        <f>"96/07/17"</f>
        <v>96/07/17</v>
      </c>
      <c r="AE1010" s="1" t="str">
        <f>"اختتام"</f>
        <v>اختتام</v>
      </c>
      <c r="AF1010" s="1" t="str">
        <f>""</f>
        <v/>
      </c>
      <c r="AG1010" s="1" t="str">
        <f>""</f>
        <v/>
      </c>
      <c r="AH1010" s="1" t="str">
        <f>""</f>
        <v/>
      </c>
      <c r="AI1010" s="1" t="str">
        <f>""</f>
        <v/>
      </c>
      <c r="AJ1010" s="1" t="str">
        <f>""</f>
        <v/>
      </c>
      <c r="AK1010" s="1" t="str">
        <f>""</f>
        <v/>
      </c>
    </row>
    <row r="1011" spans="1:37">
      <c r="A1011" s="1">
        <v>52000</v>
      </c>
      <c r="B1011" s="1">
        <v>961700120</v>
      </c>
      <c r="C1011" s="1" t="str">
        <f>"تخليه -جنوب كرمان -محوررودان -كهنوج -كارخانه آسفالت شركت پي وپل جنوب"</f>
        <v>تخليه -جنوب كرمان -محوررودان -كهنوج -كارخانه آسفالت شركت پي وپل جنوب</v>
      </c>
      <c r="D1011" s="1">
        <v>9363</v>
      </c>
      <c r="E1011" s="1">
        <v>52000</v>
      </c>
      <c r="F1011" s="1">
        <v>96</v>
      </c>
      <c r="G1011" s="1">
        <v>0</v>
      </c>
      <c r="H1011" s="1" t="str">
        <f>"96/07/17"</f>
        <v>96/07/17</v>
      </c>
      <c r="I1011" s="1" t="str">
        <f>"كيلوگرم"</f>
        <v>كيلوگرم</v>
      </c>
      <c r="J1011" s="1" t="str">
        <f>"0000000092"</f>
        <v>0000000092</v>
      </c>
      <c r="K1011" s="1" t="str">
        <f>"قير  PG64-16"</f>
        <v>قير  PG64-16</v>
      </c>
      <c r="L1011" s="1">
        <v>100</v>
      </c>
      <c r="M1011" s="1" t="str">
        <f>"مخازن قير اصفهان"</f>
        <v>مخازن قير اصفهان</v>
      </c>
      <c r="N1011" s="1">
        <v>10547</v>
      </c>
      <c r="O1011" s="1">
        <v>50036629</v>
      </c>
      <c r="P1011" s="1" t="str">
        <f>"  پي و پل جنوب"</f>
        <v xml:space="preserve">  پي و پل جنوب</v>
      </c>
      <c r="Q1011" s="1">
        <v>17</v>
      </c>
      <c r="R1011" s="1" t="str">
        <f>"فروش داخلي تهران - وزارت راه - راه روستايي - روکش"</f>
        <v>فروش داخلي تهران - وزارت راه - راه روستايي - روکش</v>
      </c>
      <c r="S1011" s="1" t="str">
        <f>"قرارداد فروش"</f>
        <v>قرارداد فروش</v>
      </c>
      <c r="T1011" s="1" t="str">
        <f>"ندارد"</f>
        <v>ندارد</v>
      </c>
      <c r="U1011" s="1" t="str">
        <f>"قره باغي مجيد(1871065)"</f>
        <v>قره باغي مجيد(1871065)</v>
      </c>
      <c r="V1011" s="1">
        <v>961700120</v>
      </c>
      <c r="W1011" s="1">
        <v>961700120</v>
      </c>
      <c r="X1011" s="1" t="str">
        <f>"1396517387"</f>
        <v>1396517387</v>
      </c>
      <c r="Y1011" s="1" t="str">
        <f>"96/07/17"</f>
        <v>96/07/17</v>
      </c>
      <c r="Z1011" s="1" t="str">
        <f>"34626/710"</f>
        <v>34626/710</v>
      </c>
      <c r="AA1011" s="1" t="str">
        <f>"راه روستائي -روكش"</f>
        <v>راه روستائي -روكش</v>
      </c>
      <c r="AB1011" s="1" t="str">
        <f>"96/07/15"</f>
        <v>96/07/15</v>
      </c>
      <c r="AC1011" s="1" t="str">
        <f>"جنوب کرمان"</f>
        <v>جنوب کرمان</v>
      </c>
      <c r="AD1011" s="1" t="str">
        <f>"96/07/17"</f>
        <v>96/07/17</v>
      </c>
      <c r="AE1011" s="1" t="str">
        <f>"اختتام"</f>
        <v>اختتام</v>
      </c>
      <c r="AF1011" s="1" t="str">
        <f>""</f>
        <v/>
      </c>
      <c r="AG1011" s="1" t="str">
        <f>""</f>
        <v/>
      </c>
      <c r="AH1011" s="1" t="str">
        <f>""</f>
        <v/>
      </c>
      <c r="AI1011" s="1" t="str">
        <f>""</f>
        <v/>
      </c>
      <c r="AJ1011" s="1" t="str">
        <f>""</f>
        <v/>
      </c>
      <c r="AK1011" s="1" t="str">
        <f>""</f>
        <v/>
      </c>
    </row>
    <row r="1012" spans="1:37">
      <c r="A1012" s="1">
        <v>56000</v>
      </c>
      <c r="B1012" s="1">
        <v>961700122</v>
      </c>
      <c r="C1012" s="1" t="str">
        <f>"تخليه -هرمزگان -محوررودان -كهنوج -كارخانه آسفالت شركت پي وپل جنوب"</f>
        <v>تخليه -هرمزگان -محوررودان -كهنوج -كارخانه آسفالت شركت پي وپل جنوب</v>
      </c>
      <c r="D1012" s="1">
        <v>9363</v>
      </c>
      <c r="E1012" s="1">
        <v>56000</v>
      </c>
      <c r="F1012" s="1">
        <v>96</v>
      </c>
      <c r="G1012" s="1">
        <v>0</v>
      </c>
      <c r="H1012" s="1" t="str">
        <f>"96/07/17"</f>
        <v>96/07/17</v>
      </c>
      <c r="I1012" s="1" t="str">
        <f>"كيلوگرم"</f>
        <v>كيلوگرم</v>
      </c>
      <c r="J1012" s="1" t="str">
        <f>"0000000092"</f>
        <v>0000000092</v>
      </c>
      <c r="K1012" s="1" t="str">
        <f>"قير  PG64-16"</f>
        <v>قير  PG64-16</v>
      </c>
      <c r="L1012" s="1">
        <v>100</v>
      </c>
      <c r="M1012" s="1" t="str">
        <f>"مخازن قير اصفهان"</f>
        <v>مخازن قير اصفهان</v>
      </c>
      <c r="N1012" s="1">
        <v>10547</v>
      </c>
      <c r="O1012" s="1">
        <v>50036631</v>
      </c>
      <c r="P1012" s="1" t="str">
        <f>"  پي و پل جنوب"</f>
        <v xml:space="preserve">  پي و پل جنوب</v>
      </c>
      <c r="Q1012" s="1">
        <v>17</v>
      </c>
      <c r="R1012" s="1" t="str">
        <f>"فروش داخلي تهران - وزارت راه - راه روستايي - روکش"</f>
        <v>فروش داخلي تهران - وزارت راه - راه روستايي - روکش</v>
      </c>
      <c r="S1012" s="1" t="str">
        <f>"قرارداد فروش"</f>
        <v>قرارداد فروش</v>
      </c>
      <c r="T1012" s="1" t="str">
        <f>"ندارد"</f>
        <v>ندارد</v>
      </c>
      <c r="U1012" s="1" t="str">
        <f>"قره باغي مجيد(1871065)"</f>
        <v>قره باغي مجيد(1871065)</v>
      </c>
      <c r="V1012" s="1">
        <v>961700122</v>
      </c>
      <c r="W1012" s="1">
        <v>961700122</v>
      </c>
      <c r="X1012" s="1" t="str">
        <f>"1396517387"</f>
        <v>1396517387</v>
      </c>
      <c r="Y1012" s="1" t="str">
        <f>"96/07/17"</f>
        <v>96/07/17</v>
      </c>
      <c r="Z1012" s="1" t="str">
        <f>"34818/710"</f>
        <v>34818/710</v>
      </c>
      <c r="AA1012" s="1" t="str">
        <f>"راه روستائي -روكش"</f>
        <v>راه روستائي -روكش</v>
      </c>
      <c r="AB1012" s="1" t="str">
        <f>"96/07/16"</f>
        <v>96/07/16</v>
      </c>
      <c r="AC1012" s="1" t="str">
        <f>"جنوب کرمان"</f>
        <v>جنوب کرمان</v>
      </c>
      <c r="AD1012" s="1" t="str">
        <f>"96/07/17"</f>
        <v>96/07/17</v>
      </c>
      <c r="AE1012" s="1" t="str">
        <f>"اختتام"</f>
        <v>اختتام</v>
      </c>
      <c r="AF1012" s="1" t="str">
        <f>""</f>
        <v/>
      </c>
      <c r="AG1012" s="1" t="str">
        <f>""</f>
        <v/>
      </c>
      <c r="AH1012" s="1" t="str">
        <f>""</f>
        <v/>
      </c>
      <c r="AI1012" s="1" t="str">
        <f>""</f>
        <v/>
      </c>
      <c r="AJ1012" s="1" t="str">
        <f>""</f>
        <v/>
      </c>
      <c r="AK1012" s="1" t="str">
        <f>""</f>
        <v/>
      </c>
    </row>
    <row r="1013" spans="1:37">
      <c r="A1013" s="1">
        <v>124000</v>
      </c>
      <c r="B1013" s="1">
        <v>961700124</v>
      </c>
      <c r="C1013" s="1" t="str">
        <f>"تخليه -جنوب كرمان -محوررودان -كهنوج -كارخانه آسفالت شركت پي وپل جنوب"</f>
        <v>تخليه -جنوب كرمان -محوررودان -كهنوج -كارخانه آسفالت شركت پي وپل جنوب</v>
      </c>
      <c r="D1013" s="1">
        <v>9363</v>
      </c>
      <c r="E1013" s="1">
        <v>124000</v>
      </c>
      <c r="F1013" s="1">
        <v>96</v>
      </c>
      <c r="G1013" s="1">
        <v>0</v>
      </c>
      <c r="H1013" s="1" t="str">
        <f>"96/07/17"</f>
        <v>96/07/17</v>
      </c>
      <c r="I1013" s="1" t="str">
        <f>"كيلوگرم"</f>
        <v>كيلوگرم</v>
      </c>
      <c r="J1013" s="1" t="str">
        <f>"0000000092"</f>
        <v>0000000092</v>
      </c>
      <c r="K1013" s="1" t="str">
        <f>"قير  PG64-16"</f>
        <v>قير  PG64-16</v>
      </c>
      <c r="L1013" s="1">
        <v>100</v>
      </c>
      <c r="M1013" s="1" t="str">
        <f>"مخازن قير اصفهان"</f>
        <v>مخازن قير اصفهان</v>
      </c>
      <c r="N1013" s="1">
        <v>10547</v>
      </c>
      <c r="O1013" s="1">
        <v>50036633</v>
      </c>
      <c r="P1013" s="1" t="str">
        <f>"  پي و پل جنوب"</f>
        <v xml:space="preserve">  پي و پل جنوب</v>
      </c>
      <c r="Q1013" s="1">
        <v>17</v>
      </c>
      <c r="R1013" s="1" t="str">
        <f>"فروش داخلي تهران - وزارت راه - راه روستايي - روکش"</f>
        <v>فروش داخلي تهران - وزارت راه - راه روستايي - روکش</v>
      </c>
      <c r="S1013" s="1" t="str">
        <f>"قرارداد فروش"</f>
        <v>قرارداد فروش</v>
      </c>
      <c r="T1013" s="1" t="str">
        <f>"ندارد"</f>
        <v>ندارد</v>
      </c>
      <c r="U1013" s="1" t="str">
        <f>"قره باغي مجيد(1871065)"</f>
        <v>قره باغي مجيد(1871065)</v>
      </c>
      <c r="V1013" s="1">
        <v>961700124</v>
      </c>
      <c r="W1013" s="1">
        <v>961700124</v>
      </c>
      <c r="X1013" s="1" t="str">
        <f>"1396517387"</f>
        <v>1396517387</v>
      </c>
      <c r="Y1013" s="1" t="str">
        <f>"96/07/17"</f>
        <v>96/07/17</v>
      </c>
      <c r="Z1013" s="1" t="str">
        <f>"34638/710"</f>
        <v>34638/710</v>
      </c>
      <c r="AA1013" s="1" t="str">
        <f>"راه روستائي -روكش"</f>
        <v>راه روستائي -روكش</v>
      </c>
      <c r="AB1013" s="1" t="str">
        <f>"96/07/15"</f>
        <v>96/07/15</v>
      </c>
      <c r="AC1013" s="1" t="str">
        <f>"جنوب کرمان"</f>
        <v>جنوب کرمان</v>
      </c>
      <c r="AD1013" s="1" t="str">
        <f>"96/07/17"</f>
        <v>96/07/17</v>
      </c>
      <c r="AE1013" s="1" t="str">
        <f>"اختتام"</f>
        <v>اختتام</v>
      </c>
      <c r="AF1013" s="1" t="str">
        <f>""</f>
        <v/>
      </c>
      <c r="AG1013" s="1" t="str">
        <f>""</f>
        <v/>
      </c>
      <c r="AH1013" s="1" t="str">
        <f>""</f>
        <v/>
      </c>
      <c r="AI1013" s="1" t="str">
        <f>""</f>
        <v/>
      </c>
      <c r="AJ1013" s="1" t="str">
        <f>""</f>
        <v/>
      </c>
      <c r="AK1013" s="1" t="str">
        <f>""</f>
        <v/>
      </c>
    </row>
    <row r="1014" spans="1:37">
      <c r="A1014" s="1">
        <v>300000</v>
      </c>
      <c r="B1014" s="1">
        <v>961900162</v>
      </c>
      <c r="C1014" s="1" t="str">
        <f>"تخليه لرستان كيلومتر13بروجردازناشركت راه گستراحسان بروجرد"</f>
        <v>تخليه لرستان كيلومتر13بروجردازناشركت راه گستراحسان بروجرد</v>
      </c>
      <c r="D1014" s="1">
        <v>9716</v>
      </c>
      <c r="E1014" s="1">
        <v>297260</v>
      </c>
      <c r="F1014" s="1">
        <v>96</v>
      </c>
      <c r="G1014" s="1">
        <v>2740</v>
      </c>
      <c r="H1014" s="1" t="str">
        <f>"96/07/11"</f>
        <v>96/07/11</v>
      </c>
      <c r="I1014" s="1" t="str">
        <f>"كيلوگرم"</f>
        <v>كيلوگرم</v>
      </c>
      <c r="J1014" s="1" t="str">
        <f>"0000000091"</f>
        <v>0000000091</v>
      </c>
      <c r="K1014" s="1" t="str">
        <f>"قير  PG64-22"</f>
        <v>قير  PG64-22</v>
      </c>
      <c r="L1014" s="1">
        <v>100</v>
      </c>
      <c r="M1014" s="1" t="str">
        <f>"مخازن قير اصفهان"</f>
        <v>مخازن قير اصفهان</v>
      </c>
      <c r="N1014" s="1">
        <v>11295</v>
      </c>
      <c r="O1014" s="1">
        <v>50036522</v>
      </c>
      <c r="P1014" s="1" t="str">
        <f>"  اداره كل راهداري وحمل ونقل جاده اي لرستان"</f>
        <v xml:space="preserve">  اداره كل راهداري وحمل ونقل جاده اي لرستان</v>
      </c>
      <c r="Q1014" s="1">
        <v>19</v>
      </c>
      <c r="R101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14" s="1" t="str">
        <f>"قرارداد فروش"</f>
        <v>قرارداد فروش</v>
      </c>
      <c r="T1014" s="1" t="str">
        <f>"ندارد"</f>
        <v>ندارد</v>
      </c>
      <c r="U1014" s="1" t="str">
        <f>"ريسماني حسن(1007ج89)"</f>
        <v>ريسماني حسن(1007ج89)</v>
      </c>
      <c r="V1014" s="1">
        <v>961900162</v>
      </c>
      <c r="W1014" s="1">
        <v>961900162</v>
      </c>
      <c r="X1014" s="1" t="str">
        <f>"1396515916"</f>
        <v>1396515916</v>
      </c>
      <c r="Y1014" s="1" t="str">
        <f>"96/07/11"</f>
        <v>96/07/11</v>
      </c>
      <c r="Z1014" s="1" t="str">
        <f>"33349/710"</f>
        <v>33349/710</v>
      </c>
      <c r="AA1014" s="1" t="str">
        <f>"سازمان راهداري وحمل نقل جاده اي"</f>
        <v>سازمان راهداري وحمل نقل جاده اي</v>
      </c>
      <c r="AB1014" s="1" t="str">
        <f>"96/07/04"</f>
        <v>96/07/04</v>
      </c>
      <c r="AC1014" s="1" t="str">
        <f>"لرستان"</f>
        <v>لرستان</v>
      </c>
      <c r="AD1014" s="1" t="str">
        <f>"96/07/11"</f>
        <v>96/07/11</v>
      </c>
      <c r="AE1014" s="1" t="str">
        <f>"اختتام"</f>
        <v>اختتام</v>
      </c>
      <c r="AF1014" s="1" t="str">
        <f>""</f>
        <v/>
      </c>
      <c r="AG1014" s="1" t="str">
        <f>""</f>
        <v/>
      </c>
      <c r="AH1014" s="1" t="str">
        <f>""</f>
        <v/>
      </c>
      <c r="AI1014" s="1" t="str">
        <f>""</f>
        <v/>
      </c>
      <c r="AJ1014" s="1" t="str">
        <f>""</f>
        <v/>
      </c>
      <c r="AK1014" s="1" t="str">
        <f>""</f>
        <v/>
      </c>
    </row>
    <row r="1015" spans="1:37">
      <c r="A1015" s="1">
        <v>200000</v>
      </c>
      <c r="B1015" s="1">
        <v>961900017</v>
      </c>
      <c r="C1015" s="1" t="str">
        <f>"محل تخليه خراسان رضوي شهرستان گنابادكارخانه آسفالت گناباد"</f>
        <v>محل تخليه خراسان رضوي شهرستان گنابادكارخانه آسفالت گناباد</v>
      </c>
      <c r="D1015" s="1">
        <v>9354</v>
      </c>
      <c r="E1015" s="1">
        <v>198980</v>
      </c>
      <c r="F1015" s="1">
        <v>96</v>
      </c>
      <c r="G1015" s="1">
        <v>1020</v>
      </c>
      <c r="H1015" s="1" t="str">
        <f>"96/01/16"</f>
        <v>96/01/16</v>
      </c>
      <c r="I1015" s="1" t="str">
        <f>"كيلوگرم"</f>
        <v>كيلوگرم</v>
      </c>
      <c r="J1015" s="1" t="str">
        <f>"0000000091"</f>
        <v>0000000091</v>
      </c>
      <c r="K1015" s="1" t="str">
        <f>"قير  PG64-22"</f>
        <v>قير  PG64-22</v>
      </c>
      <c r="L1015" s="1">
        <v>100</v>
      </c>
      <c r="M1015" s="1" t="str">
        <f>"مخازن قير اصفهان"</f>
        <v>مخازن قير اصفهان</v>
      </c>
      <c r="N1015" s="1">
        <v>11305</v>
      </c>
      <c r="O1015" s="1">
        <v>50034374</v>
      </c>
      <c r="P1015" s="1" t="str">
        <f>"  اداره كل راهداري وحمل ونقل جاده اي خراسان رضوي"</f>
        <v xml:space="preserve">  اداره كل راهداري وحمل ونقل جاده اي خراسان رضوي</v>
      </c>
      <c r="Q1015" s="1">
        <v>19</v>
      </c>
      <c r="R101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15" s="1" t="str">
        <f>"قرارداد فروش"</f>
        <v>قرارداد فروش</v>
      </c>
      <c r="T1015" s="1" t="str">
        <f>"ندارد"</f>
        <v>ندارد</v>
      </c>
      <c r="U1015" s="1" t="str">
        <f>"نظام دوست امين (1911102)"</f>
        <v>نظام دوست امين (1911102)</v>
      </c>
      <c r="V1015" s="1">
        <v>961900017</v>
      </c>
      <c r="W1015" s="1">
        <v>961900017</v>
      </c>
      <c r="X1015" s="1" t="str">
        <f>"1395470874"</f>
        <v>1395470874</v>
      </c>
      <c r="Y1015" s="1" t="str">
        <f>"96/01/16"</f>
        <v>96/01/16</v>
      </c>
      <c r="Z1015" s="1" t="str">
        <f>"65449/710"</f>
        <v>65449/710</v>
      </c>
      <c r="AA1015" s="1" t="str">
        <f>"سازمان راهداري وحمل نقل جاده اي"</f>
        <v>سازمان راهداري وحمل نقل جاده اي</v>
      </c>
      <c r="AB1015" s="1" t="str">
        <f>"95/12/21"</f>
        <v>95/12/21</v>
      </c>
      <c r="AC1015" s="1" t="str">
        <f>"خراسان رضوي"</f>
        <v>خراسان رضوي</v>
      </c>
      <c r="AD1015" s="1" t="str">
        <f>"95/12/23"</f>
        <v>95/12/23</v>
      </c>
      <c r="AE1015" s="1" t="str">
        <f>"اختتام"</f>
        <v>اختتام</v>
      </c>
      <c r="AF1015" s="1" t="str">
        <f>""</f>
        <v/>
      </c>
      <c r="AG1015" s="1" t="str">
        <f>""</f>
        <v/>
      </c>
      <c r="AH1015" s="1" t="str">
        <f>""</f>
        <v/>
      </c>
      <c r="AI1015" s="1" t="str">
        <f>""</f>
        <v/>
      </c>
      <c r="AJ1015" s="1" t="str">
        <f>""</f>
        <v/>
      </c>
      <c r="AK1015" s="1" t="str">
        <f>""</f>
        <v/>
      </c>
    </row>
    <row r="1016" spans="1:37">
      <c r="A1016" s="1">
        <v>400000</v>
      </c>
      <c r="B1016" s="1">
        <v>961900019</v>
      </c>
      <c r="C1016" s="1" t="str">
        <f>"تخليه خراسان رضوي شهرستان سرولايت كارخانه آسفالت دنابنيان بيرجند"</f>
        <v>تخليه خراسان رضوي شهرستان سرولايت كارخانه آسفالت دنابنيان بيرجند</v>
      </c>
      <c r="D1016" s="1">
        <v>9354</v>
      </c>
      <c r="E1016" s="1">
        <v>399900</v>
      </c>
      <c r="F1016" s="1">
        <v>96</v>
      </c>
      <c r="G1016" s="1">
        <v>100</v>
      </c>
      <c r="H1016" s="1" t="str">
        <f>"96/01/16"</f>
        <v>96/01/16</v>
      </c>
      <c r="I1016" s="1" t="str">
        <f>"كيلوگرم"</f>
        <v>كيلوگرم</v>
      </c>
      <c r="J1016" s="1" t="str">
        <f>"0000000091"</f>
        <v>0000000091</v>
      </c>
      <c r="K1016" s="1" t="str">
        <f>"قير  PG64-22"</f>
        <v>قير  PG64-22</v>
      </c>
      <c r="L1016" s="1">
        <v>100</v>
      </c>
      <c r="M1016" s="1" t="str">
        <f>"مخازن قير اصفهان"</f>
        <v>مخازن قير اصفهان</v>
      </c>
      <c r="N1016" s="1">
        <v>11305</v>
      </c>
      <c r="O1016" s="1">
        <v>50034376</v>
      </c>
      <c r="P1016" s="1" t="str">
        <f>"  اداره كل راهداري وحمل ونقل جاده اي خراسان رضوي"</f>
        <v xml:space="preserve">  اداره كل راهداري وحمل ونقل جاده اي خراسان رضوي</v>
      </c>
      <c r="Q1016" s="1">
        <v>19</v>
      </c>
      <c r="R101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16" s="1" t="str">
        <f>"قرارداد فروش"</f>
        <v>قرارداد فروش</v>
      </c>
      <c r="T1016" s="1" t="str">
        <f>"ندارد"</f>
        <v>ندارد</v>
      </c>
      <c r="U1016" s="1" t="str">
        <f>"نظام دوست امين (1911102)"</f>
        <v>نظام دوست امين (1911102)</v>
      </c>
      <c r="V1016" s="1">
        <v>961900019</v>
      </c>
      <c r="W1016" s="1">
        <v>961900019</v>
      </c>
      <c r="X1016" s="1" t="str">
        <f>"1395470874"</f>
        <v>1395470874</v>
      </c>
      <c r="Y1016" s="1" t="str">
        <f>"96/01/16"</f>
        <v>96/01/16</v>
      </c>
      <c r="Z1016" s="1" t="str">
        <f>"65482/710"</f>
        <v>65482/710</v>
      </c>
      <c r="AA1016" s="1" t="str">
        <f>"سازمان راهداري وحمل نقل جاده اي"</f>
        <v>سازمان راهداري وحمل نقل جاده اي</v>
      </c>
      <c r="AB1016" s="1" t="str">
        <f>"95/12/21"</f>
        <v>95/12/21</v>
      </c>
      <c r="AC1016" s="1" t="str">
        <f>"خراسان رضوي"</f>
        <v>خراسان رضوي</v>
      </c>
      <c r="AD1016" s="1" t="str">
        <f>"95/12/23"</f>
        <v>95/12/23</v>
      </c>
      <c r="AE1016" s="1" t="str">
        <f>"اختتام"</f>
        <v>اختتام</v>
      </c>
      <c r="AF1016" s="1" t="str">
        <f>""</f>
        <v/>
      </c>
      <c r="AG1016" s="1" t="str">
        <f>""</f>
        <v/>
      </c>
      <c r="AH1016" s="1" t="str">
        <f>""</f>
        <v/>
      </c>
      <c r="AI1016" s="1" t="str">
        <f>""</f>
        <v/>
      </c>
      <c r="AJ1016" s="1" t="str">
        <f>""</f>
        <v/>
      </c>
      <c r="AK1016" s="1" t="str">
        <f>""</f>
        <v/>
      </c>
    </row>
    <row r="1017" spans="1:37">
      <c r="A1017" s="1">
        <v>250000</v>
      </c>
      <c r="B1017" s="1">
        <v>961900029</v>
      </c>
      <c r="C1017" s="1" t="str">
        <f>"تخليه خراسان رضوي شهرستان نيشابوركارخانه آسفالت دنابنيان بيرجند"</f>
        <v>تخليه خراسان رضوي شهرستان نيشابوركارخانه آسفالت دنابنيان بيرجند</v>
      </c>
      <c r="D1017" s="1">
        <v>9354</v>
      </c>
      <c r="E1017" s="1">
        <v>249400</v>
      </c>
      <c r="F1017" s="1">
        <v>96</v>
      </c>
      <c r="G1017" s="1">
        <v>600</v>
      </c>
      <c r="H1017" s="1" t="str">
        <f>"96/01/16"</f>
        <v>96/01/16</v>
      </c>
      <c r="I1017" s="1" t="str">
        <f>"كيلوگرم"</f>
        <v>كيلوگرم</v>
      </c>
      <c r="J1017" s="1" t="str">
        <f>"0000000091"</f>
        <v>0000000091</v>
      </c>
      <c r="K1017" s="1" t="str">
        <f>"قير  PG64-22"</f>
        <v>قير  PG64-22</v>
      </c>
      <c r="L1017" s="1">
        <v>100</v>
      </c>
      <c r="M1017" s="1" t="str">
        <f>"مخازن قير اصفهان"</f>
        <v>مخازن قير اصفهان</v>
      </c>
      <c r="N1017" s="1">
        <v>11305</v>
      </c>
      <c r="O1017" s="1">
        <v>50034386</v>
      </c>
      <c r="P1017" s="1" t="str">
        <f>"  اداره كل راهداري وحمل ونقل جاده اي خراسان رضوي"</f>
        <v xml:space="preserve">  اداره كل راهداري وحمل ونقل جاده اي خراسان رضوي</v>
      </c>
      <c r="Q1017" s="1">
        <v>19</v>
      </c>
      <c r="R101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17" s="1" t="str">
        <f>"قرارداد فروش"</f>
        <v>قرارداد فروش</v>
      </c>
      <c r="T1017" s="1" t="str">
        <f>"ندارد"</f>
        <v>ندارد</v>
      </c>
      <c r="U1017" s="1" t="str">
        <f>"نظام دوست امين (1911102)"</f>
        <v>نظام دوست امين (1911102)</v>
      </c>
      <c r="V1017" s="1">
        <v>961900029</v>
      </c>
      <c r="W1017" s="1">
        <v>961900029</v>
      </c>
      <c r="X1017" s="1" t="str">
        <f>"1395470897"</f>
        <v>1395470897</v>
      </c>
      <c r="Y1017" s="1" t="str">
        <f>"96/01/16"</f>
        <v>96/01/16</v>
      </c>
      <c r="Z1017" s="1" t="str">
        <f>"65457/710"</f>
        <v>65457/710</v>
      </c>
      <c r="AA1017" s="1" t="str">
        <f>"سازمان راهداري وحمل نقل جاده اي"</f>
        <v>سازمان راهداري وحمل نقل جاده اي</v>
      </c>
      <c r="AB1017" s="1" t="str">
        <f>"95/12/21"</f>
        <v>95/12/21</v>
      </c>
      <c r="AC1017" s="1" t="str">
        <f>"خراسان رضوي"</f>
        <v>خراسان رضوي</v>
      </c>
      <c r="AD1017" s="1" t="str">
        <f>"95/12/23"</f>
        <v>95/12/23</v>
      </c>
      <c r="AE1017" s="1" t="str">
        <f>"اختتام"</f>
        <v>اختتام</v>
      </c>
      <c r="AF1017" s="1" t="str">
        <f>""</f>
        <v/>
      </c>
      <c r="AG1017" s="1" t="str">
        <f>""</f>
        <v/>
      </c>
      <c r="AH1017" s="1" t="str">
        <f>""</f>
        <v/>
      </c>
      <c r="AI1017" s="1" t="str">
        <f>""</f>
        <v/>
      </c>
      <c r="AJ1017" s="1" t="str">
        <f>""</f>
        <v/>
      </c>
      <c r="AK1017" s="1" t="str">
        <f>""</f>
        <v/>
      </c>
    </row>
    <row r="1018" spans="1:37">
      <c r="A1018" s="1">
        <v>361000</v>
      </c>
      <c r="B1018" s="1">
        <v>961900030</v>
      </c>
      <c r="C1018" s="1" t="str">
        <f>"تخليه خراسان رضوي شهرستان مه ولايت كارخانه آسفالت قدرت ايمان كوير"</f>
        <v>تخليه خراسان رضوي شهرستان مه ولايت كارخانه آسفالت قدرت ايمان كوير</v>
      </c>
      <c r="D1018" s="1">
        <v>9068</v>
      </c>
      <c r="E1018" s="1">
        <v>360060</v>
      </c>
      <c r="F1018" s="1">
        <v>96</v>
      </c>
      <c r="G1018" s="1">
        <v>940</v>
      </c>
      <c r="H1018" s="1" t="str">
        <f>"96/01/16"</f>
        <v>96/01/16</v>
      </c>
      <c r="I1018" s="1" t="str">
        <f>"كيلوگرم"</f>
        <v>كيلوگرم</v>
      </c>
      <c r="J1018" s="1" t="str">
        <f>"0000000091"</f>
        <v>0000000091</v>
      </c>
      <c r="K1018" s="1" t="str">
        <f>"قير  PG64-22"</f>
        <v>قير  PG64-22</v>
      </c>
      <c r="L1018" s="1">
        <v>100</v>
      </c>
      <c r="M1018" s="1" t="str">
        <f>"مخازن قير اصفهان"</f>
        <v>مخازن قير اصفهان</v>
      </c>
      <c r="N1018" s="1">
        <v>11305</v>
      </c>
      <c r="O1018" s="1">
        <v>50034387</v>
      </c>
      <c r="P1018" s="1" t="str">
        <f>"  اداره كل راهداري وحمل ونقل جاده اي خراسان رضوي"</f>
        <v xml:space="preserve">  اداره كل راهداري وحمل ونقل جاده اي خراسان رضوي</v>
      </c>
      <c r="Q1018" s="1">
        <v>19</v>
      </c>
      <c r="R101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18" s="1" t="str">
        <f>"قرارداد فروش"</f>
        <v>قرارداد فروش</v>
      </c>
      <c r="T1018" s="1" t="str">
        <f>"ندارد"</f>
        <v>ندارد</v>
      </c>
      <c r="U1018" s="1" t="str">
        <f>"بابامحمدي عنايت اله(4844000)"</f>
        <v>بابامحمدي عنايت اله(4844000)</v>
      </c>
      <c r="V1018" s="1">
        <v>961900030</v>
      </c>
      <c r="W1018" s="1">
        <v>961900030</v>
      </c>
      <c r="X1018" s="1" t="str">
        <f>"1395471101"</f>
        <v>1395471101</v>
      </c>
      <c r="Y1018" s="1" t="str">
        <f>"96/01/16"</f>
        <v>96/01/16</v>
      </c>
      <c r="Z1018" s="1" t="str">
        <f>"66909/710"</f>
        <v>66909/710</v>
      </c>
      <c r="AA1018" s="1" t="str">
        <f>"سازمان راهداري وحمل نقل جاده اي"</f>
        <v>سازمان راهداري وحمل نقل جاده اي</v>
      </c>
      <c r="AB1018" s="1" t="str">
        <f>"95/12/25"</f>
        <v>95/12/25</v>
      </c>
      <c r="AC1018" s="1" t="str">
        <f>"خراسان رضوي"</f>
        <v>خراسان رضوي</v>
      </c>
      <c r="AD1018" s="1" t="str">
        <f>"95/12/28"</f>
        <v>95/12/28</v>
      </c>
      <c r="AE1018" s="1" t="str">
        <f>"اختتام"</f>
        <v>اختتام</v>
      </c>
      <c r="AF1018" s="1" t="str">
        <f>""</f>
        <v/>
      </c>
      <c r="AG1018" s="1" t="str">
        <f>""</f>
        <v/>
      </c>
      <c r="AH1018" s="1" t="str">
        <f>""</f>
        <v/>
      </c>
      <c r="AI1018" s="1" t="str">
        <f>""</f>
        <v/>
      </c>
      <c r="AJ1018" s="1" t="str">
        <f>""</f>
        <v/>
      </c>
      <c r="AK1018" s="1" t="str">
        <f>""</f>
        <v/>
      </c>
    </row>
    <row r="1019" spans="1:37">
      <c r="A1019" s="1">
        <v>300000</v>
      </c>
      <c r="B1019" s="1">
        <v>961900033</v>
      </c>
      <c r="C1019" s="1" t="str">
        <f>"تخليه خراسان جنوبي شهرستان تايبادكارخانه آسفالت استحكام انديش توس"</f>
        <v>تخليه خراسان جنوبي شهرستان تايبادكارخانه آسفالت استحكام انديش توس</v>
      </c>
      <c r="D1019" s="1">
        <v>9068</v>
      </c>
      <c r="E1019" s="1">
        <v>298740</v>
      </c>
      <c r="F1019" s="1">
        <v>96</v>
      </c>
      <c r="G1019" s="1">
        <v>1260</v>
      </c>
      <c r="H1019" s="1" t="str">
        <f>"96/01/16"</f>
        <v>96/01/16</v>
      </c>
      <c r="I1019" s="1" t="str">
        <f>"كيلوگرم"</f>
        <v>كيلوگرم</v>
      </c>
      <c r="J1019" s="1" t="str">
        <f>"0000000091"</f>
        <v>0000000091</v>
      </c>
      <c r="K1019" s="1" t="str">
        <f>"قير  PG64-22"</f>
        <v>قير  PG64-22</v>
      </c>
      <c r="L1019" s="1">
        <v>100</v>
      </c>
      <c r="M1019" s="1" t="str">
        <f>"مخازن قير اصفهان"</f>
        <v>مخازن قير اصفهان</v>
      </c>
      <c r="N1019" s="1">
        <v>11305</v>
      </c>
      <c r="O1019" s="1">
        <v>50034390</v>
      </c>
      <c r="P1019" s="1" t="str">
        <f>"  اداره كل راهداري وحمل ونقل جاده اي خراسان رضوي"</f>
        <v xml:space="preserve">  اداره كل راهداري وحمل ونقل جاده اي خراسان رضوي</v>
      </c>
      <c r="Q1019" s="1">
        <v>19</v>
      </c>
      <c r="R101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19" s="1" t="str">
        <f>"قرارداد فروش"</f>
        <v>قرارداد فروش</v>
      </c>
      <c r="T1019" s="1" t="str">
        <f>"ندارد"</f>
        <v>ندارد</v>
      </c>
      <c r="U1019" s="1" t="str">
        <f>"نظام دوست امين (1911102)"</f>
        <v>نظام دوست امين (1911102)</v>
      </c>
      <c r="V1019" s="1">
        <v>961900033</v>
      </c>
      <c r="W1019" s="1">
        <v>961900033</v>
      </c>
      <c r="X1019" s="1" t="str">
        <f>"1395471101"</f>
        <v>1395471101</v>
      </c>
      <c r="Y1019" s="1" t="str">
        <f>"96/01/16"</f>
        <v>96/01/16</v>
      </c>
      <c r="Z1019" s="1" t="str">
        <f>"66915/710"</f>
        <v>66915/710</v>
      </c>
      <c r="AA1019" s="1" t="str">
        <f>"سازمان راهداري وحمل نقل جاده اي"</f>
        <v>سازمان راهداري وحمل نقل جاده اي</v>
      </c>
      <c r="AB1019" s="1" t="str">
        <f>"95/12/25"</f>
        <v>95/12/25</v>
      </c>
      <c r="AC1019" s="1" t="str">
        <f>"خراسان رضوي"</f>
        <v>خراسان رضوي</v>
      </c>
      <c r="AD1019" s="1" t="str">
        <f>"95/12/28"</f>
        <v>95/12/28</v>
      </c>
      <c r="AE1019" s="1" t="str">
        <f>"اختتام"</f>
        <v>اختتام</v>
      </c>
      <c r="AF1019" s="1" t="str">
        <f>""</f>
        <v/>
      </c>
      <c r="AG1019" s="1" t="str">
        <f>""</f>
        <v/>
      </c>
      <c r="AH1019" s="1" t="str">
        <f>""</f>
        <v/>
      </c>
      <c r="AI1019" s="1" t="str">
        <f>""</f>
        <v/>
      </c>
      <c r="AJ1019" s="1" t="str">
        <f>""</f>
        <v/>
      </c>
      <c r="AK1019" s="1" t="str">
        <f>""</f>
        <v/>
      </c>
    </row>
    <row r="1020" spans="1:37">
      <c r="A1020" s="1">
        <v>950000</v>
      </c>
      <c r="B1020" s="1">
        <v>961800016</v>
      </c>
      <c r="C1020" s="1" t="str">
        <f>"تخليه -خراسان جنوبي محورديهوك راورقبل ازدوراهي نايبندان روبه روي يخسازي"</f>
        <v>تخليه -خراسان جنوبي محورديهوك راورقبل ازدوراهي نايبندان روبه روي يخسازي</v>
      </c>
      <c r="D1020" s="1">
        <v>13600</v>
      </c>
      <c r="E1020" s="1">
        <v>949720</v>
      </c>
      <c r="F1020" s="1">
        <v>96</v>
      </c>
      <c r="G1020" s="1">
        <v>280</v>
      </c>
      <c r="H1020" s="1" t="str">
        <f>"96/05/03"</f>
        <v>96/05/03</v>
      </c>
      <c r="I1020" s="1" t="str">
        <f>"كيلوگرم"</f>
        <v>كيلوگرم</v>
      </c>
      <c r="J1020" s="1" t="str">
        <f>"0000000091"</f>
        <v>0000000091</v>
      </c>
      <c r="K1020" s="1" t="str">
        <f>"قير  PG64-22"</f>
        <v>قير  PG64-22</v>
      </c>
      <c r="L1020" s="1">
        <v>100</v>
      </c>
      <c r="M1020" s="1" t="str">
        <f>"مخازن قير اصفهان"</f>
        <v>مخازن قير اصفهان</v>
      </c>
      <c r="N1020" s="1">
        <v>10098</v>
      </c>
      <c r="O1020" s="1">
        <v>50035325</v>
      </c>
      <c r="P1020" s="1" t="str">
        <f>"  راه سازي کرمان فرا راه"</f>
        <v xml:space="preserve">  راه سازي کرمان فرا راه</v>
      </c>
      <c r="Q1020" s="1">
        <v>18</v>
      </c>
      <c r="R1020" s="1" t="str">
        <f>"فروش داخلي تهران - وزارت راه - شرکت ساخت و توسعه راهها"</f>
        <v>فروش داخلي تهران - وزارت راه - شرکت ساخت و توسعه راهها</v>
      </c>
      <c r="S1020" s="1" t="str">
        <f>"قرارداد فروش"</f>
        <v>قرارداد فروش</v>
      </c>
      <c r="T1020" s="1" t="str">
        <f>"ندارد"</f>
        <v>ندارد</v>
      </c>
      <c r="U1020" s="1" t="str">
        <f>"قانعي محمدرضا(1011ج89)"</f>
        <v>قانعي محمدرضا(1011ج89)</v>
      </c>
      <c r="V1020" s="1">
        <v>961800016</v>
      </c>
      <c r="W1020" s="1">
        <v>961800016</v>
      </c>
      <c r="X1020" s="1" t="str">
        <f>"1396499655"</f>
        <v>1396499655</v>
      </c>
      <c r="Y1020" s="1" t="str">
        <f>"96/05/03"</f>
        <v>96/05/03</v>
      </c>
      <c r="Z1020" s="1" t="str">
        <f>"19055/710"</f>
        <v>19055/710</v>
      </c>
      <c r="AA1020" s="1" t="str">
        <f>"شركت  ساخت وتوسعه راهها"</f>
        <v>شركت  ساخت وتوسعه راهها</v>
      </c>
      <c r="AB1020" s="1" t="str">
        <f>"96/04/26"</f>
        <v>96/04/26</v>
      </c>
      <c r="AC1020" s="1" t="str">
        <f>"خراسان جنوبي"</f>
        <v>خراسان جنوبي</v>
      </c>
      <c r="AD1020" s="1" t="str">
        <f>"96/05/03"</f>
        <v>96/05/03</v>
      </c>
      <c r="AE1020" s="1" t="str">
        <f>"اختتام"</f>
        <v>اختتام</v>
      </c>
      <c r="AF1020" s="1" t="str">
        <f>""</f>
        <v/>
      </c>
      <c r="AG1020" s="1" t="str">
        <f>""</f>
        <v/>
      </c>
      <c r="AH1020" s="1" t="str">
        <f>""</f>
        <v/>
      </c>
      <c r="AI1020" s="1" t="str">
        <f>""</f>
        <v/>
      </c>
      <c r="AJ1020" s="1" t="str">
        <f>""</f>
        <v/>
      </c>
      <c r="AK1020" s="1" t="str">
        <f>""</f>
        <v/>
      </c>
    </row>
    <row r="1021" spans="1:37">
      <c r="A1021" s="1">
        <v>550000</v>
      </c>
      <c r="B1021" s="1">
        <v>961900106</v>
      </c>
      <c r="C1021" s="1" t="str">
        <f>"تخليه - يزد-اردکان-کارخانه آسفالت سطح راهان"</f>
        <v>تخليه - يزد-اردکان-کارخانه آسفالت سطح راهان</v>
      </c>
      <c r="D1021" s="1">
        <v>16350</v>
      </c>
      <c r="E1021" s="1">
        <v>548440</v>
      </c>
      <c r="F1021" s="1">
        <v>96</v>
      </c>
      <c r="G1021" s="1">
        <v>1560</v>
      </c>
      <c r="H1021" s="1" t="str">
        <f>"96/05/10"</f>
        <v>96/05/10</v>
      </c>
      <c r="I1021" s="1" t="str">
        <f>"كيلوگرم"</f>
        <v>كيلوگرم</v>
      </c>
      <c r="J1021" s="1" t="str">
        <f>"0000000091"</f>
        <v>0000000091</v>
      </c>
      <c r="K1021" s="1" t="str">
        <f>"قير  PG64-22"</f>
        <v>قير  PG64-22</v>
      </c>
      <c r="L1021" s="1">
        <v>100</v>
      </c>
      <c r="M1021" s="1" t="str">
        <f>"مخازن قير اصفهان"</f>
        <v>مخازن قير اصفهان</v>
      </c>
      <c r="N1021" s="1">
        <v>11270</v>
      </c>
      <c r="O1021" s="1">
        <v>50035463</v>
      </c>
      <c r="P1021" s="1" t="str">
        <f>"  اداره كل راهداري وحمل ونقل جاده اي يزد"</f>
        <v xml:space="preserve">  اداره كل راهداري وحمل ونقل جاده اي يزد</v>
      </c>
      <c r="Q1021" s="1">
        <v>19</v>
      </c>
      <c r="R102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21" s="1" t="str">
        <f>"قرارداد فروش"</f>
        <v>قرارداد فروش</v>
      </c>
      <c r="T1021" s="1" t="str">
        <f>"ندارد"</f>
        <v>ندارد</v>
      </c>
      <c r="U1021" s="1" t="str">
        <f>"قانعي محمدرضا(1011ج89)"</f>
        <v>قانعي محمدرضا(1011ج89)</v>
      </c>
      <c r="V1021" s="1">
        <v>961900106</v>
      </c>
      <c r="W1021" s="1">
        <v>961900106</v>
      </c>
      <c r="X1021" s="1" t="str">
        <f>"1396501690"</f>
        <v>1396501690</v>
      </c>
      <c r="Y1021" s="1" t="str">
        <f>"96/05/10"</f>
        <v>96/05/10</v>
      </c>
      <c r="Z1021" s="1" t="str">
        <f>"22157/710"</f>
        <v>22157/710</v>
      </c>
      <c r="AA1021" s="1" t="str">
        <f>"سازمان راهداري وحمل نقل جاده اي"</f>
        <v>سازمان راهداري وحمل نقل جاده اي</v>
      </c>
      <c r="AB1021" s="1" t="str">
        <f>"96/05/09"</f>
        <v>96/05/09</v>
      </c>
      <c r="AC1021" s="1" t="str">
        <f>"استان يزد"</f>
        <v>استان يزد</v>
      </c>
      <c r="AD1021" s="1" t="str">
        <f>"96/05/10"</f>
        <v>96/05/10</v>
      </c>
      <c r="AE1021" s="1" t="str">
        <f>"اختتام"</f>
        <v>اختتام</v>
      </c>
      <c r="AF1021" s="1" t="str">
        <f>""</f>
        <v/>
      </c>
      <c r="AG1021" s="1" t="str">
        <f>""</f>
        <v/>
      </c>
      <c r="AH1021" s="1" t="str">
        <f>""</f>
        <v/>
      </c>
      <c r="AI1021" s="1" t="str">
        <f>""</f>
        <v/>
      </c>
      <c r="AJ1021" s="1" t="str">
        <f>""</f>
        <v/>
      </c>
      <c r="AK1021" s="1" t="str">
        <f>""</f>
        <v/>
      </c>
    </row>
    <row r="1022" spans="1:37">
      <c r="A1022" s="1">
        <v>300000</v>
      </c>
      <c r="B1022" s="1">
        <v>961900118</v>
      </c>
      <c r="C1022" s="1" t="str">
        <f>"تخليه - يزد-اردکان-کارخانه آسفالت هامون اردکان"</f>
        <v>تخليه - يزد-اردکان-کارخانه آسفالت هامون اردکان</v>
      </c>
      <c r="D1022" s="1">
        <v>16350</v>
      </c>
      <c r="E1022" s="1">
        <v>300000</v>
      </c>
      <c r="F1022" s="1">
        <v>96</v>
      </c>
      <c r="G1022" s="1">
        <v>0</v>
      </c>
      <c r="H1022" s="1" t="str">
        <f>"96/05/11"</f>
        <v>96/05/11</v>
      </c>
      <c r="I1022" s="1" t="str">
        <f>"كيلوگرم"</f>
        <v>كيلوگرم</v>
      </c>
      <c r="J1022" s="1" t="str">
        <f>"0000000091"</f>
        <v>0000000091</v>
      </c>
      <c r="K1022" s="1" t="str">
        <f>"قير  PG64-22"</f>
        <v>قير  PG64-22</v>
      </c>
      <c r="L1022" s="1">
        <v>100</v>
      </c>
      <c r="M1022" s="1" t="str">
        <f>"مخازن قير اصفهان"</f>
        <v>مخازن قير اصفهان</v>
      </c>
      <c r="N1022" s="1">
        <v>11270</v>
      </c>
      <c r="O1022" s="1">
        <v>50035501</v>
      </c>
      <c r="P1022" s="1" t="str">
        <f>"  اداره كل راهداري وحمل ونقل جاده اي يزد"</f>
        <v xml:space="preserve">  اداره كل راهداري وحمل ونقل جاده اي يزد</v>
      </c>
      <c r="Q1022" s="1">
        <v>19</v>
      </c>
      <c r="R102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22" s="1" t="str">
        <f>"قرارداد فروش"</f>
        <v>قرارداد فروش</v>
      </c>
      <c r="T1022" s="1" t="str">
        <f>"ندارد"</f>
        <v>ندارد</v>
      </c>
      <c r="U1022" s="1" t="str">
        <f>"قانعي محمدرضا(1011ج89)"</f>
        <v>قانعي محمدرضا(1011ج89)</v>
      </c>
      <c r="V1022" s="1">
        <v>961900118</v>
      </c>
      <c r="W1022" s="1">
        <v>961900118</v>
      </c>
      <c r="X1022" s="1" t="str">
        <f>"1396502538"</f>
        <v>1396502538</v>
      </c>
      <c r="Y1022" s="1" t="str">
        <f>"96/05/11"</f>
        <v>96/05/11</v>
      </c>
      <c r="Z1022" s="1" t="str">
        <f>"22352/710"</f>
        <v>22352/710</v>
      </c>
      <c r="AA1022" s="1" t="str">
        <f>"سازمان راهداري وحمل نقل جاده اي"</f>
        <v>سازمان راهداري وحمل نقل جاده اي</v>
      </c>
      <c r="AB1022" s="1" t="str">
        <f>"96/05/10"</f>
        <v>96/05/10</v>
      </c>
      <c r="AC1022" s="1" t="str">
        <f>"استان يزد"</f>
        <v>استان يزد</v>
      </c>
      <c r="AD1022" s="1" t="str">
        <f>"96/05/11"</f>
        <v>96/05/11</v>
      </c>
      <c r="AE1022" s="1" t="str">
        <f>"اختتام"</f>
        <v>اختتام</v>
      </c>
      <c r="AF1022" s="1" t="str">
        <f>""</f>
        <v/>
      </c>
      <c r="AG1022" s="1" t="str">
        <f>""</f>
        <v/>
      </c>
      <c r="AH1022" s="1" t="str">
        <f>""</f>
        <v/>
      </c>
      <c r="AI1022" s="1" t="str">
        <f>""</f>
        <v/>
      </c>
      <c r="AJ1022" s="1" t="str">
        <f>""</f>
        <v/>
      </c>
      <c r="AK1022" s="1" t="str">
        <f>""</f>
        <v/>
      </c>
    </row>
    <row r="1023" spans="1:37">
      <c r="A1023" s="1">
        <v>400000</v>
      </c>
      <c r="B1023" s="1">
        <v>961900125</v>
      </c>
      <c r="C1023" s="1" t="str">
        <f>"تخليه - يزد-اردکان-کارخانه آسفالت هامون اردکان"</f>
        <v>تخليه - يزد-اردکان-کارخانه آسفالت هامون اردکان</v>
      </c>
      <c r="D1023" s="1">
        <v>16350</v>
      </c>
      <c r="E1023" s="1">
        <v>400000</v>
      </c>
      <c r="F1023" s="1">
        <v>96</v>
      </c>
      <c r="G1023" s="1">
        <v>0</v>
      </c>
      <c r="H1023" s="1" t="str">
        <f>"96/05/25"</f>
        <v>96/05/25</v>
      </c>
      <c r="I1023" s="1" t="str">
        <f>"كيلوگرم"</f>
        <v>كيلوگرم</v>
      </c>
      <c r="J1023" s="1" t="str">
        <f>"0000000091"</f>
        <v>0000000091</v>
      </c>
      <c r="K1023" s="1" t="str">
        <f>"قير  PG64-22"</f>
        <v>قير  PG64-22</v>
      </c>
      <c r="L1023" s="1">
        <v>100</v>
      </c>
      <c r="M1023" s="1" t="str">
        <f>"مخازن قير اصفهان"</f>
        <v>مخازن قير اصفهان</v>
      </c>
      <c r="N1023" s="1">
        <v>11270</v>
      </c>
      <c r="O1023" s="1">
        <v>50035699</v>
      </c>
      <c r="P1023" s="1" t="str">
        <f>"  اداره كل راهداري وحمل ونقل جاده اي يزد"</f>
        <v xml:space="preserve">  اداره كل راهداري وحمل ونقل جاده اي يزد</v>
      </c>
      <c r="Q1023" s="1">
        <v>19</v>
      </c>
      <c r="R102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23" s="1" t="str">
        <f>"قرارداد فروش"</f>
        <v>قرارداد فروش</v>
      </c>
      <c r="T1023" s="1" t="str">
        <f>"ندارد"</f>
        <v>ندارد</v>
      </c>
      <c r="U1023" s="1" t="str">
        <f>"قانعي محمدرضا(1011ج89)"</f>
        <v>قانعي محمدرضا(1011ج89)</v>
      </c>
      <c r="V1023" s="1">
        <v>961900125</v>
      </c>
      <c r="W1023" s="1">
        <v>961900125</v>
      </c>
      <c r="X1023" s="1" t="str">
        <f>"1396506145"</f>
        <v>1396506145</v>
      </c>
      <c r="Y1023" s="1" t="str">
        <f>"96/05/25"</f>
        <v>96/05/25</v>
      </c>
      <c r="Z1023" s="1" t="str">
        <f>"24832/710"</f>
        <v>24832/710</v>
      </c>
      <c r="AA1023" s="1" t="str">
        <f>"سازمان راهداري وحمل نقل جاده اي"</f>
        <v>سازمان راهداري وحمل نقل جاده اي</v>
      </c>
      <c r="AB1023" s="1" t="str">
        <f>"96/05/23"</f>
        <v>96/05/23</v>
      </c>
      <c r="AC1023" s="1" t="str">
        <f>"استان يزد"</f>
        <v>استان يزد</v>
      </c>
      <c r="AD1023" s="1" t="str">
        <f>"96/05/25"</f>
        <v>96/05/25</v>
      </c>
      <c r="AE1023" s="1" t="str">
        <f>"اختتام"</f>
        <v>اختتام</v>
      </c>
      <c r="AF1023" s="1" t="str">
        <f>""</f>
        <v/>
      </c>
      <c r="AG1023" s="1" t="str">
        <f>""</f>
        <v/>
      </c>
      <c r="AH1023" s="1" t="str">
        <f>""</f>
        <v/>
      </c>
      <c r="AI1023" s="1" t="str">
        <f>""</f>
        <v/>
      </c>
      <c r="AJ1023" s="1" t="str">
        <f>""</f>
        <v/>
      </c>
      <c r="AK1023" s="1" t="str">
        <f>""</f>
        <v/>
      </c>
    </row>
    <row r="1024" spans="1:37">
      <c r="A1024" s="1">
        <v>200000</v>
      </c>
      <c r="B1024" s="1">
        <v>961900031</v>
      </c>
      <c r="C1024" s="1" t="str">
        <f>"تخليه خراسان رضوي شهرستان مه ولايت كارخانه آسفالت قدرت ايمان كوير"</f>
        <v>تخليه خراسان رضوي شهرستان مه ولايت كارخانه آسفالت قدرت ايمان كوير</v>
      </c>
      <c r="D1024" s="1">
        <v>9068</v>
      </c>
      <c r="E1024" s="1">
        <v>200000</v>
      </c>
      <c r="F1024" s="1">
        <v>96</v>
      </c>
      <c r="G1024" s="1">
        <v>0</v>
      </c>
      <c r="H1024" s="1" t="str">
        <f>"96/01/16"</f>
        <v>96/01/16</v>
      </c>
      <c r="I1024" s="1" t="str">
        <f>"كيلوگرم"</f>
        <v>كيلوگرم</v>
      </c>
      <c r="J1024" s="1" t="str">
        <f>"0000000091"</f>
        <v>0000000091</v>
      </c>
      <c r="K1024" s="1" t="str">
        <f>"قير  PG64-22"</f>
        <v>قير  PG64-22</v>
      </c>
      <c r="L1024" s="1">
        <v>100</v>
      </c>
      <c r="M1024" s="1" t="str">
        <f>"مخازن قير اصفهان"</f>
        <v>مخازن قير اصفهان</v>
      </c>
      <c r="N1024" s="1">
        <v>11305</v>
      </c>
      <c r="O1024" s="1">
        <v>50034388</v>
      </c>
      <c r="P1024" s="1" t="str">
        <f>"  اداره كل راهداري وحمل ونقل جاده اي خراسان رضوي"</f>
        <v xml:space="preserve">  اداره كل راهداري وحمل ونقل جاده اي خراسان رضوي</v>
      </c>
      <c r="Q1024" s="1">
        <v>19</v>
      </c>
      <c r="R102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24" s="1" t="str">
        <f>"قرارداد فروش"</f>
        <v>قرارداد فروش</v>
      </c>
      <c r="T1024" s="1" t="str">
        <f>"ندارد"</f>
        <v>ندارد</v>
      </c>
      <c r="U1024" s="1" t="str">
        <f>"بابامحمدي عنايت اله(4844000)"</f>
        <v>بابامحمدي عنايت اله(4844000)</v>
      </c>
      <c r="V1024" s="1">
        <v>961900031</v>
      </c>
      <c r="W1024" s="1">
        <v>961900031</v>
      </c>
      <c r="X1024" s="1" t="str">
        <f>"1395471101"</f>
        <v>1395471101</v>
      </c>
      <c r="Y1024" s="1" t="str">
        <f>"96/01/16"</f>
        <v>96/01/16</v>
      </c>
      <c r="Z1024" s="1" t="str">
        <f>"66910/710"</f>
        <v>66910/710</v>
      </c>
      <c r="AA1024" s="1" t="str">
        <f>"سازمان راهداري وحمل نقل جاده اي"</f>
        <v>سازمان راهداري وحمل نقل جاده اي</v>
      </c>
      <c r="AB1024" s="1" t="str">
        <f>"95/12/25"</f>
        <v>95/12/25</v>
      </c>
      <c r="AC1024" s="1" t="str">
        <f>"خراسان رضوي"</f>
        <v>خراسان رضوي</v>
      </c>
      <c r="AD1024" s="1" t="str">
        <f>"95/12/28"</f>
        <v>95/12/28</v>
      </c>
      <c r="AE1024" s="1" t="str">
        <f>"اختتام"</f>
        <v>اختتام</v>
      </c>
      <c r="AF1024" s="1" t="str">
        <f>""</f>
        <v/>
      </c>
      <c r="AG1024" s="1" t="str">
        <f>""</f>
        <v/>
      </c>
      <c r="AH1024" s="1" t="str">
        <f>""</f>
        <v/>
      </c>
      <c r="AI1024" s="1" t="str">
        <f>""</f>
        <v/>
      </c>
      <c r="AJ1024" s="1" t="str">
        <f>""</f>
        <v/>
      </c>
      <c r="AK1024" s="1" t="str">
        <f>""</f>
        <v/>
      </c>
    </row>
    <row r="1025" spans="1:37">
      <c r="A1025" s="1">
        <v>200000</v>
      </c>
      <c r="B1025" s="1">
        <v>961900057</v>
      </c>
      <c r="C1025" s="1" t="str">
        <f>"تخليه خراسان رضوي كيلومتر10محورسبزوار-اسفراين شركت عطاملك"</f>
        <v>تخليه خراسان رضوي كيلومتر10محورسبزوار-اسفراين شركت عطاملك</v>
      </c>
      <c r="D1025" s="1">
        <v>8854</v>
      </c>
      <c r="E1025" s="1">
        <v>196480</v>
      </c>
      <c r="F1025" s="1">
        <v>96</v>
      </c>
      <c r="G1025" s="1">
        <v>3520</v>
      </c>
      <c r="H1025" s="1" t="str">
        <f>"96/03/10"</f>
        <v>96/03/10</v>
      </c>
      <c r="I1025" s="1" t="str">
        <f>"كيلوگرم"</f>
        <v>كيلوگرم</v>
      </c>
      <c r="J1025" s="1" t="str">
        <f>"0000000091"</f>
        <v>0000000091</v>
      </c>
      <c r="K1025" s="1" t="str">
        <f>"قير  PG64-22"</f>
        <v>قير  PG64-22</v>
      </c>
      <c r="L1025" s="1">
        <v>100</v>
      </c>
      <c r="M1025" s="1" t="str">
        <f>"مخازن قير اصفهان"</f>
        <v>مخازن قير اصفهان</v>
      </c>
      <c r="N1025" s="1">
        <v>11305</v>
      </c>
      <c r="O1025" s="1">
        <v>50034943</v>
      </c>
      <c r="P1025" s="1" t="str">
        <f>"  اداره كل راهداري وحمل ونقل جاده اي خراسان رضوي"</f>
        <v xml:space="preserve">  اداره كل راهداري وحمل ونقل جاده اي خراسان رضوي</v>
      </c>
      <c r="Q1025" s="1">
        <v>19</v>
      </c>
      <c r="R102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25" s="1" t="str">
        <f>"قرارداد فروش"</f>
        <v>قرارداد فروش</v>
      </c>
      <c r="T1025" s="1" t="str">
        <f>"ندارد"</f>
        <v>ندارد</v>
      </c>
      <c r="U1025" s="1" t="str">
        <f>"نظام دوست امين (1911102)"</f>
        <v>نظام دوست امين (1911102)</v>
      </c>
      <c r="V1025" s="1">
        <v>961900057</v>
      </c>
      <c r="W1025" s="1">
        <v>961900057</v>
      </c>
      <c r="X1025" s="1" t="str">
        <f>"1396485082"</f>
        <v>1396485082</v>
      </c>
      <c r="Y1025" s="1" t="str">
        <f>"96/03/10"</f>
        <v>96/03/10</v>
      </c>
      <c r="Z1025" s="1" t="str">
        <f>"10875/710"</f>
        <v>10875/710</v>
      </c>
      <c r="AA1025" s="1" t="str">
        <f>"سازمان راهداري وحمل نقل جاده اي"</f>
        <v>سازمان راهداري وحمل نقل جاده اي</v>
      </c>
      <c r="AB1025" s="1" t="str">
        <f>"96/03/09"</f>
        <v>96/03/09</v>
      </c>
      <c r="AC1025" s="1" t="str">
        <f>"خراسان رضوي"</f>
        <v>خراسان رضوي</v>
      </c>
      <c r="AD1025" s="1" t="str">
        <f>"96/03/10"</f>
        <v>96/03/10</v>
      </c>
      <c r="AE1025" s="1" t="str">
        <f>"اختتام"</f>
        <v>اختتام</v>
      </c>
      <c r="AF1025" s="1" t="str">
        <f>""</f>
        <v/>
      </c>
      <c r="AG1025" s="1" t="str">
        <f>""</f>
        <v/>
      </c>
      <c r="AH1025" s="1" t="str">
        <f>""</f>
        <v/>
      </c>
      <c r="AI1025" s="1" t="str">
        <f>""</f>
        <v/>
      </c>
      <c r="AJ1025" s="1" t="str">
        <f>""</f>
        <v/>
      </c>
      <c r="AK1025" s="1" t="str">
        <f>""</f>
        <v/>
      </c>
    </row>
    <row r="1026" spans="1:37">
      <c r="A1026" s="1">
        <v>200000</v>
      </c>
      <c r="B1026" s="1">
        <v>961900067</v>
      </c>
      <c r="C1026" s="1" t="str">
        <f>"تخليه - خراسان رضوي-تربت حيدريه-کارخانه آسفالت جاسک"</f>
        <v>تخليه - خراسان رضوي-تربت حيدريه-کارخانه آسفالت جاسک</v>
      </c>
      <c r="D1026" s="1">
        <v>13450</v>
      </c>
      <c r="E1026" s="1">
        <v>199520</v>
      </c>
      <c r="F1026" s="1">
        <v>96</v>
      </c>
      <c r="G1026" s="1">
        <v>480</v>
      </c>
      <c r="H1026" s="1" t="str">
        <f>"96/04/04"</f>
        <v>96/04/04</v>
      </c>
      <c r="I1026" s="1" t="str">
        <f>"كيلوگرم"</f>
        <v>كيلوگرم</v>
      </c>
      <c r="J1026" s="1" t="str">
        <f>"0000000091"</f>
        <v>0000000091</v>
      </c>
      <c r="K1026" s="1" t="str">
        <f>"قير  PG64-22"</f>
        <v>قير  PG64-22</v>
      </c>
      <c r="L1026" s="1">
        <v>100</v>
      </c>
      <c r="M1026" s="1" t="str">
        <f>"مخازن قير اصفهان"</f>
        <v>مخازن قير اصفهان</v>
      </c>
      <c r="N1026" s="1">
        <v>11305</v>
      </c>
      <c r="O1026" s="1">
        <v>50035046</v>
      </c>
      <c r="P1026" s="1" t="str">
        <f>"  اداره كل راهداري وحمل ونقل جاده اي خراسان رضوي"</f>
        <v xml:space="preserve">  اداره كل راهداري وحمل ونقل جاده اي خراسان رضوي</v>
      </c>
      <c r="Q1026" s="1">
        <v>19</v>
      </c>
      <c r="R102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26" s="1" t="str">
        <f>"قرارداد فروش"</f>
        <v>قرارداد فروش</v>
      </c>
      <c r="T1026" s="1" t="str">
        <f>"ندارد"</f>
        <v>ندارد</v>
      </c>
      <c r="U1026" s="1" t="str">
        <f>"نظام دوست امين (1911102)"</f>
        <v>نظام دوست امين (1911102)</v>
      </c>
      <c r="V1026" s="1">
        <v>961900067</v>
      </c>
      <c r="W1026" s="1">
        <v>961900067</v>
      </c>
      <c r="X1026" s="1" t="str">
        <f>"1396490815"</f>
        <v>1396490815</v>
      </c>
      <c r="Y1026" s="1" t="str">
        <f>"96/04/04"</f>
        <v>96/04/04</v>
      </c>
      <c r="Z1026" s="1" t="str">
        <f>"13529/710"</f>
        <v>13529/710</v>
      </c>
      <c r="AA1026" s="1" t="str">
        <f>"سازمان راهداري وحمل نقل جاده اي"</f>
        <v>سازمان راهداري وحمل نقل جاده اي</v>
      </c>
      <c r="AB1026" s="1" t="str">
        <f>"96/03/24"</f>
        <v>96/03/24</v>
      </c>
      <c r="AC1026" s="1" t="str">
        <f>"خراسان رضوي"</f>
        <v>خراسان رضوي</v>
      </c>
      <c r="AD1026" s="1" t="str">
        <f>"96/04/04"</f>
        <v>96/04/04</v>
      </c>
      <c r="AE1026" s="1" t="str">
        <f>"اختتام"</f>
        <v>اختتام</v>
      </c>
      <c r="AF1026" s="1" t="str">
        <f>""</f>
        <v/>
      </c>
      <c r="AG1026" s="1" t="str">
        <f>""</f>
        <v/>
      </c>
      <c r="AH1026" s="1" t="str">
        <f>""</f>
        <v/>
      </c>
      <c r="AI1026" s="1" t="str">
        <f>""</f>
        <v/>
      </c>
      <c r="AJ1026" s="1" t="str">
        <f>""</f>
        <v/>
      </c>
      <c r="AK1026" s="1" t="str">
        <f>""</f>
        <v/>
      </c>
    </row>
    <row r="1027" spans="1:37">
      <c r="A1027" s="1">
        <v>250000</v>
      </c>
      <c r="B1027" s="1">
        <v>961900096</v>
      </c>
      <c r="C1027" s="1" t="str">
        <f>"تخليه خراسان جنوبي شهرستان تايبادكارخانه آسفالت استحكام انديش توس"</f>
        <v>تخليه خراسان جنوبي شهرستان تايبادكارخانه آسفالت استحكام انديش توس</v>
      </c>
      <c r="D1027" s="1">
        <v>9716</v>
      </c>
      <c r="E1027" s="1">
        <v>249500</v>
      </c>
      <c r="F1027" s="1">
        <v>96</v>
      </c>
      <c r="G1027" s="1">
        <v>500</v>
      </c>
      <c r="H1027" s="1" t="str">
        <f>"96/05/10"</f>
        <v>96/05/10</v>
      </c>
      <c r="I1027" s="1" t="str">
        <f>"كيلوگرم"</f>
        <v>كيلوگرم</v>
      </c>
      <c r="J1027" s="1" t="str">
        <f>"0000000091"</f>
        <v>0000000091</v>
      </c>
      <c r="K1027" s="1" t="str">
        <f>"قير  PG64-22"</f>
        <v>قير  PG64-22</v>
      </c>
      <c r="L1027" s="1">
        <v>100</v>
      </c>
      <c r="M1027" s="1" t="str">
        <f>"مخازن قير اصفهان"</f>
        <v>مخازن قير اصفهان</v>
      </c>
      <c r="N1027" s="1">
        <v>11305</v>
      </c>
      <c r="O1027" s="1">
        <v>50035444</v>
      </c>
      <c r="P1027" s="1" t="str">
        <f>"  اداره كل راهداري وحمل ونقل جاده اي خراسان رضوي"</f>
        <v xml:space="preserve">  اداره كل راهداري وحمل ونقل جاده اي خراسان رضوي</v>
      </c>
      <c r="Q1027" s="1">
        <v>19</v>
      </c>
      <c r="R102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27" s="1" t="str">
        <f>"قرارداد فروش"</f>
        <v>قرارداد فروش</v>
      </c>
      <c r="T1027" s="1" t="str">
        <f>"ندارد"</f>
        <v>ندارد</v>
      </c>
      <c r="U1027" s="1" t="str">
        <f>"نظام دوست امين (1911102)"</f>
        <v>نظام دوست امين (1911102)</v>
      </c>
      <c r="V1027" s="1">
        <v>961900096</v>
      </c>
      <c r="W1027" s="1">
        <v>961900096</v>
      </c>
      <c r="X1027" s="1" t="str">
        <f>"1396501691"</f>
        <v>1396501691</v>
      </c>
      <c r="Y1027" s="1" t="str">
        <f>"96/05/10"</f>
        <v>96/05/10</v>
      </c>
      <c r="Z1027" s="1" t="str">
        <f>"22032/710"</f>
        <v>22032/710</v>
      </c>
      <c r="AA1027" s="1" t="str">
        <f>"سازمان راهداري وحمل نقل جاده اي"</f>
        <v>سازمان راهداري وحمل نقل جاده اي</v>
      </c>
      <c r="AB1027" s="1" t="str">
        <f>"96/05/09"</f>
        <v>96/05/09</v>
      </c>
      <c r="AC1027" s="1" t="str">
        <f>"خراسان رضوي"</f>
        <v>خراسان رضوي</v>
      </c>
      <c r="AD1027" s="1" t="str">
        <f>"96/05/10"</f>
        <v>96/05/10</v>
      </c>
      <c r="AE1027" s="1" t="str">
        <f>"اختتام"</f>
        <v>اختتام</v>
      </c>
      <c r="AF1027" s="1" t="str">
        <f>""</f>
        <v/>
      </c>
      <c r="AG1027" s="1" t="str">
        <f>""</f>
        <v/>
      </c>
      <c r="AH1027" s="1" t="str">
        <f>""</f>
        <v/>
      </c>
      <c r="AI1027" s="1" t="str">
        <f>""</f>
        <v/>
      </c>
      <c r="AJ1027" s="1" t="str">
        <f>""</f>
        <v/>
      </c>
      <c r="AK1027" s="1" t="str">
        <f>""</f>
        <v/>
      </c>
    </row>
    <row r="1028" spans="1:37">
      <c r="A1028" s="1">
        <v>157000</v>
      </c>
      <c r="B1028" s="1">
        <v>961700081</v>
      </c>
      <c r="C1028" s="1" t="str">
        <f>"تخليه -لرستان -كيلومتر8جاده خرم آباد-الشتر(تنگ شبيخون )ابتداي جاده پارك جنگلي مخملكوه كارخانه آسفالت مشكين راه رباط"</f>
        <v>تخليه -لرستان -كيلومتر8جاده خرم آباد-الشتر(تنگ شبيخون )ابتداي جاده پارك جنگلي مخملكوه كارخانه آسفالت مشكين راه رباط</v>
      </c>
      <c r="D1028" s="1">
        <v>9204</v>
      </c>
      <c r="E1028" s="1">
        <v>155680</v>
      </c>
      <c r="F1028" s="1">
        <v>96</v>
      </c>
      <c r="G1028" s="1">
        <v>1320</v>
      </c>
      <c r="H1028" s="1" t="str">
        <f>"96/06/05"</f>
        <v>96/06/05</v>
      </c>
      <c r="I1028" s="1" t="str">
        <f>"كيلوگرم"</f>
        <v>كيلوگرم</v>
      </c>
      <c r="J1028" s="1" t="str">
        <f>"0000000092"</f>
        <v>0000000092</v>
      </c>
      <c r="K1028" s="1" t="str">
        <f>"قير  PG64-16"</f>
        <v>قير  PG64-16</v>
      </c>
      <c r="L1028" s="1">
        <v>100</v>
      </c>
      <c r="M1028" s="1" t="str">
        <f>"مخازن قير اصفهان"</f>
        <v>مخازن قير اصفهان</v>
      </c>
      <c r="N1028" s="1">
        <v>10617</v>
      </c>
      <c r="O1028" s="1">
        <v>50035814</v>
      </c>
      <c r="P1028" s="1" t="str">
        <f>"  مشكين راه رباط"</f>
        <v xml:space="preserve">  مشكين راه رباط</v>
      </c>
      <c r="Q1028" s="1">
        <v>17</v>
      </c>
      <c r="R1028" s="1" t="str">
        <f>"فروش داخلي تهران - وزارت راه - راه روستايي - روکش"</f>
        <v>فروش داخلي تهران - وزارت راه - راه روستايي - روکش</v>
      </c>
      <c r="S1028" s="1" t="str">
        <f>"قرارداد فروش"</f>
        <v>قرارداد فروش</v>
      </c>
      <c r="T1028" s="1" t="str">
        <f>"ندارد"</f>
        <v>ندارد</v>
      </c>
      <c r="U1028" s="1" t="str">
        <f>"ريسماني حسن(1007ج89)"</f>
        <v>ريسماني حسن(1007ج89)</v>
      </c>
      <c r="V1028" s="1">
        <v>961700081</v>
      </c>
      <c r="W1028" s="1">
        <v>961700081</v>
      </c>
      <c r="X1028" s="1" t="str">
        <f>"1396508162"</f>
        <v>1396508162</v>
      </c>
      <c r="Y1028" s="1" t="str">
        <f>"96/06/05"</f>
        <v>96/06/05</v>
      </c>
      <c r="Z1028" s="1" t="str">
        <f>"25364/710"</f>
        <v>25364/710</v>
      </c>
      <c r="AA1028" s="1" t="str">
        <f>"راه روستائي -روكش"</f>
        <v>راه روستائي -روكش</v>
      </c>
      <c r="AB1028" s="1" t="str">
        <f>"96/05/25"</f>
        <v>96/05/25</v>
      </c>
      <c r="AC1028" s="1" t="str">
        <f>"لرستان"</f>
        <v>لرستان</v>
      </c>
      <c r="AD1028" s="1" t="str">
        <f>"96/06/05"</f>
        <v>96/06/05</v>
      </c>
      <c r="AE1028" s="1" t="str">
        <f>"اختتام"</f>
        <v>اختتام</v>
      </c>
      <c r="AF1028" s="1" t="str">
        <f>""</f>
        <v/>
      </c>
      <c r="AG1028" s="1" t="str">
        <f>""</f>
        <v/>
      </c>
      <c r="AH1028" s="1" t="str">
        <f>""</f>
        <v/>
      </c>
      <c r="AI1028" s="1" t="str">
        <f>""</f>
        <v/>
      </c>
      <c r="AJ1028" s="1" t="str">
        <f>""</f>
        <v/>
      </c>
      <c r="AK1028" s="1" t="str">
        <f>""</f>
        <v/>
      </c>
    </row>
    <row r="1029" spans="1:37">
      <c r="A1029" s="1">
        <v>900000</v>
      </c>
      <c r="B1029" s="1">
        <v>961900005</v>
      </c>
      <c r="C1029" s="1" t="str">
        <f>"تخليه ايلام آبدانان روستاي ماهوته كارخانه آسفالت شركت شناشيل سازان آبدانان"</f>
        <v>تخليه ايلام آبدانان روستاي ماهوته كارخانه آسفالت شركت شناشيل سازان آبدانان</v>
      </c>
      <c r="D1029" s="1">
        <v>9068</v>
      </c>
      <c r="E1029" s="1">
        <v>898940</v>
      </c>
      <c r="F1029" s="1">
        <v>96</v>
      </c>
      <c r="G1029" s="1">
        <v>1060</v>
      </c>
      <c r="H1029" s="1" t="str">
        <f>"96/01/15"</f>
        <v>96/01/15</v>
      </c>
      <c r="I1029" s="1" t="str">
        <f>"كيلوگرم"</f>
        <v>كيلوگرم</v>
      </c>
      <c r="J1029" s="1" t="str">
        <f>"0000000092"</f>
        <v>0000000092</v>
      </c>
      <c r="K1029" s="1" t="str">
        <f>"قير  PG64-16"</f>
        <v>قير  PG64-16</v>
      </c>
      <c r="L1029" s="1">
        <v>100</v>
      </c>
      <c r="M1029" s="1" t="str">
        <f>"مخازن قير اصفهان"</f>
        <v>مخازن قير اصفهان</v>
      </c>
      <c r="N1029" s="1">
        <v>10693</v>
      </c>
      <c r="O1029" s="1">
        <v>50034358</v>
      </c>
      <c r="P1029" s="1" t="str">
        <f>"  شناشيل سازان آبدانان"</f>
        <v xml:space="preserve">  شناشيل سازان آبدانان</v>
      </c>
      <c r="Q1029" s="1">
        <v>19</v>
      </c>
      <c r="R102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29" s="1" t="str">
        <f>"قرارداد فروش"</f>
        <v>قرارداد فروش</v>
      </c>
      <c r="T1029" s="1" t="str">
        <f>"ندارد"</f>
        <v>ندارد</v>
      </c>
      <c r="U1029" s="1" t="str">
        <f>"عظيمي محمد(2842015)"</f>
        <v>عظيمي محمد(2842015)</v>
      </c>
      <c r="V1029" s="1">
        <v>961900005</v>
      </c>
      <c r="W1029" s="1">
        <v>961900005</v>
      </c>
      <c r="X1029" s="1" t="str">
        <f>"1395471097"</f>
        <v>1395471097</v>
      </c>
      <c r="Y1029" s="1" t="str">
        <f>"96/01/15"</f>
        <v>96/01/15</v>
      </c>
      <c r="Z1029" s="1" t="str">
        <f>"66907/710"</f>
        <v>66907/710</v>
      </c>
      <c r="AA1029" s="1" t="str">
        <f>"سازمان راهداري وحمل نقل جاده اي"</f>
        <v>سازمان راهداري وحمل نقل جاده اي</v>
      </c>
      <c r="AB1029" s="1" t="str">
        <f>"95/12/25"</f>
        <v>95/12/25</v>
      </c>
      <c r="AC1029" s="1" t="str">
        <f>"استان ايلام"</f>
        <v>استان ايلام</v>
      </c>
      <c r="AD1029" s="1" t="str">
        <f>"95/12/28"</f>
        <v>95/12/28</v>
      </c>
      <c r="AE1029" s="1" t="str">
        <f>"اختتام"</f>
        <v>اختتام</v>
      </c>
      <c r="AF1029" s="1" t="str">
        <f>""</f>
        <v/>
      </c>
      <c r="AG1029" s="1" t="str">
        <f>""</f>
        <v/>
      </c>
      <c r="AH1029" s="1" t="str">
        <f>""</f>
        <v/>
      </c>
      <c r="AI1029" s="1" t="str">
        <f>""</f>
        <v/>
      </c>
      <c r="AJ1029" s="1" t="str">
        <f>""</f>
        <v/>
      </c>
      <c r="AK1029" s="1" t="str">
        <f>""</f>
        <v/>
      </c>
    </row>
    <row r="1030" spans="1:37">
      <c r="A1030" s="1">
        <v>200000</v>
      </c>
      <c r="B1030" s="1">
        <v>961900102</v>
      </c>
      <c r="C1030" s="1" t="str">
        <f>"تخليه خراسان رضوي شهرستان نيشابوركارخانه آسفالت دل حفره"</f>
        <v>تخليه خراسان رضوي شهرستان نيشابوركارخانه آسفالت دل حفره</v>
      </c>
      <c r="D1030" s="1">
        <v>12970</v>
      </c>
      <c r="E1030" s="1">
        <v>198840</v>
      </c>
      <c r="F1030" s="1">
        <v>96</v>
      </c>
      <c r="G1030" s="1">
        <v>1160</v>
      </c>
      <c r="H1030" s="1" t="str">
        <f>"96/05/10"</f>
        <v>96/05/10</v>
      </c>
      <c r="I1030" s="1" t="str">
        <f>"كيلوگرم"</f>
        <v>كيلوگرم</v>
      </c>
      <c r="J1030" s="1" t="str">
        <f>"0000000091"</f>
        <v>0000000091</v>
      </c>
      <c r="K1030" s="1" t="str">
        <f>"قير  PG64-22"</f>
        <v>قير  PG64-22</v>
      </c>
      <c r="L1030" s="1">
        <v>100</v>
      </c>
      <c r="M1030" s="1" t="str">
        <f>"مخازن قير اصفهان"</f>
        <v>مخازن قير اصفهان</v>
      </c>
      <c r="N1030" s="1">
        <v>11305</v>
      </c>
      <c r="O1030" s="1">
        <v>50035450</v>
      </c>
      <c r="P1030" s="1" t="str">
        <f>"  اداره كل راهداري وحمل ونقل جاده اي خراسان رضوي"</f>
        <v xml:space="preserve">  اداره كل راهداري وحمل ونقل جاده اي خراسان رضوي</v>
      </c>
      <c r="Q1030" s="1">
        <v>19</v>
      </c>
      <c r="R103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30" s="1" t="str">
        <f>"قرارداد فروش"</f>
        <v>قرارداد فروش</v>
      </c>
      <c r="T1030" s="1" t="str">
        <f>"ندارد"</f>
        <v>ندارد</v>
      </c>
      <c r="U1030" s="1" t="str">
        <f>"نظام دوست امين (1911102)"</f>
        <v>نظام دوست امين (1911102)</v>
      </c>
      <c r="V1030" s="1">
        <v>961900102</v>
      </c>
      <c r="W1030" s="1">
        <v>961900102</v>
      </c>
      <c r="X1030" s="1" t="str">
        <f>"1396501691"</f>
        <v>1396501691</v>
      </c>
      <c r="Y1030" s="1" t="str">
        <f>"96/05/10"</f>
        <v>96/05/10</v>
      </c>
      <c r="Z1030" s="1" t="str">
        <f>"21921/710"</f>
        <v>21921/710</v>
      </c>
      <c r="AA1030" s="1" t="str">
        <f>"سازمان راهداري وحمل نقل جاده اي"</f>
        <v>سازمان راهداري وحمل نقل جاده اي</v>
      </c>
      <c r="AB1030" s="1" t="str">
        <f>"96/05/08"</f>
        <v>96/05/08</v>
      </c>
      <c r="AC1030" s="1" t="str">
        <f>"خراسان رضوي"</f>
        <v>خراسان رضوي</v>
      </c>
      <c r="AD1030" s="1" t="str">
        <f>"96/05/10"</f>
        <v>96/05/10</v>
      </c>
      <c r="AE1030" s="1" t="str">
        <f>"اختتام"</f>
        <v>اختتام</v>
      </c>
      <c r="AF1030" s="1" t="str">
        <f>""</f>
        <v/>
      </c>
      <c r="AG1030" s="1" t="str">
        <f>""</f>
        <v/>
      </c>
      <c r="AH1030" s="1" t="str">
        <f>""</f>
        <v/>
      </c>
      <c r="AI1030" s="1" t="str">
        <f>""</f>
        <v/>
      </c>
      <c r="AJ1030" s="1" t="str">
        <f>""</f>
        <v/>
      </c>
      <c r="AK1030" s="1" t="str">
        <f>""</f>
        <v/>
      </c>
    </row>
    <row r="1031" spans="1:37">
      <c r="A1031" s="1">
        <v>500000</v>
      </c>
      <c r="B1031" s="1">
        <v>961900205</v>
      </c>
      <c r="C1031" s="1" t="str">
        <f>"تخليه خراسان رضوي شهرستان باخرزكارخانه آسفالت شهرداري باخرز"</f>
        <v>تخليه خراسان رضوي شهرستان باخرزكارخانه آسفالت شهرداري باخرز</v>
      </c>
      <c r="D1031" s="1">
        <v>16350</v>
      </c>
      <c r="E1031" s="1">
        <v>498900</v>
      </c>
      <c r="F1031" s="1">
        <v>96</v>
      </c>
      <c r="G1031" s="1">
        <v>1100</v>
      </c>
      <c r="H1031" s="1" t="str">
        <f>"96/12/26"</f>
        <v>96/12/26</v>
      </c>
      <c r="I1031" s="1" t="str">
        <f>"كيلوگرم"</f>
        <v>كيلوگرم</v>
      </c>
      <c r="J1031" s="1" t="str">
        <f>"0000000091"</f>
        <v>0000000091</v>
      </c>
      <c r="K1031" s="1" t="str">
        <f>"قير  PG64-22"</f>
        <v>قير  PG64-22</v>
      </c>
      <c r="L1031" s="1">
        <v>100</v>
      </c>
      <c r="M1031" s="1" t="str">
        <f>"مخازن قير اصفهان"</f>
        <v>مخازن قير اصفهان</v>
      </c>
      <c r="N1031" s="1">
        <v>11305</v>
      </c>
      <c r="O1031" s="1">
        <v>50039067</v>
      </c>
      <c r="P1031" s="1" t="str">
        <f>"  اداره كل راهداري وحمل ونقل جاده اي خراسان رضوي"</f>
        <v xml:space="preserve">  اداره كل راهداري وحمل ونقل جاده اي خراسان رضوي</v>
      </c>
      <c r="Q1031" s="1">
        <v>19</v>
      </c>
      <c r="R103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31" s="1" t="str">
        <f>"قرارداد فروش"</f>
        <v>قرارداد فروش</v>
      </c>
      <c r="T1031" s="1" t="str">
        <f>"ندارد"</f>
        <v>ندارد</v>
      </c>
      <c r="U1031" s="1" t="str">
        <f>"نظام دوست امين (1911102)"</f>
        <v>نظام دوست امين (1911102)</v>
      </c>
      <c r="V1031" s="1">
        <v>961900205</v>
      </c>
      <c r="W1031" s="1">
        <v>961900205</v>
      </c>
      <c r="X1031" s="1" t="str">
        <f>"1396553915"</f>
        <v>1396553915</v>
      </c>
      <c r="Y1031" s="1" t="str">
        <f>"96/12/26"</f>
        <v>96/12/26</v>
      </c>
      <c r="Z1031" s="1" t="str">
        <f>"51427/710"</f>
        <v>51427/710</v>
      </c>
      <c r="AA1031" s="1" t="str">
        <f>"سازمان راهداري وحمل نقل جاده اي"</f>
        <v>سازمان راهداري وحمل نقل جاده اي</v>
      </c>
      <c r="AB1031" s="1" t="str">
        <f>"96/10/05"</f>
        <v>96/10/05</v>
      </c>
      <c r="AC1031" s="1" t="str">
        <f>"خراسان رضوي"</f>
        <v>خراسان رضوي</v>
      </c>
      <c r="AD1031" s="1" t="str">
        <f>"96/12/20"</f>
        <v>96/12/20</v>
      </c>
      <c r="AE1031" s="1" t="str">
        <f>"اختتام"</f>
        <v>اختتام</v>
      </c>
      <c r="AF1031" s="1" t="str">
        <f>""</f>
        <v/>
      </c>
      <c r="AG1031" s="1" t="str">
        <f>""</f>
        <v/>
      </c>
      <c r="AH1031" s="1" t="str">
        <f>""</f>
        <v/>
      </c>
      <c r="AI1031" s="1" t="str">
        <f>""</f>
        <v/>
      </c>
      <c r="AJ1031" s="1" t="str">
        <f>""</f>
        <v/>
      </c>
      <c r="AK1031" s="1" t="str">
        <f>""</f>
        <v/>
      </c>
    </row>
    <row r="1032" spans="1:37">
      <c r="A1032" s="1">
        <v>220000</v>
      </c>
      <c r="B1032" s="1">
        <v>961900044</v>
      </c>
      <c r="C1032" s="1" t="str">
        <f>"تخليه سيستان وبلوچستان زاهدان سازمان عمران شهرداري زاهدان"</f>
        <v>تخليه سيستان وبلوچستان زاهدان سازمان عمران شهرداري زاهدان</v>
      </c>
      <c r="D1032" s="1">
        <v>9354</v>
      </c>
      <c r="E1032" s="1">
        <v>219460</v>
      </c>
      <c r="F1032" s="1">
        <v>96</v>
      </c>
      <c r="G1032" s="1">
        <v>540</v>
      </c>
      <c r="H1032" s="1" t="str">
        <f>"96/01/20"</f>
        <v>96/01/20</v>
      </c>
      <c r="I1032" s="1" t="str">
        <f>"كيلوگرم"</f>
        <v>كيلوگرم</v>
      </c>
      <c r="J1032" s="1" t="str">
        <f>"0000000091"</f>
        <v>0000000091</v>
      </c>
      <c r="K1032" s="1" t="str">
        <f>"قير  PG64-22"</f>
        <v>قير  PG64-22</v>
      </c>
      <c r="L1032" s="1">
        <v>100</v>
      </c>
      <c r="M1032" s="1" t="str">
        <f>"مخازن قير اصفهان"</f>
        <v>مخازن قير اصفهان</v>
      </c>
      <c r="N1032" s="1">
        <v>11331</v>
      </c>
      <c r="O1032" s="1">
        <v>50034590</v>
      </c>
      <c r="P1032" s="1" t="str">
        <f>"  عمران سازه باربد"</f>
        <v xml:space="preserve">  عمران سازه باربد</v>
      </c>
      <c r="Q1032" s="1">
        <v>19</v>
      </c>
      <c r="R103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32" s="1" t="str">
        <f>"قرارداد فروش"</f>
        <v>قرارداد فروش</v>
      </c>
      <c r="T1032" s="1" t="str">
        <f>"ندارد"</f>
        <v>ندارد</v>
      </c>
      <c r="U1032" s="1" t="str">
        <f>"ميرحسيني سيناترابر سيدمحمد(4854031)"</f>
        <v>ميرحسيني سيناترابر سيدمحمد(4854031)</v>
      </c>
      <c r="V1032" s="1">
        <v>961900044</v>
      </c>
      <c r="W1032" s="1">
        <v>961900044</v>
      </c>
      <c r="X1032" s="1" t="str">
        <f>"1395471102"</f>
        <v>1395471102</v>
      </c>
      <c r="Y1032" s="1" t="str">
        <f>"96/01/20"</f>
        <v>96/01/20</v>
      </c>
      <c r="Z1032" s="1" t="str">
        <f>"66045/710"</f>
        <v>66045/710</v>
      </c>
      <c r="AA1032" s="1" t="str">
        <f>"سازمان راهداري وحمل نقل جاده اي"</f>
        <v>سازمان راهداري وحمل نقل جاده اي</v>
      </c>
      <c r="AB1032" s="1" t="str">
        <f>"95/12/23"</f>
        <v>95/12/23</v>
      </c>
      <c r="AC1032" s="1" t="str">
        <f>"استان سيستان بلوچستان"</f>
        <v>استان سيستان بلوچستان</v>
      </c>
      <c r="AD1032" s="1" t="str">
        <f>"95/12/28"</f>
        <v>95/12/28</v>
      </c>
      <c r="AE1032" s="1" t="str">
        <f>"اختتام"</f>
        <v>اختتام</v>
      </c>
      <c r="AF1032" s="1" t="str">
        <f>""</f>
        <v/>
      </c>
      <c r="AG1032" s="1" t="str">
        <f>""</f>
        <v/>
      </c>
      <c r="AH1032" s="1" t="str">
        <f>""</f>
        <v/>
      </c>
      <c r="AI1032" s="1" t="str">
        <f>""</f>
        <v/>
      </c>
      <c r="AJ1032" s="1" t="str">
        <f>""</f>
        <v/>
      </c>
      <c r="AK1032" s="1" t="str">
        <f>""</f>
        <v/>
      </c>
    </row>
    <row r="1033" spans="1:37">
      <c r="A1033" s="1">
        <v>1000000</v>
      </c>
      <c r="B1033" s="1">
        <v>961900062</v>
      </c>
      <c r="C1033" s="1" t="str">
        <f>"تخليه خراسان رضوي مشهد شركت قدرت ايمان كوير"</f>
        <v>تخليه خراسان رضوي مشهد شركت قدرت ايمان كوير</v>
      </c>
      <c r="D1033" s="1">
        <v>8854</v>
      </c>
      <c r="E1033" s="1">
        <v>999480</v>
      </c>
      <c r="F1033" s="1">
        <v>96</v>
      </c>
      <c r="G1033" s="1">
        <v>520</v>
      </c>
      <c r="H1033" s="1" t="str">
        <f>"96/03/24"</f>
        <v>96/03/24</v>
      </c>
      <c r="I1033" s="1" t="str">
        <f>"كيلوگرم"</f>
        <v>كيلوگرم</v>
      </c>
      <c r="J1033" s="1" t="str">
        <f>"0000000091"</f>
        <v>0000000091</v>
      </c>
      <c r="K1033" s="1" t="str">
        <f>"قير  PG64-22"</f>
        <v>قير  PG64-22</v>
      </c>
      <c r="L1033" s="1">
        <v>100</v>
      </c>
      <c r="M1033" s="1" t="str">
        <f>"مخازن قير اصفهان"</f>
        <v>مخازن قير اصفهان</v>
      </c>
      <c r="N1033" s="1">
        <v>11335</v>
      </c>
      <c r="O1033" s="1">
        <v>50035002</v>
      </c>
      <c r="P1033" s="1" t="str">
        <f>"  اداره كل راهداري وحمل ونقل جاده اي سيستان وبلوچستان"</f>
        <v xml:space="preserve">  اداره كل راهداري وحمل ونقل جاده اي سيستان وبلوچستان</v>
      </c>
      <c r="Q1033" s="1">
        <v>19</v>
      </c>
      <c r="R103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33" s="1" t="str">
        <f>"قرارداد فروش"</f>
        <v>قرارداد فروش</v>
      </c>
      <c r="T1033" s="1" t="str">
        <f>"ندارد"</f>
        <v>ندارد</v>
      </c>
      <c r="U1033" s="1" t="str">
        <f>"نظام دوست امين (1911102)"</f>
        <v>نظام دوست امين (1911102)</v>
      </c>
      <c r="V1033" s="1">
        <v>961900062</v>
      </c>
      <c r="W1033" s="1">
        <v>961900062</v>
      </c>
      <c r="X1033" s="1" t="str">
        <f>"1396474838"</f>
        <v>1396474838</v>
      </c>
      <c r="Y1033" s="1" t="str">
        <f>"96/03/24"</f>
        <v>96/03/24</v>
      </c>
      <c r="Z1033" s="1" t="str">
        <f>"66487/710"</f>
        <v>66487/710</v>
      </c>
      <c r="AA1033" s="1" t="str">
        <f>"سازمان راهداري وحمل نقل جاده اي"</f>
        <v>سازمان راهداري وحمل نقل جاده اي</v>
      </c>
      <c r="AB1033" s="1" t="str">
        <f>"95/12/24"</f>
        <v>95/12/24</v>
      </c>
      <c r="AC1033" s="1" t="str">
        <f>"استان سيستان بلوچستان"</f>
        <v>استان سيستان بلوچستان</v>
      </c>
      <c r="AD1033" s="1" t="str">
        <f>"96/01/28"</f>
        <v>96/01/28</v>
      </c>
      <c r="AE1033" s="1" t="str">
        <f>"اختتام"</f>
        <v>اختتام</v>
      </c>
      <c r="AF1033" s="1" t="str">
        <f>""</f>
        <v/>
      </c>
      <c r="AG1033" s="1" t="str">
        <f>""</f>
        <v/>
      </c>
      <c r="AH1033" s="1" t="str">
        <f>""</f>
        <v/>
      </c>
      <c r="AI1033" s="1" t="str">
        <f>""</f>
        <v/>
      </c>
      <c r="AJ1033" s="1" t="str">
        <f>""</f>
        <v/>
      </c>
      <c r="AK1033" s="1" t="str">
        <f>""</f>
        <v/>
      </c>
    </row>
    <row r="1034" spans="1:37">
      <c r="A1034" s="1">
        <v>1000000</v>
      </c>
      <c r="B1034" s="1">
        <v>961600008</v>
      </c>
      <c r="C1034" s="1" t="str">
        <f>"تخليه لرستان خرم آبادپل كشكان كيلومتر50جاده كوهدشت روبروي پاسگاه كارخانه آسفالت شاهين راه غرب"</f>
        <v>تخليه لرستان خرم آبادپل كشكان كيلومتر50جاده كوهدشت روبروي پاسگاه كارخانه آسفالت شاهين راه غرب</v>
      </c>
      <c r="D1034" s="1">
        <v>8904</v>
      </c>
      <c r="E1034" s="1">
        <v>998900</v>
      </c>
      <c r="F1034" s="1">
        <v>96</v>
      </c>
      <c r="G1034" s="1">
        <v>1100</v>
      </c>
      <c r="H1034" s="1" t="str">
        <f>"96/05/04"</f>
        <v>96/05/04</v>
      </c>
      <c r="I1034" s="1" t="str">
        <f>"كيلوگرم"</f>
        <v>كيلوگرم</v>
      </c>
      <c r="J1034" s="1" t="str">
        <f>"0000000091"</f>
        <v>0000000091</v>
      </c>
      <c r="K1034" s="1" t="str">
        <f>"قير  PG64-22"</f>
        <v>قير  PG64-22</v>
      </c>
      <c r="L1034" s="1">
        <v>100</v>
      </c>
      <c r="M1034" s="1" t="str">
        <f>"مخازن قير اصفهان"</f>
        <v>مخازن قير اصفهان</v>
      </c>
      <c r="N1034" s="1">
        <v>11363</v>
      </c>
      <c r="O1034" s="1">
        <v>50035350</v>
      </c>
      <c r="P1034" s="1" t="str">
        <f>"  شاهين راه غرب"</f>
        <v xml:space="preserve">  شاهين راه غرب</v>
      </c>
      <c r="Q1034" s="1">
        <v>16</v>
      </c>
      <c r="R1034" s="1" t="str">
        <f>"فروش داخلي تهران - وزارت راه - معاونت اقتصاد"</f>
        <v>فروش داخلي تهران - وزارت راه - معاونت اقتصاد</v>
      </c>
      <c r="S1034" s="1" t="str">
        <f>"قرارداد فروش"</f>
        <v>قرارداد فروش</v>
      </c>
      <c r="T1034" s="1" t="str">
        <f>"ندارد"</f>
        <v>ندارد</v>
      </c>
      <c r="U1034" s="1" t="str">
        <f>"ريسماني حسن(1007ج89)"</f>
        <v>ريسماني حسن(1007ج89)</v>
      </c>
      <c r="V1034" s="1">
        <v>961600008</v>
      </c>
      <c r="W1034" s="1">
        <v>961600008</v>
      </c>
      <c r="X1034" s="1" t="str">
        <f>"1396500367"</f>
        <v>1396500367</v>
      </c>
      <c r="Y1034" s="1" t="str">
        <f>"96/05/04"</f>
        <v>96/05/04</v>
      </c>
      <c r="Z1034" s="1" t="str">
        <f>"20845/710"</f>
        <v>20845/710</v>
      </c>
      <c r="AA1034" s="1" t="str">
        <f>"معاونت اقتصادوزارت راه وشهرسازي"</f>
        <v>معاونت اقتصادوزارت راه وشهرسازي</v>
      </c>
      <c r="AB1034" s="1" t="str">
        <f>"96/05/03"</f>
        <v>96/05/03</v>
      </c>
      <c r="AC1034" s="1" t="str">
        <f>"لرستان"</f>
        <v>لرستان</v>
      </c>
      <c r="AD1034" s="1" t="str">
        <f>"96/05/04"</f>
        <v>96/05/04</v>
      </c>
      <c r="AE1034" s="1" t="str">
        <f>"اختتام"</f>
        <v>اختتام</v>
      </c>
      <c r="AF1034" s="1" t="str">
        <f>""</f>
        <v/>
      </c>
      <c r="AG1034" s="1" t="str">
        <f>""</f>
        <v/>
      </c>
      <c r="AH1034" s="1" t="str">
        <f>""</f>
        <v/>
      </c>
      <c r="AI1034" s="1" t="str">
        <f>""</f>
        <v/>
      </c>
      <c r="AJ1034" s="1" t="str">
        <f>""</f>
        <v/>
      </c>
      <c r="AK1034" s="1" t="str">
        <f>""</f>
        <v/>
      </c>
    </row>
    <row r="1035" spans="1:37">
      <c r="A1035" s="1">
        <v>1000000</v>
      </c>
      <c r="B1035" s="1">
        <v>961600010</v>
      </c>
      <c r="C1035" s="1" t="str">
        <f>"تخليه - لرستان-ويسيان-کيلومتر 2 جاده پلدختر-شرکت شاهين راه غرب"</f>
        <v>تخليه - لرستان-ويسيان-کيلومتر 2 جاده پلدختر-شرکت شاهين راه غرب</v>
      </c>
      <c r="D1035" s="1">
        <v>9363</v>
      </c>
      <c r="E1035" s="1">
        <v>998240</v>
      </c>
      <c r="F1035" s="1">
        <v>96</v>
      </c>
      <c r="G1035" s="1">
        <v>1760</v>
      </c>
      <c r="H1035" s="1" t="str">
        <f>"96/05/22"</f>
        <v>96/05/22</v>
      </c>
      <c r="I1035" s="1" t="str">
        <f>"كيلوگرم"</f>
        <v>كيلوگرم</v>
      </c>
      <c r="J1035" s="1" t="str">
        <f>"0000000091"</f>
        <v>0000000091</v>
      </c>
      <c r="K1035" s="1" t="str">
        <f>"قير  PG64-22"</f>
        <v>قير  PG64-22</v>
      </c>
      <c r="L1035" s="1">
        <v>100</v>
      </c>
      <c r="M1035" s="1" t="str">
        <f>"مخازن قير اصفهان"</f>
        <v>مخازن قير اصفهان</v>
      </c>
      <c r="N1035" s="1">
        <v>11363</v>
      </c>
      <c r="O1035" s="1">
        <v>50035628</v>
      </c>
      <c r="P1035" s="1" t="str">
        <f>"  شاهين راه غرب"</f>
        <v xml:space="preserve">  شاهين راه غرب</v>
      </c>
      <c r="Q1035" s="1">
        <v>16</v>
      </c>
      <c r="R1035" s="1" t="str">
        <f>"فروش داخلي تهران - وزارت راه - معاونت اقتصاد"</f>
        <v>فروش داخلي تهران - وزارت راه - معاونت اقتصاد</v>
      </c>
      <c r="S1035" s="1" t="str">
        <f>"قرارداد فروش"</f>
        <v>قرارداد فروش</v>
      </c>
      <c r="T1035" s="1" t="str">
        <f>"ندارد"</f>
        <v>ندارد</v>
      </c>
      <c r="U1035" s="1" t="str">
        <f>"عظيمي محمد(2842015)"</f>
        <v>عظيمي محمد(2842015)</v>
      </c>
      <c r="V1035" s="1">
        <v>961600010</v>
      </c>
      <c r="W1035" s="1">
        <v>961600010</v>
      </c>
      <c r="X1035" s="1" t="str">
        <f>"1396504862"</f>
        <v>1396504862</v>
      </c>
      <c r="Y1035" s="1" t="str">
        <f>"96/05/22"</f>
        <v>96/05/22</v>
      </c>
      <c r="Z1035" s="1" t="str">
        <f>"24126/710"</f>
        <v>24126/710</v>
      </c>
      <c r="AA1035" s="1" t="str">
        <f>"معاونت اقتصادوزارت راه وشهرسازي"</f>
        <v>معاونت اقتصادوزارت راه وشهرسازي</v>
      </c>
      <c r="AB1035" s="1" t="str">
        <f>"96/05/21"</f>
        <v>96/05/21</v>
      </c>
      <c r="AC1035" s="1" t="str">
        <f>"لرستان"</f>
        <v>لرستان</v>
      </c>
      <c r="AD1035" s="1" t="str">
        <f>"96/05/22"</f>
        <v>96/05/22</v>
      </c>
      <c r="AE1035" s="1" t="str">
        <f>"اختتام"</f>
        <v>اختتام</v>
      </c>
      <c r="AF1035" s="1" t="str">
        <f>""</f>
        <v/>
      </c>
      <c r="AG1035" s="1" t="str">
        <f>""</f>
        <v/>
      </c>
      <c r="AH1035" s="1" t="str">
        <f>""</f>
        <v/>
      </c>
      <c r="AI1035" s="1" t="str">
        <f>""</f>
        <v/>
      </c>
      <c r="AJ1035" s="1" t="str">
        <f>""</f>
        <v/>
      </c>
      <c r="AK1035" s="1" t="str">
        <f>""</f>
        <v/>
      </c>
    </row>
    <row r="1036" spans="1:37">
      <c r="A1036" s="1">
        <v>500000</v>
      </c>
      <c r="B1036" s="1">
        <v>961900203</v>
      </c>
      <c r="C1036" s="1" t="str">
        <f>"تخليه -شهركرد-سفيددشت -شركت قيرآب سفيددشت"</f>
        <v>تخليه -شهركرد-سفيددشت -شركت قيرآب سفيددشت</v>
      </c>
      <c r="D1036" s="1">
        <v>16350</v>
      </c>
      <c r="E1036" s="1">
        <v>499740</v>
      </c>
      <c r="F1036" s="1">
        <v>96</v>
      </c>
      <c r="G1036" s="1">
        <v>260</v>
      </c>
      <c r="H1036" s="1" t="str">
        <f>"96/12/24"</f>
        <v>96/12/24</v>
      </c>
      <c r="I1036" s="1" t="str">
        <f>"كيلوگرم"</f>
        <v>كيلوگرم</v>
      </c>
      <c r="J1036" s="1" t="str">
        <f>"0000000092"</f>
        <v>0000000092</v>
      </c>
      <c r="K1036" s="1" t="str">
        <f>"قير  PG64-16"</f>
        <v>قير  PG64-16</v>
      </c>
      <c r="L1036" s="1">
        <v>100</v>
      </c>
      <c r="M1036" s="1" t="str">
        <f>"مخازن قير اصفهان"</f>
        <v>مخازن قير اصفهان</v>
      </c>
      <c r="N1036" s="1">
        <v>7337</v>
      </c>
      <c r="O1036" s="1">
        <v>50039023</v>
      </c>
      <c r="P1036" s="1" t="str">
        <f>"  استحكام سراي شهركرد"</f>
        <v xml:space="preserve">  استحكام سراي شهركرد</v>
      </c>
      <c r="Q1036" s="1">
        <v>19</v>
      </c>
      <c r="R103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36" s="1" t="str">
        <f>"قرارداد فروش"</f>
        <v>قرارداد فروش</v>
      </c>
      <c r="T1036" s="1" t="str">
        <f>"ندارد"</f>
        <v>ندارد</v>
      </c>
      <c r="U1036" s="1" t="str">
        <f>"مظلوم فريبرز(1008ج89)"</f>
        <v>مظلوم فريبرز(1008ج89)</v>
      </c>
      <c r="V1036" s="1">
        <v>961900203</v>
      </c>
      <c r="W1036" s="1">
        <v>961900203</v>
      </c>
      <c r="X1036" s="1" t="str">
        <f>"1396555237"</f>
        <v>1396555237</v>
      </c>
      <c r="Y1036" s="1" t="str">
        <f>"96/12/24"</f>
        <v>96/12/24</v>
      </c>
      <c r="Z1036" s="1" t="str">
        <f>"48690/710"</f>
        <v>48690/710</v>
      </c>
      <c r="AA1036" s="1" t="str">
        <f>"سازمان راهداري وحمل نقل جاده اي"</f>
        <v>سازمان راهداري وحمل نقل جاده اي</v>
      </c>
      <c r="AB1036" s="1" t="str">
        <f>"96/09/22"</f>
        <v>96/09/22</v>
      </c>
      <c r="AC1036" s="1" t="str">
        <f>"استان اصفهان"</f>
        <v>استان اصفهان</v>
      </c>
      <c r="AD1036" s="1" t="str">
        <f>"96/12/23"</f>
        <v>96/12/23</v>
      </c>
      <c r="AE1036" s="1" t="str">
        <f>"اختتام"</f>
        <v>اختتام</v>
      </c>
      <c r="AF1036" s="1" t="str">
        <f>""</f>
        <v/>
      </c>
      <c r="AG1036" s="1" t="str">
        <f>""</f>
        <v/>
      </c>
      <c r="AH1036" s="1" t="str">
        <f>""</f>
        <v/>
      </c>
      <c r="AI1036" s="1" t="str">
        <f>""</f>
        <v/>
      </c>
      <c r="AJ1036" s="1" t="str">
        <f>""</f>
        <v/>
      </c>
      <c r="AK1036" s="1" t="str">
        <f>""</f>
        <v/>
      </c>
    </row>
    <row r="1037" spans="1:37">
      <c r="A1037" s="1">
        <v>1000000</v>
      </c>
      <c r="B1037" s="1">
        <v>961600023</v>
      </c>
      <c r="C1037" s="1" t="str">
        <f>"تخليه -كرمان كيلومتر20جاده زرندكارخانه آسفالت 115"</f>
        <v>تخليه -كرمان كيلومتر20جاده زرندكارخانه آسفالت 115</v>
      </c>
      <c r="D1037" s="1">
        <v>13600</v>
      </c>
      <c r="E1037" s="1">
        <v>999380</v>
      </c>
      <c r="F1037" s="1">
        <v>96</v>
      </c>
      <c r="G1037" s="1">
        <v>620</v>
      </c>
      <c r="H1037" s="1" t="str">
        <f>"96/12/03"</f>
        <v>96/12/03</v>
      </c>
      <c r="I1037" s="1" t="str">
        <f>"كيلوگرم"</f>
        <v>كيلوگرم</v>
      </c>
      <c r="J1037" s="1" t="str">
        <f>"0000000092"</f>
        <v>0000000092</v>
      </c>
      <c r="K1037" s="1" t="str">
        <f>"قير  PG64-16"</f>
        <v>قير  PG64-16</v>
      </c>
      <c r="L1037" s="1">
        <v>100</v>
      </c>
      <c r="M1037" s="1" t="str">
        <f>"مخازن قير اصفهان"</f>
        <v>مخازن قير اصفهان</v>
      </c>
      <c r="N1037" s="1">
        <v>8050</v>
      </c>
      <c r="O1037" s="1">
        <v>50038587</v>
      </c>
      <c r="P1037" s="1" t="str">
        <f>"  راهسازي و ساختماني 115"</f>
        <v xml:space="preserve">  راهسازي و ساختماني 115</v>
      </c>
      <c r="Q1037" s="1">
        <v>16</v>
      </c>
      <c r="R1037" s="1" t="str">
        <f>"فروش داخلي تهران - وزارت راه - معاونت اقتصاد"</f>
        <v>فروش داخلي تهران - وزارت راه - معاونت اقتصاد</v>
      </c>
      <c r="S1037" s="1" t="str">
        <f>"قرارداد فروش"</f>
        <v>قرارداد فروش</v>
      </c>
      <c r="T1037" s="1" t="str">
        <f>"ندارد"</f>
        <v>ندارد</v>
      </c>
      <c r="U1037" s="1" t="str">
        <f>"حاصليان ترابرجنوب مرتضي حاصلي (4844006)"</f>
        <v>حاصليان ترابرجنوب مرتضي حاصلي (4844006)</v>
      </c>
      <c r="V1037" s="1">
        <v>961600023</v>
      </c>
      <c r="W1037" s="1">
        <v>961600023</v>
      </c>
      <c r="X1037" s="1" t="str">
        <f>"1396549381"</f>
        <v>1396549381</v>
      </c>
      <c r="Y1037" s="1" t="str">
        <f>"96/12/02"</f>
        <v>96/12/02</v>
      </c>
      <c r="Z1037" s="1" t="str">
        <f>"287406/710"</f>
        <v>287406/710</v>
      </c>
      <c r="AA1037" s="1" t="str">
        <f>"معاونت اقتصادوزارت راه وشهرسازي"</f>
        <v>معاونت اقتصادوزارت راه وشهرسازي</v>
      </c>
      <c r="AB1037" s="1" t="str">
        <f>"96/11/28"</f>
        <v>96/11/28</v>
      </c>
      <c r="AC1037" s="1" t="str">
        <f>"استان كرمان"</f>
        <v>استان كرمان</v>
      </c>
      <c r="AD1037" s="1" t="str">
        <f>"96/11/30"</f>
        <v>96/11/30</v>
      </c>
      <c r="AE1037" s="1" t="str">
        <f>"اختتام"</f>
        <v>اختتام</v>
      </c>
      <c r="AF1037" s="1" t="str">
        <f>""</f>
        <v/>
      </c>
      <c r="AG1037" s="1" t="str">
        <f>""</f>
        <v/>
      </c>
      <c r="AH1037" s="1" t="str">
        <f>""</f>
        <v/>
      </c>
      <c r="AI1037" s="1" t="str">
        <f>""</f>
        <v/>
      </c>
      <c r="AJ1037" s="1" t="str">
        <f>""</f>
        <v/>
      </c>
      <c r="AK1037" s="1" t="str">
        <f>""</f>
        <v/>
      </c>
    </row>
    <row r="1038" spans="1:37">
      <c r="A1038" s="1">
        <v>36159</v>
      </c>
      <c r="B1038" s="1">
        <v>962000460</v>
      </c>
      <c r="C1038" s="1" t="str">
        <f>"تخليه -اصفهان -كيلومتر3جاده وزوان -اصفهان -شركت خاك پي"</f>
        <v>تخليه -اصفهان -كيلومتر3جاده وزوان -اصفهان -شركت خاك پي</v>
      </c>
      <c r="D1038" s="1">
        <v>12820</v>
      </c>
      <c r="E1038" s="1">
        <v>36159</v>
      </c>
      <c r="F1038" s="1">
        <v>96</v>
      </c>
      <c r="G1038" s="1">
        <v>0</v>
      </c>
      <c r="H1038" s="1" t="str">
        <f>"96/09/20"</f>
        <v>96/09/20</v>
      </c>
      <c r="I1038" s="1" t="str">
        <f>"كيلوگرم"</f>
        <v>كيلوگرم</v>
      </c>
      <c r="J1038" s="1" t="str">
        <f>"0000000076"</f>
        <v>0000000076</v>
      </c>
      <c r="K1038" s="1" t="str">
        <f>"قير 60/70 - فله"</f>
        <v>قير 60/70 - فله</v>
      </c>
      <c r="L1038" s="1">
        <v>100</v>
      </c>
      <c r="M1038" s="1" t="str">
        <f>"مخازن قير اصفهان"</f>
        <v>مخازن قير اصفهان</v>
      </c>
      <c r="N1038" s="1">
        <v>10701</v>
      </c>
      <c r="O1038" s="1">
        <v>50037782</v>
      </c>
      <c r="P1038" s="1" t="str">
        <f>"  شهرداري كامو و چوگان"</f>
        <v xml:space="preserve">  شهرداري كامو و چوگان</v>
      </c>
      <c r="Q1038" s="1">
        <v>20</v>
      </c>
      <c r="R1038" s="1" t="str">
        <f>"فروش داخلي - سازمان شهرداري ها و دهياري هاي كشور"</f>
        <v>فروش داخلي - سازمان شهرداري ها و دهياري هاي كشور</v>
      </c>
      <c r="S1038" s="1" t="str">
        <f>"قرارداد فروش"</f>
        <v>قرارداد فروش</v>
      </c>
      <c r="T1038" s="1" t="str">
        <f>"ندارد"</f>
        <v>ندارد</v>
      </c>
      <c r="U1038" s="1" t="str">
        <f>"تعاوني جم گستر (1001 ج 89)"</f>
        <v>تعاوني جم گستر (1001 ج 89)</v>
      </c>
      <c r="V1038" s="1">
        <v>962000460</v>
      </c>
      <c r="W1038" s="1">
        <v>962000460</v>
      </c>
      <c r="X1038" s="1" t="str">
        <f>"1396529711"</f>
        <v>1396529711</v>
      </c>
      <c r="Y1038" s="1" t="str">
        <f>"96/09/20"</f>
        <v>96/09/20</v>
      </c>
      <c r="Z1038" s="1" t="str">
        <f>"37195مرحله دوم"</f>
        <v>37195مرحله دوم</v>
      </c>
      <c r="AA1038" s="1" t="str">
        <f>"شهرداريها"</f>
        <v>شهرداريها</v>
      </c>
      <c r="AB1038" s="1" t="str">
        <f>"96/09/05"</f>
        <v>96/09/05</v>
      </c>
      <c r="AC1038" s="1" t="str">
        <f>"استان اصفهان"</f>
        <v>استان اصفهان</v>
      </c>
      <c r="AD1038" s="1" t="str">
        <f>"96/09/13"</f>
        <v>96/09/13</v>
      </c>
      <c r="AE1038" s="1" t="str">
        <f>"اختتام"</f>
        <v>اختتام</v>
      </c>
      <c r="AF1038" s="1" t="str">
        <f>""</f>
        <v/>
      </c>
      <c r="AG1038" s="1" t="str">
        <f>""</f>
        <v/>
      </c>
      <c r="AH1038" s="1" t="str">
        <f>""</f>
        <v/>
      </c>
      <c r="AI1038" s="1" t="str">
        <f>""</f>
        <v/>
      </c>
      <c r="AJ1038" s="1" t="str">
        <f>""</f>
        <v/>
      </c>
      <c r="AK1038" s="1" t="str">
        <f>""</f>
        <v/>
      </c>
    </row>
    <row r="1039" spans="1:37">
      <c r="A1039" s="1">
        <v>67339</v>
      </c>
      <c r="B1039" s="1">
        <v>962000264</v>
      </c>
      <c r="C1039" s="1" t="str">
        <f>"تخليه -خراسان جنوبي -شهرستان قاين شهرخضري دشت بياض كيلومتر6جاده قاين -شركت پيوندسازان بجنورد"</f>
        <v>تخليه -خراسان جنوبي -شهرستان قاين شهرخضري دشت بياض كيلومتر6جاده قاين -شركت پيوندسازان بجنورد</v>
      </c>
      <c r="D1039" s="1">
        <v>9113</v>
      </c>
      <c r="E1039" s="1">
        <v>66382</v>
      </c>
      <c r="F1039" s="1">
        <v>96</v>
      </c>
      <c r="G1039" s="1">
        <v>957</v>
      </c>
      <c r="H1039" s="1" t="str">
        <f>"96/09/08"</f>
        <v>96/09/08</v>
      </c>
      <c r="I1039" s="1" t="str">
        <f>"كيلوگرم"</f>
        <v>كيلوگرم</v>
      </c>
      <c r="J1039" s="1" t="str">
        <f>"0000000076"</f>
        <v>0000000076</v>
      </c>
      <c r="K1039" s="1" t="str">
        <f>"قير 60/70 - فله"</f>
        <v>قير 60/70 - فله</v>
      </c>
      <c r="L1039" s="1">
        <v>100</v>
      </c>
      <c r="M1039" s="1" t="str">
        <f>"مخازن قير اصفهان"</f>
        <v>مخازن قير اصفهان</v>
      </c>
      <c r="N1039" s="1">
        <v>10704</v>
      </c>
      <c r="O1039" s="1">
        <v>50037393</v>
      </c>
      <c r="P1039" s="1" t="str">
        <f>"  شهرداري اسلاميه"</f>
        <v xml:space="preserve">  شهرداري اسلاميه</v>
      </c>
      <c r="Q1039" s="1">
        <v>20</v>
      </c>
      <c r="R1039" s="1" t="str">
        <f>"فروش داخلي - سازمان شهرداري ها و دهياري هاي كشور"</f>
        <v>فروش داخلي - سازمان شهرداري ها و دهياري هاي كشور</v>
      </c>
      <c r="S1039" s="1" t="str">
        <f>"قرارداد فروش"</f>
        <v>قرارداد فروش</v>
      </c>
      <c r="T1039" s="1" t="str">
        <f>"ندارد"</f>
        <v>ندارد</v>
      </c>
      <c r="U1039" s="1" t="str">
        <f>"تعاوني جم گستر (1001 ج 89)"</f>
        <v>تعاوني جم گستر (1001 ج 89)</v>
      </c>
      <c r="V1039" s="1">
        <v>962000264</v>
      </c>
      <c r="W1039" s="1">
        <v>962000264</v>
      </c>
      <c r="X1039" s="1" t="str">
        <f>"1396514467"</f>
        <v>1396514467</v>
      </c>
      <c r="Y1039" s="1" t="str">
        <f>"96/09/08"</f>
        <v>96/09/08</v>
      </c>
      <c r="Z1039" s="1" t="str">
        <f>"37098مرحله دوم"</f>
        <v>37098مرحله دوم</v>
      </c>
      <c r="AA1039" s="1" t="str">
        <f>"شهرداريها"</f>
        <v>شهرداريها</v>
      </c>
      <c r="AB1039" s="1" t="str">
        <f>"96/09/04"</f>
        <v>96/09/04</v>
      </c>
      <c r="AC1039" s="1" t="str">
        <f>"خراسان جنوبي"</f>
        <v>خراسان جنوبي</v>
      </c>
      <c r="AD1039" s="1" t="str">
        <f>"96/07/03"</f>
        <v>96/07/03</v>
      </c>
      <c r="AE1039" s="1" t="str">
        <f>"اختتام"</f>
        <v>اختتام</v>
      </c>
      <c r="AF1039" s="1" t="str">
        <f>""</f>
        <v/>
      </c>
      <c r="AG1039" s="1" t="str">
        <f>""</f>
        <v/>
      </c>
      <c r="AH1039" s="1" t="str">
        <f>""</f>
        <v/>
      </c>
      <c r="AI1039" s="1" t="str">
        <f>""</f>
        <v/>
      </c>
      <c r="AJ1039" s="1" t="str">
        <f>""</f>
        <v/>
      </c>
      <c r="AK1039" s="1" t="str">
        <f>""</f>
        <v/>
      </c>
    </row>
    <row r="1040" spans="1:37">
      <c r="A1040" s="1">
        <v>106055</v>
      </c>
      <c r="B1040" s="1">
        <v>962000056</v>
      </c>
      <c r="C1040" s="1" t="str">
        <f>"تخليه اصفهان ارغوانيه گردنه زينل روبروي كودآلي كارخانه آسفالت كاشمر"</f>
        <v>تخليه اصفهان ارغوانيه گردنه زينل روبروي كودآلي كارخانه آسفالت كاشمر</v>
      </c>
      <c r="D1040" s="1">
        <v>9113</v>
      </c>
      <c r="E1040" s="1">
        <v>106055</v>
      </c>
      <c r="F1040" s="1">
        <v>96</v>
      </c>
      <c r="G1040" s="1">
        <v>0</v>
      </c>
      <c r="H1040" s="1" t="str">
        <f>"96/07/03"</f>
        <v>96/07/03</v>
      </c>
      <c r="I1040" s="1" t="str">
        <f>"كيلوگرم"</f>
        <v>كيلوگرم</v>
      </c>
      <c r="J1040" s="1" t="str">
        <f>"0000000076"</f>
        <v>0000000076</v>
      </c>
      <c r="K1040" s="1" t="str">
        <f>"قير 60/70 - فله"</f>
        <v>قير 60/70 - فله</v>
      </c>
      <c r="L1040" s="1">
        <v>100</v>
      </c>
      <c r="M1040" s="1" t="str">
        <f>"مخازن قير اصفهان"</f>
        <v>مخازن قير اصفهان</v>
      </c>
      <c r="N1040" s="1">
        <v>10706</v>
      </c>
      <c r="O1040" s="1">
        <v>50036204</v>
      </c>
      <c r="P1040" s="1" t="str">
        <f>"  شهرداري شاپورآباد"</f>
        <v xml:space="preserve">  شهرداري شاپورآباد</v>
      </c>
      <c r="Q1040" s="1">
        <v>20</v>
      </c>
      <c r="R1040" s="1" t="str">
        <f>"فروش داخلي - سازمان شهرداري ها و دهياري هاي كشور"</f>
        <v>فروش داخلي - سازمان شهرداري ها و دهياري هاي كشور</v>
      </c>
      <c r="S1040" s="1" t="str">
        <f>"قرارداد فروش"</f>
        <v>قرارداد فروش</v>
      </c>
      <c r="T1040" s="1" t="str">
        <f>"ندارد"</f>
        <v>ندارد</v>
      </c>
      <c r="U1040" s="1" t="str">
        <f>"تعاوني جم گستر (1001 ج 89)"</f>
        <v>تعاوني جم گستر (1001 ج 89)</v>
      </c>
      <c r="V1040" s="1">
        <v>962000056</v>
      </c>
      <c r="W1040" s="1">
        <v>962000056</v>
      </c>
      <c r="X1040" s="1" t="str">
        <f>"1396514467"</f>
        <v>1396514467</v>
      </c>
      <c r="Y1040" s="1" t="str">
        <f>"96/07/03"</f>
        <v>96/07/03</v>
      </c>
      <c r="Z1040" s="1" t="str">
        <f>"26765مرحله اول"</f>
        <v>26765مرحله اول</v>
      </c>
      <c r="AA1040" s="1" t="str">
        <f>"شهرداريها"</f>
        <v>شهرداريها</v>
      </c>
      <c r="AB1040" s="1" t="str">
        <f>"96/06/29"</f>
        <v>96/06/29</v>
      </c>
      <c r="AC1040" s="1" t="str">
        <f>"استان اصفهان"</f>
        <v>استان اصفهان</v>
      </c>
      <c r="AD1040" s="1" t="str">
        <f>"96/07/03"</f>
        <v>96/07/03</v>
      </c>
      <c r="AE1040" s="1" t="str">
        <f>"اختتام"</f>
        <v>اختتام</v>
      </c>
      <c r="AF1040" s="1" t="str">
        <f>""</f>
        <v/>
      </c>
      <c r="AG1040" s="1" t="str">
        <f>""</f>
        <v/>
      </c>
      <c r="AH1040" s="1" t="str">
        <f>""</f>
        <v/>
      </c>
      <c r="AI1040" s="1" t="str">
        <f>""</f>
        <v/>
      </c>
      <c r="AJ1040" s="1" t="str">
        <f>""</f>
        <v/>
      </c>
      <c r="AK1040" s="1" t="str">
        <f>""</f>
        <v/>
      </c>
    </row>
    <row r="1041" spans="1:37">
      <c r="A1041" s="1">
        <v>101737</v>
      </c>
      <c r="B1041" s="1">
        <v>962000071</v>
      </c>
      <c r="C1041" s="1" t="str">
        <f>"تخليه اصفهان سميرم حناكيلومتر10جاده حناپادنا- جنب كارگاه توليد شن و ماسه نظري- كارخانه آسفالت شهرداري حنا"</f>
        <v>تخليه اصفهان سميرم حناكيلومتر10جاده حناپادنا- جنب كارگاه توليد شن و ماسه نظري- كارخانه آسفالت شهرداري حنا</v>
      </c>
      <c r="D1041" s="1">
        <v>9113</v>
      </c>
      <c r="E1041" s="1">
        <v>101737</v>
      </c>
      <c r="F1041" s="1">
        <v>96</v>
      </c>
      <c r="G1041" s="1">
        <v>0</v>
      </c>
      <c r="H1041" s="1" t="str">
        <f>"96/07/03"</f>
        <v>96/07/03</v>
      </c>
      <c r="I1041" s="1" t="str">
        <f>"كيلوگرم"</f>
        <v>كيلوگرم</v>
      </c>
      <c r="J1041" s="1" t="str">
        <f>"0000000076"</f>
        <v>0000000076</v>
      </c>
      <c r="K1041" s="1" t="str">
        <f>"قير 60/70 - فله"</f>
        <v>قير 60/70 - فله</v>
      </c>
      <c r="L1041" s="1">
        <v>100</v>
      </c>
      <c r="M1041" s="1" t="str">
        <f>"مخازن قير اصفهان"</f>
        <v>مخازن قير اصفهان</v>
      </c>
      <c r="N1041" s="1">
        <v>10716</v>
      </c>
      <c r="O1041" s="1">
        <v>50036223</v>
      </c>
      <c r="P1041" s="1" t="str">
        <f>"  شهرداري كمه"</f>
        <v xml:space="preserve">  شهرداري كمه</v>
      </c>
      <c r="Q1041" s="1">
        <v>20</v>
      </c>
      <c r="R1041" s="1" t="str">
        <f>"فروش داخلي - سازمان شهرداري ها و دهياري هاي كشور"</f>
        <v>فروش داخلي - سازمان شهرداري ها و دهياري هاي كشور</v>
      </c>
      <c r="S1041" s="1" t="str">
        <f>"قرارداد فروش"</f>
        <v>قرارداد فروش</v>
      </c>
      <c r="T1041" s="1" t="str">
        <f>"ندارد"</f>
        <v>ندارد</v>
      </c>
      <c r="U1041" s="1" t="str">
        <f>"تعاوني جم گستر (1001 ج 89)"</f>
        <v>تعاوني جم گستر (1001 ج 89)</v>
      </c>
      <c r="V1041" s="1">
        <v>962000071</v>
      </c>
      <c r="W1041" s="1">
        <v>962000071</v>
      </c>
      <c r="X1041" s="1" t="str">
        <f>"1396514467"</f>
        <v>1396514467</v>
      </c>
      <c r="Y1041" s="1" t="str">
        <f>"96/07/03"</f>
        <v>96/07/03</v>
      </c>
      <c r="Z1041" s="1" t="str">
        <f>"26695مرحله اول"</f>
        <v>26695مرحله اول</v>
      </c>
      <c r="AA1041" s="1" t="str">
        <f>"شهرداريها"</f>
        <v>شهرداريها</v>
      </c>
      <c r="AB1041" s="1" t="str">
        <f>"96/06/29"</f>
        <v>96/06/29</v>
      </c>
      <c r="AC1041" s="1" t="str">
        <f>"استان اصفهان"</f>
        <v>استان اصفهان</v>
      </c>
      <c r="AD1041" s="1" t="str">
        <f>"96/07/03"</f>
        <v>96/07/03</v>
      </c>
      <c r="AE1041" s="1" t="str">
        <f>"اختتام"</f>
        <v>اختتام</v>
      </c>
      <c r="AF1041" s="1" t="str">
        <f>""</f>
        <v/>
      </c>
      <c r="AG1041" s="1" t="str">
        <f>""</f>
        <v/>
      </c>
      <c r="AH1041" s="1" t="str">
        <f>""</f>
        <v/>
      </c>
      <c r="AI1041" s="1" t="str">
        <f>""</f>
        <v/>
      </c>
      <c r="AJ1041" s="1" t="str">
        <f>""</f>
        <v/>
      </c>
      <c r="AK1041" s="1" t="str">
        <f>""</f>
        <v/>
      </c>
    </row>
    <row r="1042" spans="1:37">
      <c r="A1042" s="1">
        <v>1000000</v>
      </c>
      <c r="B1042" s="1">
        <v>961900183</v>
      </c>
      <c r="C1042" s="1" t="str">
        <f>"تخليه قزوين كيلومتر14بوئين زهراكارخانه آسفالت تكميل راه"</f>
        <v>تخليه قزوين كيلومتر14بوئين زهراكارخانه آسفالت تكميل راه</v>
      </c>
      <c r="D1042" s="1">
        <v>13100</v>
      </c>
      <c r="E1042" s="1">
        <v>999760</v>
      </c>
      <c r="F1042" s="1">
        <v>96</v>
      </c>
      <c r="G1042" s="1">
        <v>240</v>
      </c>
      <c r="H1042" s="1" t="str">
        <f>"96/09/08"</f>
        <v>96/09/08</v>
      </c>
      <c r="I1042" s="1" t="str">
        <f>"كيلوگرم"</f>
        <v>كيلوگرم</v>
      </c>
      <c r="J1042" s="1" t="str">
        <f>"0000000091"</f>
        <v>0000000091</v>
      </c>
      <c r="K1042" s="1" t="str">
        <f>"قير  PG64-22"</f>
        <v>قير  PG64-22</v>
      </c>
      <c r="L1042" s="1">
        <v>100</v>
      </c>
      <c r="M1042" s="1" t="str">
        <f>"مخازن قير اصفهان"</f>
        <v>مخازن قير اصفهان</v>
      </c>
      <c r="N1042" s="1">
        <v>10438</v>
      </c>
      <c r="O1042" s="1">
        <v>50037316</v>
      </c>
      <c r="P1042" s="1" t="str">
        <f>"  سعادت هيوا"</f>
        <v xml:space="preserve">  سعادت هيوا</v>
      </c>
      <c r="Q1042" s="1">
        <v>19</v>
      </c>
      <c r="R104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42" s="1" t="str">
        <f>"قرارداد فروش"</f>
        <v>قرارداد فروش</v>
      </c>
      <c r="T1042" s="1" t="str">
        <f>"ندارد"</f>
        <v>ندارد</v>
      </c>
      <c r="U1042" s="1" t="str">
        <f>"غلام نجفي سيامك‌‌‌‌‌‌(1881082)"</f>
        <v>غلام نجفي سيامك‌‌‌‌‌‌(1881082)</v>
      </c>
      <c r="V1042" s="1">
        <v>961900183</v>
      </c>
      <c r="W1042" s="1">
        <v>961900183</v>
      </c>
      <c r="X1042" s="1" t="str">
        <f>"1396529175"</f>
        <v>1396529175</v>
      </c>
      <c r="Y1042" s="1" t="str">
        <f>"96/09/08"</f>
        <v>96/09/08</v>
      </c>
      <c r="Z1042" s="1" t="str">
        <f>"43854/710"</f>
        <v>43854/710</v>
      </c>
      <c r="AA1042" s="1" t="str">
        <f>"سازمان راهداري وحمل نقل جاده اي"</f>
        <v>سازمان راهداري وحمل نقل جاده اي</v>
      </c>
      <c r="AB1042" s="1" t="str">
        <f>"96/08/27"</f>
        <v>96/08/27</v>
      </c>
      <c r="AC1042" s="1" t="str">
        <f>"قزوين"</f>
        <v>قزوين</v>
      </c>
      <c r="AD1042" s="1" t="str">
        <f>"96/09/08"</f>
        <v>96/09/08</v>
      </c>
      <c r="AE1042" s="1" t="str">
        <f>"اختتام"</f>
        <v>اختتام</v>
      </c>
      <c r="AF1042" s="1" t="str">
        <f>""</f>
        <v/>
      </c>
      <c r="AG1042" s="1" t="str">
        <f>""</f>
        <v/>
      </c>
      <c r="AH1042" s="1" t="str">
        <f>""</f>
        <v/>
      </c>
      <c r="AI1042" s="1" t="str">
        <f>""</f>
        <v/>
      </c>
      <c r="AJ1042" s="1" t="str">
        <f>""</f>
        <v/>
      </c>
      <c r="AK1042" s="1" t="str">
        <f>""</f>
        <v/>
      </c>
    </row>
    <row r="1043" spans="1:37">
      <c r="A1043" s="1">
        <v>500000</v>
      </c>
      <c r="B1043" s="1">
        <v>961900192</v>
      </c>
      <c r="C1043" s="1" t="str">
        <f>"تخليه خراسان رضوي شهرستان گنابادكارخانه آسفالت كيهان راه شرق"</f>
        <v>تخليه خراسان رضوي شهرستان گنابادكارخانه آسفالت كيهان راه شرق</v>
      </c>
      <c r="D1043" s="1">
        <v>14000</v>
      </c>
      <c r="E1043" s="1">
        <v>498980</v>
      </c>
      <c r="F1043" s="1">
        <v>96</v>
      </c>
      <c r="G1043" s="1">
        <v>1020</v>
      </c>
      <c r="H1043" s="1" t="str">
        <f>"96/12/07"</f>
        <v>96/12/07</v>
      </c>
      <c r="I1043" s="1" t="str">
        <f>"كيلوگرم"</f>
        <v>كيلوگرم</v>
      </c>
      <c r="J1043" s="1" t="str">
        <f>"0000000091"</f>
        <v>0000000091</v>
      </c>
      <c r="K1043" s="1" t="str">
        <f>"قير  PG64-22"</f>
        <v>قير  PG64-22</v>
      </c>
      <c r="L1043" s="1">
        <v>100</v>
      </c>
      <c r="M1043" s="1" t="str">
        <f>"مخازن قير اصفهان"</f>
        <v>مخازن قير اصفهان</v>
      </c>
      <c r="N1043" s="1">
        <v>11305</v>
      </c>
      <c r="O1043" s="1">
        <v>50038633</v>
      </c>
      <c r="P1043" s="1" t="str">
        <f>"  اداره كل راهداري وحمل ونقل جاده اي خراسان رضوي"</f>
        <v xml:space="preserve">  اداره كل راهداري وحمل ونقل جاده اي خراسان رضوي</v>
      </c>
      <c r="Q1043" s="1">
        <v>19</v>
      </c>
      <c r="R104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43" s="1" t="str">
        <f>"قرارداد فروش"</f>
        <v>قرارداد فروش</v>
      </c>
      <c r="T1043" s="1" t="str">
        <f>"ندارد"</f>
        <v>ندارد</v>
      </c>
      <c r="U1043" s="1" t="str">
        <f>"نظام دوست امين (1911102)"</f>
        <v>نظام دوست امين (1911102)</v>
      </c>
      <c r="V1043" s="1">
        <v>961900192</v>
      </c>
      <c r="W1043" s="1">
        <v>961900192</v>
      </c>
      <c r="X1043" s="1" t="str">
        <f>"1396550588"</f>
        <v>1396550588</v>
      </c>
      <c r="Y1043" s="1" t="str">
        <f>"96/12/07"</f>
        <v>96/12/07</v>
      </c>
      <c r="Z1043" s="1" t="str">
        <f>"51429/710"</f>
        <v>51429/710</v>
      </c>
      <c r="AA1043" s="1" t="str">
        <f>"سازمان راهداري وحمل نقل جاده اي"</f>
        <v>سازمان راهداري وحمل نقل جاده اي</v>
      </c>
      <c r="AB1043" s="1" t="str">
        <f>"96/10/05"</f>
        <v>96/10/05</v>
      </c>
      <c r="AC1043" s="1" t="str">
        <f>"خراسان رضوي"</f>
        <v>خراسان رضوي</v>
      </c>
      <c r="AD1043" s="1" t="str">
        <f>"96/12/07"</f>
        <v>96/12/07</v>
      </c>
      <c r="AE1043" s="1" t="str">
        <f>"اختتام"</f>
        <v>اختتام</v>
      </c>
      <c r="AF1043" s="1" t="str">
        <f>""</f>
        <v/>
      </c>
      <c r="AG1043" s="1" t="str">
        <f>""</f>
        <v/>
      </c>
      <c r="AH1043" s="1" t="str">
        <f>""</f>
        <v/>
      </c>
      <c r="AI1043" s="1" t="str">
        <f>""</f>
        <v/>
      </c>
      <c r="AJ1043" s="1" t="str">
        <f>""</f>
        <v/>
      </c>
      <c r="AK1043" s="1" t="str">
        <f>""</f>
        <v/>
      </c>
    </row>
    <row r="1044" spans="1:37">
      <c r="A1044" s="1">
        <v>700000</v>
      </c>
      <c r="B1044" s="1">
        <v>961900063</v>
      </c>
      <c r="C1044" s="1" t="str">
        <f>"تخليه سيستان وبلوچستان شهرستان هامون شهرمحمدآبادكيلومتر5روستاي شهرك ميرشركت سيستان سازه زابل"</f>
        <v>تخليه سيستان وبلوچستان شهرستان هامون شهرمحمدآبادكيلومتر5روستاي شهرك ميرشركت سيستان سازه زابل</v>
      </c>
      <c r="D1044" s="1">
        <v>8854</v>
      </c>
      <c r="E1044" s="1">
        <v>698060</v>
      </c>
      <c r="F1044" s="1">
        <v>96</v>
      </c>
      <c r="G1044" s="1">
        <v>1940</v>
      </c>
      <c r="H1044" s="1" t="str">
        <f>"96/03/24"</f>
        <v>96/03/24</v>
      </c>
      <c r="I1044" s="1" t="str">
        <f>"كيلوگرم"</f>
        <v>كيلوگرم</v>
      </c>
      <c r="J1044" s="1" t="str">
        <f>"0000000091"</f>
        <v>0000000091</v>
      </c>
      <c r="K1044" s="1" t="str">
        <f>"قير  PG64-22"</f>
        <v>قير  PG64-22</v>
      </c>
      <c r="L1044" s="1">
        <v>100</v>
      </c>
      <c r="M1044" s="1" t="str">
        <f>"مخازن قير اصفهان"</f>
        <v>مخازن قير اصفهان</v>
      </c>
      <c r="N1044" s="1">
        <v>11335</v>
      </c>
      <c r="O1044" s="1">
        <v>50035003</v>
      </c>
      <c r="P1044" s="1" t="str">
        <f>"  اداره كل راهداري وحمل ونقل جاده اي سيستان وبلوچستان"</f>
        <v xml:space="preserve">  اداره كل راهداري وحمل ونقل جاده اي سيستان وبلوچستان</v>
      </c>
      <c r="Q1044" s="1">
        <v>19</v>
      </c>
      <c r="R104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44" s="1" t="str">
        <f>"قرارداد فروش"</f>
        <v>قرارداد فروش</v>
      </c>
      <c r="T1044" s="1" t="str">
        <f>"ندارد"</f>
        <v>ندارد</v>
      </c>
      <c r="U1044" s="1" t="str">
        <f>"قانعي محمدرضا(1011ج89)"</f>
        <v>قانعي محمدرضا(1011ج89)</v>
      </c>
      <c r="V1044" s="1">
        <v>961900063</v>
      </c>
      <c r="W1044" s="1">
        <v>961900063</v>
      </c>
      <c r="X1044" s="1" t="str">
        <f>"1396474838"</f>
        <v>1396474838</v>
      </c>
      <c r="Y1044" s="1" t="str">
        <f>"96/03/24"</f>
        <v>96/03/24</v>
      </c>
      <c r="Z1044" s="1" t="str">
        <f>"66487/710"</f>
        <v>66487/710</v>
      </c>
      <c r="AA1044" s="1" t="str">
        <f>"سازمان راهداري وحمل نقل جاده اي"</f>
        <v>سازمان راهداري وحمل نقل جاده اي</v>
      </c>
      <c r="AB1044" s="1" t="str">
        <f>"95/12/24"</f>
        <v>95/12/24</v>
      </c>
      <c r="AC1044" s="1" t="str">
        <f>"استان سيستان بلوچستان"</f>
        <v>استان سيستان بلوچستان</v>
      </c>
      <c r="AD1044" s="1" t="str">
        <f>"96/01/28"</f>
        <v>96/01/28</v>
      </c>
      <c r="AE1044" s="1" t="str">
        <f>"اختتام"</f>
        <v>اختتام</v>
      </c>
      <c r="AF1044" s="1" t="str">
        <f>""</f>
        <v/>
      </c>
      <c r="AG1044" s="1" t="str">
        <f>""</f>
        <v/>
      </c>
      <c r="AH1044" s="1" t="str">
        <f>""</f>
        <v/>
      </c>
      <c r="AI1044" s="1" t="str">
        <f>""</f>
        <v/>
      </c>
      <c r="AJ1044" s="1" t="str">
        <f>""</f>
        <v/>
      </c>
      <c r="AK1044" s="1" t="str">
        <f>""</f>
        <v/>
      </c>
    </row>
    <row r="1045" spans="1:37">
      <c r="A1045" s="1">
        <v>5000000</v>
      </c>
      <c r="B1045" s="1">
        <v>961800028</v>
      </c>
      <c r="C1045" s="1" t="str">
        <f>"تخليه - اصفهان- قطعه 1 آزاد راه کنارگذر شرق سپاهان-کارخانه آسفالت شرکت اسکان ده"</f>
        <v>تخليه - اصفهان- قطعه 1 آزاد راه کنارگذر شرق سپاهان-کارخانه آسفالت شرکت اسکان ده</v>
      </c>
      <c r="D1045" s="1">
        <v>13600</v>
      </c>
      <c r="E1045" s="1">
        <v>4998760</v>
      </c>
      <c r="F1045" s="1">
        <v>96</v>
      </c>
      <c r="G1045" s="1">
        <v>1240</v>
      </c>
      <c r="H1045" s="1" t="str">
        <f>"96/05/24"</f>
        <v>96/05/24</v>
      </c>
      <c r="I1045" s="1" t="str">
        <f>"كيلوگرم"</f>
        <v>كيلوگرم</v>
      </c>
      <c r="J1045" s="1" t="str">
        <f>"0000000091"</f>
        <v>0000000091</v>
      </c>
      <c r="K1045" s="1" t="str">
        <f>"قير  PG64-22"</f>
        <v>قير  PG64-22</v>
      </c>
      <c r="L1045" s="1">
        <v>100</v>
      </c>
      <c r="M1045" s="1" t="str">
        <f>"مخازن قير اصفهان"</f>
        <v>مخازن قير اصفهان</v>
      </c>
      <c r="N1045" s="1">
        <v>11368</v>
      </c>
      <c r="O1045" s="1">
        <v>50035668</v>
      </c>
      <c r="P1045" s="1" t="str">
        <f>"  احداث نگهداري و بهره برداري آزاد راه شرق سپاهان"</f>
        <v xml:space="preserve">  احداث نگهداري و بهره برداري آزاد راه شرق سپاهان</v>
      </c>
      <c r="Q1045" s="1">
        <v>18</v>
      </c>
      <c r="R1045" s="1" t="str">
        <f>"فروش داخلي تهران - وزارت راه - شرکت ساخت و توسعه راهها"</f>
        <v>فروش داخلي تهران - وزارت راه - شرکت ساخت و توسعه راهها</v>
      </c>
      <c r="S1045" s="1" t="str">
        <f>"قرارداد فروش"</f>
        <v>قرارداد فروش</v>
      </c>
      <c r="T1045" s="1" t="str">
        <f>"ندارد"</f>
        <v>ندارد</v>
      </c>
      <c r="U1045" s="1" t="str">
        <f>"شهبازي محمدرضا(1029ج89)"</f>
        <v>شهبازي محمدرضا(1029ج89)</v>
      </c>
      <c r="V1045" s="1">
        <v>961800028</v>
      </c>
      <c r="W1045" s="1">
        <v>961800028</v>
      </c>
      <c r="X1045" s="1" t="str">
        <f>"1396505504"</f>
        <v>1396505504</v>
      </c>
      <c r="Y1045" s="1" t="str">
        <f>"96/05/24"</f>
        <v>96/05/24</v>
      </c>
      <c r="Z1045" s="1" t="str">
        <f>"24519/710"</f>
        <v>24519/710</v>
      </c>
      <c r="AA1045" s="1" t="str">
        <f>"شركت  ساخت وتوسعه راهها"</f>
        <v>شركت  ساخت وتوسعه راهها</v>
      </c>
      <c r="AB1045" s="1" t="str">
        <f>"96/05/22"</f>
        <v>96/05/22</v>
      </c>
      <c r="AC1045" s="1" t="str">
        <f>"استان اصفهان"</f>
        <v>استان اصفهان</v>
      </c>
      <c r="AD1045" s="1" t="str">
        <f>"96/05/24"</f>
        <v>96/05/24</v>
      </c>
      <c r="AE1045" s="1" t="str">
        <f>"اختتام"</f>
        <v>اختتام</v>
      </c>
      <c r="AF1045" s="1" t="str">
        <f>""</f>
        <v/>
      </c>
      <c r="AG1045" s="1" t="str">
        <f>""</f>
        <v/>
      </c>
      <c r="AH1045" s="1" t="str">
        <f>""</f>
        <v/>
      </c>
      <c r="AI1045" s="1" t="str">
        <f>""</f>
        <v/>
      </c>
      <c r="AJ1045" s="1" t="str">
        <f>""</f>
        <v/>
      </c>
      <c r="AK1045" s="1" t="str">
        <f>""</f>
        <v/>
      </c>
    </row>
    <row r="1046" spans="1:37">
      <c r="A1046" s="1">
        <v>170000</v>
      </c>
      <c r="B1046" s="1">
        <v>961900174</v>
      </c>
      <c r="C1046" s="1" t="str">
        <f>"تخليه-کهگيلويه و بويراحمد-ياسوج - کارخانه آسفالت دارشاهي"</f>
        <v>تخليه-کهگيلويه و بويراحمد-ياسوج - کارخانه آسفالت دارشاهي</v>
      </c>
      <c r="D1046" s="1">
        <v>12970</v>
      </c>
      <c r="E1046" s="1">
        <v>169900</v>
      </c>
      <c r="F1046" s="1">
        <v>96</v>
      </c>
      <c r="G1046" s="1">
        <v>100</v>
      </c>
      <c r="H1046" s="1" t="str">
        <f>"96/07/22"</f>
        <v>96/07/22</v>
      </c>
      <c r="I1046" s="1" t="str">
        <f>"كيلوگرم"</f>
        <v>كيلوگرم</v>
      </c>
      <c r="J1046" s="1" t="str">
        <f>"0000000091"</f>
        <v>0000000091</v>
      </c>
      <c r="K1046" s="1" t="str">
        <f>"قير  PG64-22"</f>
        <v>قير  PG64-22</v>
      </c>
      <c r="L1046" s="1">
        <v>100</v>
      </c>
      <c r="M1046" s="1" t="str">
        <f>"مخازن قير اصفهان"</f>
        <v>مخازن قير اصفهان</v>
      </c>
      <c r="N1046" s="1">
        <v>11474</v>
      </c>
      <c r="O1046" s="1">
        <v>50036705</v>
      </c>
      <c r="P1046" s="1" t="str">
        <f>"  نادر گستر دشت گز"</f>
        <v xml:space="preserve">  نادر گستر دشت گز</v>
      </c>
      <c r="Q1046" s="1">
        <v>19</v>
      </c>
      <c r="R104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46" s="1" t="str">
        <f>"قرارداد فروش"</f>
        <v>قرارداد فروش</v>
      </c>
      <c r="T1046" s="1" t="str">
        <f>"ندارد"</f>
        <v>ندارد</v>
      </c>
      <c r="U1046" s="1" t="str">
        <f>"غلام نجفي سيامك‌‌‌‌‌‌(1881082)"</f>
        <v>غلام نجفي سيامك‌‌‌‌‌‌(1881082)</v>
      </c>
      <c r="V1046" s="1">
        <v>961900174</v>
      </c>
      <c r="W1046" s="1">
        <v>961900174</v>
      </c>
      <c r="X1046" s="1" t="str">
        <f>"1396518619"</f>
        <v>1396518619</v>
      </c>
      <c r="Y1046" s="1" t="str">
        <f>"96/07/22"</f>
        <v>96/07/22</v>
      </c>
      <c r="Z1046" s="1" t="str">
        <f>"34584/710"</f>
        <v>34584/710</v>
      </c>
      <c r="AA1046" s="1" t="str">
        <f>"سازمان راهداري وحمل نقل جاده اي"</f>
        <v>سازمان راهداري وحمل نقل جاده اي</v>
      </c>
      <c r="AB1046" s="1" t="str">
        <f>"96/07/15"</f>
        <v>96/07/15</v>
      </c>
      <c r="AC1046" s="1" t="str">
        <f>"كهكيلويه و بوير احمد"</f>
        <v>كهكيلويه و بوير احمد</v>
      </c>
      <c r="AD1046" s="1" t="str">
        <f>"96/07/22"</f>
        <v>96/07/22</v>
      </c>
      <c r="AE1046" s="1" t="str">
        <f>"اختتام"</f>
        <v>اختتام</v>
      </c>
      <c r="AF1046" s="1" t="str">
        <f>""</f>
        <v/>
      </c>
      <c r="AG1046" s="1" t="str">
        <f>""</f>
        <v/>
      </c>
      <c r="AH1046" s="1" t="str">
        <f>""</f>
        <v/>
      </c>
      <c r="AI1046" s="1" t="str">
        <f>""</f>
        <v/>
      </c>
      <c r="AJ1046" s="1" t="str">
        <f>""</f>
        <v/>
      </c>
      <c r="AK1046" s="1" t="str">
        <f>""</f>
        <v/>
      </c>
    </row>
    <row r="1047" spans="1:37">
      <c r="A1047" s="1">
        <v>241000</v>
      </c>
      <c r="B1047" s="1">
        <v>961700085</v>
      </c>
      <c r="C1047" s="1" t="str">
        <f>"ايرانشهرچابهاركارخانه آسفالت شهرداري چابهار"</f>
        <v>ايرانشهرچابهاركارخانه آسفالت شهرداري چابهار</v>
      </c>
      <c r="D1047" s="1">
        <v>12970</v>
      </c>
      <c r="E1047" s="1">
        <v>240540</v>
      </c>
      <c r="F1047" s="1">
        <v>96</v>
      </c>
      <c r="G1047" s="1">
        <v>460</v>
      </c>
      <c r="H1047" s="1" t="str">
        <f>"96/06/05"</f>
        <v>96/06/05</v>
      </c>
      <c r="I1047" s="1" t="str">
        <f>"كيلوگرم"</f>
        <v>كيلوگرم</v>
      </c>
      <c r="J1047" s="1" t="str">
        <f>"0000000092"</f>
        <v>0000000092</v>
      </c>
      <c r="K1047" s="1" t="str">
        <f>"قير  PG64-16"</f>
        <v>قير  PG64-16</v>
      </c>
      <c r="L1047" s="1">
        <v>100</v>
      </c>
      <c r="M1047" s="1" t="str">
        <f>"مخازن قير اصفهان"</f>
        <v>مخازن قير اصفهان</v>
      </c>
      <c r="N1047" s="1">
        <v>8068</v>
      </c>
      <c r="O1047" s="1">
        <v>50035824</v>
      </c>
      <c r="P1047" s="1" t="str">
        <f>"  اداره كل راه وشهرسازي ايرانشهر"</f>
        <v xml:space="preserve">  اداره كل راه وشهرسازي ايرانشهر</v>
      </c>
      <c r="Q1047" s="1">
        <v>17</v>
      </c>
      <c r="R1047" s="1" t="str">
        <f>"فروش داخلي تهران - وزارت راه - راه روستايي - روکش"</f>
        <v>فروش داخلي تهران - وزارت راه - راه روستايي - روکش</v>
      </c>
      <c r="S1047" s="1" t="str">
        <f>"قرارداد فروش"</f>
        <v>قرارداد فروش</v>
      </c>
      <c r="T1047" s="1" t="str">
        <f>"ندارد"</f>
        <v>ندارد</v>
      </c>
      <c r="U1047" s="1" t="str">
        <f>"پورباقري ترابر (4914036)"</f>
        <v>پورباقري ترابر (4914036)</v>
      </c>
      <c r="V1047" s="1">
        <v>961700085</v>
      </c>
      <c r="W1047" s="1">
        <v>961700085</v>
      </c>
      <c r="X1047" s="1" t="str">
        <f>"1396508159"</f>
        <v>1396508159</v>
      </c>
      <c r="Y1047" s="1" t="str">
        <f>"96/06/05"</f>
        <v>96/06/05</v>
      </c>
      <c r="Z1047" s="1" t="str">
        <f>"26238/710"</f>
        <v>26238/710</v>
      </c>
      <c r="AA1047" s="1" t="str">
        <f>"راه روستائي -روكش"</f>
        <v>راه روستائي -روكش</v>
      </c>
      <c r="AB1047" s="1" t="str">
        <f>"96/05/30"</f>
        <v>96/05/30</v>
      </c>
      <c r="AC1047" s="1" t="str">
        <f>"ايرانشهر"</f>
        <v>ايرانشهر</v>
      </c>
      <c r="AD1047" s="1" t="str">
        <f>"96/06/05"</f>
        <v>96/06/05</v>
      </c>
      <c r="AE1047" s="1" t="str">
        <f>"اختتام"</f>
        <v>اختتام</v>
      </c>
      <c r="AF1047" s="1" t="str">
        <f>""</f>
        <v/>
      </c>
      <c r="AG1047" s="1" t="str">
        <f>""</f>
        <v/>
      </c>
      <c r="AH1047" s="1" t="str">
        <f>""</f>
        <v/>
      </c>
      <c r="AI1047" s="1" t="str">
        <f>""</f>
        <v/>
      </c>
      <c r="AJ1047" s="1" t="str">
        <f>""</f>
        <v/>
      </c>
      <c r="AK1047" s="1" t="str">
        <f>""</f>
        <v/>
      </c>
    </row>
    <row r="1048" spans="1:37">
      <c r="A1048" s="1">
        <v>473000</v>
      </c>
      <c r="B1048" s="1">
        <v>961700015</v>
      </c>
      <c r="C1048" s="1" t="str">
        <f>"تخليه- کيلومتر 8 محور گناباد-قاين کارخانه آسفالت شهرداري بيدخت"</f>
        <v>تخليه- کيلومتر 8 محور گناباد-قاين کارخانه آسفالت شهرداري بيدخت</v>
      </c>
      <c r="D1048" s="1">
        <v>8854</v>
      </c>
      <c r="E1048" s="1">
        <v>472260</v>
      </c>
      <c r="F1048" s="1">
        <v>96</v>
      </c>
      <c r="G1048" s="1">
        <v>740</v>
      </c>
      <c r="H1048" s="1" t="str">
        <f>"96/03/10"</f>
        <v>96/03/10</v>
      </c>
      <c r="I1048" s="1" t="str">
        <f>"كيلوگرم"</f>
        <v>كيلوگرم</v>
      </c>
      <c r="J1048" s="1" t="str">
        <f>"0000000092"</f>
        <v>0000000092</v>
      </c>
      <c r="K1048" s="1" t="str">
        <f>"قير  PG64-16"</f>
        <v>قير  PG64-16</v>
      </c>
      <c r="L1048" s="1">
        <v>100</v>
      </c>
      <c r="M1048" s="1" t="str">
        <f>"مخازن قير اصفهان"</f>
        <v>مخازن قير اصفهان</v>
      </c>
      <c r="N1048" s="1">
        <v>4026</v>
      </c>
      <c r="O1048" s="1">
        <v>50034930</v>
      </c>
      <c r="P1048" s="1" t="str">
        <f>"  اداره كل راه و شهرسازي خراسان رضوي"</f>
        <v xml:space="preserve">  اداره كل راه و شهرسازي خراسان رضوي</v>
      </c>
      <c r="Q1048" s="1">
        <v>17</v>
      </c>
      <c r="R1048" s="1" t="str">
        <f>"فروش داخلي تهران - وزارت راه - راه روستايي - روکش"</f>
        <v>فروش داخلي تهران - وزارت راه - راه روستايي - روکش</v>
      </c>
      <c r="S1048" s="1" t="str">
        <f>"قرارداد فروش"</f>
        <v>قرارداد فروش</v>
      </c>
      <c r="T1048" s="1" t="str">
        <f>"ندارد"</f>
        <v>ندارد</v>
      </c>
      <c r="U1048" s="1" t="str">
        <f>"آقا علي منوچهر(1016ج89)"</f>
        <v>آقا علي منوچهر(1016ج89)</v>
      </c>
      <c r="V1048" s="1">
        <v>961700015</v>
      </c>
      <c r="W1048" s="1">
        <v>961700015</v>
      </c>
      <c r="X1048" s="1" t="str">
        <f>"1396485060"</f>
        <v>1396485060</v>
      </c>
      <c r="Y1048" s="1" t="str">
        <f>"96/03/10"</f>
        <v>96/03/10</v>
      </c>
      <c r="Z1048" s="1" t="str">
        <f>"10916/710"</f>
        <v>10916/710</v>
      </c>
      <c r="AA1048" s="1" t="str">
        <f>"راه روستائي -روكش"</f>
        <v>راه روستائي -روكش</v>
      </c>
      <c r="AB1048" s="1" t="str">
        <f>"96/03/09"</f>
        <v>96/03/09</v>
      </c>
      <c r="AC1048" s="1" t="str">
        <f>"خراسان رضوي"</f>
        <v>خراسان رضوي</v>
      </c>
      <c r="AD1048" s="1" t="str">
        <f>"96/03/10"</f>
        <v>96/03/10</v>
      </c>
      <c r="AE1048" s="1" t="str">
        <f>"اختتام"</f>
        <v>اختتام</v>
      </c>
      <c r="AF1048" s="1" t="str">
        <f>""</f>
        <v/>
      </c>
      <c r="AG1048" s="1" t="str">
        <f>""</f>
        <v/>
      </c>
      <c r="AH1048" s="1" t="str">
        <f>""</f>
        <v/>
      </c>
      <c r="AI1048" s="1" t="str">
        <f>""</f>
        <v/>
      </c>
      <c r="AJ1048" s="1" t="str">
        <f>""</f>
        <v/>
      </c>
      <c r="AK1048" s="1" t="str">
        <f>""</f>
        <v/>
      </c>
    </row>
    <row r="1049" spans="1:37">
      <c r="A1049" s="1">
        <v>43000</v>
      </c>
      <c r="B1049" s="1">
        <v>961700106</v>
      </c>
      <c r="C1049" s="1" t="str">
        <f>"تخليه -خراسان رضوي -كيلومتر15محورگناباد-فردوس -كارخانه آسفالت كيهان راه شرق"</f>
        <v>تخليه -خراسان رضوي -كيلومتر15محورگناباد-فردوس -كارخانه آسفالت كيهان راه شرق</v>
      </c>
      <c r="D1049" s="1">
        <v>12970</v>
      </c>
      <c r="E1049" s="1">
        <v>42060</v>
      </c>
      <c r="F1049" s="1">
        <v>96</v>
      </c>
      <c r="G1049" s="1">
        <v>940</v>
      </c>
      <c r="H1049" s="1" t="str">
        <f>"96/07/11"</f>
        <v>96/07/11</v>
      </c>
      <c r="I1049" s="1" t="str">
        <f>"كيلوگرم"</f>
        <v>كيلوگرم</v>
      </c>
      <c r="J1049" s="1" t="str">
        <f>"0000000092"</f>
        <v>0000000092</v>
      </c>
      <c r="K1049" s="1" t="str">
        <f>"قير  PG64-16"</f>
        <v>قير  PG64-16</v>
      </c>
      <c r="L1049" s="1">
        <v>100</v>
      </c>
      <c r="M1049" s="1" t="str">
        <f>"مخازن قير اصفهان"</f>
        <v>مخازن قير اصفهان</v>
      </c>
      <c r="N1049" s="1">
        <v>4026</v>
      </c>
      <c r="O1049" s="1">
        <v>50036518</v>
      </c>
      <c r="P1049" s="1" t="str">
        <f>"  اداره كل راه و شهرسازي خراسان رضوي"</f>
        <v xml:space="preserve">  اداره كل راه و شهرسازي خراسان رضوي</v>
      </c>
      <c r="Q1049" s="1">
        <v>17</v>
      </c>
      <c r="R1049" s="1" t="str">
        <f>"فروش داخلي تهران - وزارت راه - راه روستايي - روکش"</f>
        <v>فروش داخلي تهران - وزارت راه - راه روستايي - روکش</v>
      </c>
      <c r="S1049" s="1" t="str">
        <f>"قرارداد فروش"</f>
        <v>قرارداد فروش</v>
      </c>
      <c r="T1049" s="1" t="str">
        <f>"ندارد"</f>
        <v>ندارد</v>
      </c>
      <c r="U1049" s="1" t="str">
        <f>"نظام دوست امين (1911102)"</f>
        <v>نظام دوست امين (1911102)</v>
      </c>
      <c r="V1049" s="1">
        <v>961700106</v>
      </c>
      <c r="W1049" s="1">
        <v>961700106</v>
      </c>
      <c r="X1049" s="1" t="str">
        <f>"1396515917"</f>
        <v>1396515917</v>
      </c>
      <c r="Y1049" s="1" t="str">
        <f>"96/07/11"</f>
        <v>96/07/11</v>
      </c>
      <c r="Z1049" s="1" t="str">
        <f>"33127/710"</f>
        <v>33127/710</v>
      </c>
      <c r="AA1049" s="1" t="str">
        <f>"راه روستائي -روكش"</f>
        <v>راه روستائي -روكش</v>
      </c>
      <c r="AB1049" s="1" t="str">
        <f>"96/07/04"</f>
        <v>96/07/04</v>
      </c>
      <c r="AC1049" s="1" t="str">
        <f>"خراسان رضوي"</f>
        <v>خراسان رضوي</v>
      </c>
      <c r="AD1049" s="1" t="str">
        <f>"96/07/11"</f>
        <v>96/07/11</v>
      </c>
      <c r="AE1049" s="1" t="str">
        <f>"اختتام"</f>
        <v>اختتام</v>
      </c>
      <c r="AF1049" s="1" t="str">
        <f>""</f>
        <v/>
      </c>
      <c r="AG1049" s="1" t="str">
        <f>""</f>
        <v/>
      </c>
      <c r="AH1049" s="1" t="str">
        <f>""</f>
        <v/>
      </c>
      <c r="AI1049" s="1" t="str">
        <f>""</f>
        <v/>
      </c>
      <c r="AJ1049" s="1" t="str">
        <f>""</f>
        <v/>
      </c>
      <c r="AK1049" s="1" t="str">
        <f>""</f>
        <v/>
      </c>
    </row>
    <row r="1050" spans="1:37">
      <c r="A1050" s="1">
        <v>56417</v>
      </c>
      <c r="B1050" s="1">
        <v>962000290</v>
      </c>
      <c r="C1050" s="1" t="str">
        <f>"تخليه خراسان رضوي كيلومتر25محورتربت حيدريه كارخانه آسفالت توس مسير"</f>
        <v>تخليه خراسان رضوي كيلومتر25محورتربت حيدريه كارخانه آسفالت توس مسير</v>
      </c>
      <c r="D1050" s="1">
        <v>9113</v>
      </c>
      <c r="E1050" s="1">
        <v>55980</v>
      </c>
      <c r="F1050" s="1">
        <v>96</v>
      </c>
      <c r="G1050" s="1">
        <v>437</v>
      </c>
      <c r="H1050" s="1" t="str">
        <f>"96/09/13"</f>
        <v>96/09/13</v>
      </c>
      <c r="I1050" s="1" t="str">
        <f>"كيلوگرم"</f>
        <v>كيلوگرم</v>
      </c>
      <c r="J1050" s="1" t="str">
        <f>"0000000076"</f>
        <v>0000000076</v>
      </c>
      <c r="K1050" s="1" t="str">
        <f>"قير 60/70 - فله"</f>
        <v>قير 60/70 - فله</v>
      </c>
      <c r="L1050" s="1">
        <v>100</v>
      </c>
      <c r="M1050" s="1" t="str">
        <f>"مخازن قير اصفهان"</f>
        <v>مخازن قير اصفهان</v>
      </c>
      <c r="N1050" s="1">
        <v>10745</v>
      </c>
      <c r="O1050" s="1">
        <v>50037491</v>
      </c>
      <c r="P1050" s="1" t="str">
        <f>"  شهرداري رباط سنگ"</f>
        <v xml:space="preserve">  شهرداري رباط سنگ</v>
      </c>
      <c r="Q1050" s="1">
        <v>20</v>
      </c>
      <c r="R1050" s="1" t="str">
        <f>"فروش داخلي - سازمان شهرداري ها و دهياري هاي كشور"</f>
        <v>فروش داخلي - سازمان شهرداري ها و دهياري هاي كشور</v>
      </c>
      <c r="S1050" s="1" t="str">
        <f>"قرارداد فروش"</f>
        <v>قرارداد فروش</v>
      </c>
      <c r="T1050" s="1" t="str">
        <f>"ندارد"</f>
        <v>ندارد</v>
      </c>
      <c r="U1050" s="1" t="str">
        <f>"تعاوني جم گستر (1001 ج 89)"</f>
        <v>تعاوني جم گستر (1001 ج 89)</v>
      </c>
      <c r="V1050" s="1">
        <v>962000290</v>
      </c>
      <c r="W1050" s="1">
        <v>962000290</v>
      </c>
      <c r="X1050" s="1" t="str">
        <f>"1396514467"</f>
        <v>1396514467</v>
      </c>
      <c r="Y1050" s="1" t="str">
        <f>"96/09/12"</f>
        <v>96/09/12</v>
      </c>
      <c r="Z1050" s="1" t="str">
        <f>"37024مرحله دوم"</f>
        <v>37024مرحله دوم</v>
      </c>
      <c r="AA1050" s="1" t="str">
        <f>"شهرداريها"</f>
        <v>شهرداريها</v>
      </c>
      <c r="AB1050" s="1" t="str">
        <f>"96/09/04"</f>
        <v>96/09/04</v>
      </c>
      <c r="AC1050" s="1" t="str">
        <f>"خراسان رضوي"</f>
        <v>خراسان رضوي</v>
      </c>
      <c r="AD1050" s="1" t="str">
        <f>"96/07/03"</f>
        <v>96/07/03</v>
      </c>
      <c r="AE1050" s="1" t="str">
        <f>"اختتام"</f>
        <v>اختتام</v>
      </c>
      <c r="AF1050" s="1" t="str">
        <f>""</f>
        <v/>
      </c>
      <c r="AG1050" s="1" t="str">
        <f>""</f>
        <v/>
      </c>
      <c r="AH1050" s="1" t="str">
        <f>""</f>
        <v/>
      </c>
      <c r="AI1050" s="1" t="str">
        <f>""</f>
        <v/>
      </c>
      <c r="AJ1050" s="1" t="str">
        <f>""</f>
        <v/>
      </c>
      <c r="AK1050" s="1" t="str">
        <f>""</f>
        <v/>
      </c>
    </row>
    <row r="1051" spans="1:37">
      <c r="A1051" s="1">
        <v>109319</v>
      </c>
      <c r="B1051" s="1">
        <v>962000034</v>
      </c>
      <c r="C1051" s="1" t="str">
        <f>"تخليه اصفهان خوركيلومتر8جاده جعفرآبادكارخانه آسفالت رحيمي"</f>
        <v>تخليه اصفهان خوركيلومتر8جاده جعفرآبادكارخانه آسفالت رحيمي</v>
      </c>
      <c r="D1051" s="1">
        <v>9113</v>
      </c>
      <c r="E1051" s="1">
        <v>109319</v>
      </c>
      <c r="F1051" s="1">
        <v>96</v>
      </c>
      <c r="G1051" s="1">
        <v>0</v>
      </c>
      <c r="H1051" s="1" t="str">
        <f>"96/07/03"</f>
        <v>96/07/03</v>
      </c>
      <c r="I1051" s="1" t="str">
        <f>"كيلوگرم"</f>
        <v>كيلوگرم</v>
      </c>
      <c r="J1051" s="1" t="str">
        <f>"0000000076"</f>
        <v>0000000076</v>
      </c>
      <c r="K1051" s="1" t="str">
        <f>"قير 60/70 - فله"</f>
        <v>قير 60/70 - فله</v>
      </c>
      <c r="L1051" s="1">
        <v>100</v>
      </c>
      <c r="M1051" s="1" t="str">
        <f>"مخازن قير اصفهان"</f>
        <v>مخازن قير اصفهان</v>
      </c>
      <c r="N1051" s="1">
        <v>10748</v>
      </c>
      <c r="O1051" s="1">
        <v>50036180</v>
      </c>
      <c r="P1051" s="1" t="str">
        <f>"  شهرداري خور"</f>
        <v xml:space="preserve">  شهرداري خور</v>
      </c>
      <c r="Q1051" s="1">
        <v>20</v>
      </c>
      <c r="R1051" s="1" t="str">
        <f>"فروش داخلي - سازمان شهرداري ها و دهياري هاي كشور"</f>
        <v>فروش داخلي - سازمان شهرداري ها و دهياري هاي كشور</v>
      </c>
      <c r="S1051" s="1" t="str">
        <f>"قرارداد فروش"</f>
        <v>قرارداد فروش</v>
      </c>
      <c r="T1051" s="1" t="str">
        <f>"ندارد"</f>
        <v>ندارد</v>
      </c>
      <c r="U1051" s="1" t="str">
        <f>"تعاوني جم گستر (1001 ج 89)"</f>
        <v>تعاوني جم گستر (1001 ج 89)</v>
      </c>
      <c r="V1051" s="1">
        <v>962000034</v>
      </c>
      <c r="W1051" s="1">
        <v>962000034</v>
      </c>
      <c r="X1051" s="1" t="str">
        <f>"1396514467"</f>
        <v>1396514467</v>
      </c>
      <c r="Y1051" s="1" t="str">
        <f>"96/07/03"</f>
        <v>96/07/03</v>
      </c>
      <c r="Z1051" s="1" t="str">
        <f>"26825مرحله اول"</f>
        <v>26825مرحله اول</v>
      </c>
      <c r="AA1051" s="1" t="str">
        <f>"شهرداريها"</f>
        <v>شهرداريها</v>
      </c>
      <c r="AB1051" s="1" t="str">
        <f>"96/06/29"</f>
        <v>96/06/29</v>
      </c>
      <c r="AC1051" s="1" t="str">
        <f>"استان اصفهان"</f>
        <v>استان اصفهان</v>
      </c>
      <c r="AD1051" s="1" t="str">
        <f>"96/07/03"</f>
        <v>96/07/03</v>
      </c>
      <c r="AE1051" s="1" t="str">
        <f>"تاييدشده"</f>
        <v>تاييدشده</v>
      </c>
      <c r="AF1051" s="1" t="str">
        <f>""</f>
        <v/>
      </c>
      <c r="AG1051" s="1" t="str">
        <f>""</f>
        <v/>
      </c>
      <c r="AH1051" s="1" t="str">
        <f>""</f>
        <v/>
      </c>
      <c r="AI1051" s="1" t="str">
        <f>""</f>
        <v/>
      </c>
      <c r="AJ1051" s="1" t="str">
        <f>""</f>
        <v/>
      </c>
      <c r="AK1051" s="1" t="str">
        <f>""</f>
        <v/>
      </c>
    </row>
    <row r="1052" spans="1:37">
      <c r="A1052" s="1">
        <v>100000</v>
      </c>
      <c r="B1052" s="1">
        <v>961100112</v>
      </c>
      <c r="C1052" s="1" t="str">
        <f>"تخليه اصفهان كيلومتر17جاده خورطبس كارگاه زرين سپاهان"</f>
        <v>تخليه اصفهان كيلومتر17جاده خورطبس كارگاه زرين سپاهان</v>
      </c>
      <c r="D1052" s="1">
        <v>12850</v>
      </c>
      <c r="E1052" s="1">
        <v>98380</v>
      </c>
      <c r="F1052" s="1">
        <v>96</v>
      </c>
      <c r="G1052" s="1">
        <v>1620</v>
      </c>
      <c r="H1052" s="1" t="str">
        <f>"96/10/28"</f>
        <v>96/10/28</v>
      </c>
      <c r="I1052" s="1" t="str">
        <f>"كيلوگرم"</f>
        <v>كيلوگرم</v>
      </c>
      <c r="J1052" s="1" t="str">
        <f>"0000000076"</f>
        <v>0000000076</v>
      </c>
      <c r="K1052" s="1" t="str">
        <f>"قير 60/70 - فله"</f>
        <v>قير 60/70 - فله</v>
      </c>
      <c r="L1052" s="1">
        <v>100</v>
      </c>
      <c r="M1052" s="1" t="str">
        <f>"مخازن قير اصفهان"</f>
        <v>مخازن قير اصفهان</v>
      </c>
      <c r="N1052" s="1">
        <v>10748</v>
      </c>
      <c r="O1052" s="1">
        <v>50038236</v>
      </c>
      <c r="P1052" s="1" t="str">
        <f>"  شهرداري خور"</f>
        <v xml:space="preserve">  شهرداري خور</v>
      </c>
      <c r="Q1052" s="1">
        <v>11</v>
      </c>
      <c r="R1052" s="1" t="str">
        <f>"فروش داخلي تهران - بورس"</f>
        <v>فروش داخلي تهران - بورس</v>
      </c>
      <c r="S1052" s="1" t="str">
        <f>"قرارداد فروش"</f>
        <v>قرارداد فروش</v>
      </c>
      <c r="T1052" s="1" t="str">
        <f>"ندارد"</f>
        <v>ندارد</v>
      </c>
      <c r="U1052" s="1" t="str">
        <f>"مرادي نجاتعلي(1020ج89)"</f>
        <v>مرادي نجاتعلي(1020ج89)</v>
      </c>
      <c r="V1052" s="1">
        <v>961100112</v>
      </c>
      <c r="W1052" s="1">
        <v>961100112</v>
      </c>
      <c r="X1052" s="1" t="str">
        <f>"1396541324"</f>
        <v>1396541324</v>
      </c>
      <c r="Y1052" s="1" t="str">
        <f>"96/10/27"</f>
        <v>96/10/27</v>
      </c>
      <c r="Z1052" s="1" t="str">
        <f>"5006"</f>
        <v>5006</v>
      </c>
      <c r="AA1052" s="1" t="str">
        <f>"شهرداريها"</f>
        <v>شهرداريها</v>
      </c>
      <c r="AB1052" s="1" t="str">
        <f>"96/10/27"</f>
        <v>96/10/27</v>
      </c>
      <c r="AC1052" s="1" t="str">
        <f>"استان اصفهان"</f>
        <v>استان اصفهان</v>
      </c>
      <c r="AD1052" s="1" t="str">
        <f>"96/10/27"</f>
        <v>96/10/27</v>
      </c>
      <c r="AE1052" s="1" t="str">
        <f>"اختتام"</f>
        <v>اختتام</v>
      </c>
      <c r="AF1052" s="1" t="str">
        <f>""</f>
        <v/>
      </c>
      <c r="AG1052" s="1" t="str">
        <f>""</f>
        <v/>
      </c>
      <c r="AH1052" s="1" t="str">
        <f>""</f>
        <v/>
      </c>
      <c r="AI1052" s="1" t="str">
        <f>""</f>
        <v/>
      </c>
      <c r="AJ1052" s="1" t="str">
        <f>""</f>
        <v/>
      </c>
      <c r="AK1052" s="1" t="str">
        <f>""</f>
        <v/>
      </c>
    </row>
    <row r="1053" spans="1:37">
      <c r="A1053" s="1">
        <v>35000</v>
      </c>
      <c r="B1053" s="1">
        <v>961700077</v>
      </c>
      <c r="C1053" s="1" t="str">
        <f>"تخليه -خراسان رضوي -قوچان -كارخانه آسفالت توس راديه"</f>
        <v>تخليه -خراسان رضوي -قوچان -كارخانه آسفالت توس راديه</v>
      </c>
      <c r="D1053" s="1">
        <v>12970</v>
      </c>
      <c r="E1053" s="1">
        <v>35000</v>
      </c>
      <c r="F1053" s="1">
        <v>96</v>
      </c>
      <c r="G1053" s="1">
        <v>0</v>
      </c>
      <c r="H1053" s="1" t="str">
        <f>"96/05/29"</f>
        <v>96/05/29</v>
      </c>
      <c r="I1053" s="1" t="str">
        <f>"كيلوگرم"</f>
        <v>كيلوگرم</v>
      </c>
      <c r="J1053" s="1" t="str">
        <f>"0000000092"</f>
        <v>0000000092</v>
      </c>
      <c r="K1053" s="1" t="str">
        <f>"قير  PG64-16"</f>
        <v>قير  PG64-16</v>
      </c>
      <c r="L1053" s="1">
        <v>100</v>
      </c>
      <c r="M1053" s="1" t="str">
        <f>"مخازن قير اصفهان"</f>
        <v>مخازن قير اصفهان</v>
      </c>
      <c r="N1053" s="1">
        <v>4026</v>
      </c>
      <c r="O1053" s="1">
        <v>50035756</v>
      </c>
      <c r="P1053" s="1" t="str">
        <f>"  اداره كل راه و شهرسازي خراسان رضوي"</f>
        <v xml:space="preserve">  اداره كل راه و شهرسازي خراسان رضوي</v>
      </c>
      <c r="Q1053" s="1">
        <v>17</v>
      </c>
      <c r="R1053" s="1" t="str">
        <f>"فروش داخلي تهران - وزارت راه - راه روستايي - روکش"</f>
        <v>فروش داخلي تهران - وزارت راه - راه روستايي - روکش</v>
      </c>
      <c r="S1053" s="1" t="str">
        <f>"قرارداد فروش"</f>
        <v>قرارداد فروش</v>
      </c>
      <c r="T1053" s="1" t="str">
        <f>"ندارد"</f>
        <v>ندارد</v>
      </c>
      <c r="U1053" s="1" t="str">
        <f>"نظام دوست امين (1911102)"</f>
        <v>نظام دوست امين (1911102)</v>
      </c>
      <c r="V1053" s="1">
        <v>961700077</v>
      </c>
      <c r="W1053" s="1">
        <v>961700077</v>
      </c>
      <c r="X1053" s="1" t="str">
        <f>"1396506626"</f>
        <v>1396506626</v>
      </c>
      <c r="Y1053" s="1" t="str">
        <f>"96/05/29"</f>
        <v>96/05/29</v>
      </c>
      <c r="Z1053" s="1" t="str">
        <f>"25527/710"</f>
        <v>25527/710</v>
      </c>
      <c r="AA1053" s="1" t="str">
        <f>"راه روستائي -روكش"</f>
        <v>راه روستائي -روكش</v>
      </c>
      <c r="AB1053" s="1" t="str">
        <f>"96/05/25"</f>
        <v>96/05/25</v>
      </c>
      <c r="AC1053" s="1" t="str">
        <f>"خراسان رضوي"</f>
        <v>خراسان رضوي</v>
      </c>
      <c r="AD1053" s="1" t="str">
        <f>"96/05/29"</f>
        <v>96/05/29</v>
      </c>
      <c r="AE1053" s="1" t="str">
        <f>"اختتام"</f>
        <v>اختتام</v>
      </c>
      <c r="AF1053" s="1" t="str">
        <f>""</f>
        <v/>
      </c>
      <c r="AG1053" s="1" t="str">
        <f>""</f>
        <v/>
      </c>
      <c r="AH1053" s="1" t="str">
        <f>""</f>
        <v/>
      </c>
      <c r="AI1053" s="1" t="str">
        <f>""</f>
        <v/>
      </c>
      <c r="AJ1053" s="1" t="str">
        <f>""</f>
        <v/>
      </c>
      <c r="AK1053" s="1" t="str">
        <f>""</f>
        <v/>
      </c>
    </row>
    <row r="1054" spans="1:37">
      <c r="A1054" s="1">
        <v>155000</v>
      </c>
      <c r="B1054" s="1">
        <v>961700073</v>
      </c>
      <c r="C1054" s="1" t="str">
        <f>"تخليه - خراسان رضوي - کارخانه آسفالت کيميا سروش پاسارگاد"</f>
        <v>تخليه - خراسان رضوي - کارخانه آسفالت کيميا سروش پاسارگاد</v>
      </c>
      <c r="D1054" s="1">
        <v>9204</v>
      </c>
      <c r="E1054" s="1">
        <v>153740</v>
      </c>
      <c r="F1054" s="1">
        <v>96</v>
      </c>
      <c r="G1054" s="1">
        <v>1260</v>
      </c>
      <c r="H1054" s="1" t="str">
        <f>"96/05/29"</f>
        <v>96/05/29</v>
      </c>
      <c r="I1054" s="1" t="str">
        <f>"كيلوگرم"</f>
        <v>كيلوگرم</v>
      </c>
      <c r="J1054" s="1" t="str">
        <f>"0000000091"</f>
        <v>0000000091</v>
      </c>
      <c r="K1054" s="1" t="str">
        <f>"قير  PG64-22"</f>
        <v>قير  PG64-22</v>
      </c>
      <c r="L1054" s="1">
        <v>100</v>
      </c>
      <c r="M1054" s="1" t="str">
        <f>"مخازن قير اصفهان"</f>
        <v>مخازن قير اصفهان</v>
      </c>
      <c r="N1054" s="1">
        <v>10571</v>
      </c>
      <c r="O1054" s="1">
        <v>50035738</v>
      </c>
      <c r="P1054" s="1" t="str">
        <f>"  ساختماني و راه سازي سار آب توس"</f>
        <v xml:space="preserve">  ساختماني و راه سازي سار آب توس</v>
      </c>
      <c r="Q1054" s="1">
        <v>17</v>
      </c>
      <c r="R1054" s="1" t="str">
        <f>"فروش داخلي تهران - وزارت راه - راه روستايي - روکش"</f>
        <v>فروش داخلي تهران - وزارت راه - راه روستايي - روکش</v>
      </c>
      <c r="S1054" s="1" t="str">
        <f>"قرارداد فروش"</f>
        <v>قرارداد فروش</v>
      </c>
      <c r="T1054" s="1" t="str">
        <f>"ندارد"</f>
        <v>ندارد</v>
      </c>
      <c r="U1054" s="1" t="str">
        <f>"نظام دوست امين (1911102)"</f>
        <v>نظام دوست امين (1911102)</v>
      </c>
      <c r="V1054" s="1">
        <v>961700073</v>
      </c>
      <c r="W1054" s="1">
        <v>961700073</v>
      </c>
      <c r="X1054" s="1" t="str">
        <f>"1396506335"</f>
        <v>1396506335</v>
      </c>
      <c r="Y1054" s="1" t="str">
        <f>"96/05/29"</f>
        <v>96/05/29</v>
      </c>
      <c r="Z1054" s="1" t="str">
        <f>"25362/710"</f>
        <v>25362/710</v>
      </c>
      <c r="AA1054" s="1" t="str">
        <f>"راه روستائي -روكش"</f>
        <v>راه روستائي -روكش</v>
      </c>
      <c r="AB1054" s="1" t="str">
        <f>"96/05/25"</f>
        <v>96/05/25</v>
      </c>
      <c r="AC1054" s="1" t="str">
        <f>"خراسان رضوي"</f>
        <v>خراسان رضوي</v>
      </c>
      <c r="AD1054" s="1" t="str">
        <f>"96/05/28"</f>
        <v>96/05/28</v>
      </c>
      <c r="AE1054" s="1" t="str">
        <f>"اختتام"</f>
        <v>اختتام</v>
      </c>
      <c r="AF1054" s="1" t="str">
        <f>""</f>
        <v/>
      </c>
      <c r="AG1054" s="1" t="str">
        <f>""</f>
        <v/>
      </c>
      <c r="AH1054" s="1" t="str">
        <f>""</f>
        <v/>
      </c>
      <c r="AI1054" s="1" t="str">
        <f>""</f>
        <v/>
      </c>
      <c r="AJ1054" s="1" t="str">
        <f>""</f>
        <v/>
      </c>
      <c r="AK1054" s="1" t="str">
        <f>""</f>
        <v/>
      </c>
    </row>
    <row r="1055" spans="1:37">
      <c r="A1055" s="1">
        <v>200000</v>
      </c>
      <c r="B1055" s="1">
        <v>961800014</v>
      </c>
      <c r="C1055" s="1" t="str">
        <f>"تخليه هرمزگان پروژه تكميل بهسازي محوربندرعباس سيرجان كارخانه آسفالت شركت سازه سازان سمنگان"</f>
        <v>تخليه هرمزگان پروژه تكميل بهسازي محوربندرعباس سيرجان كارخانه آسفالت شركت سازه سازان سمنگان</v>
      </c>
      <c r="D1055" s="1">
        <v>8904</v>
      </c>
      <c r="E1055" s="1">
        <v>198480</v>
      </c>
      <c r="F1055" s="1">
        <v>96</v>
      </c>
      <c r="G1055" s="1">
        <v>1520</v>
      </c>
      <c r="H1055" s="1" t="str">
        <f>"96/04/26"</f>
        <v>96/04/26</v>
      </c>
      <c r="I1055" s="1" t="str">
        <f>"كيلوگرم"</f>
        <v>كيلوگرم</v>
      </c>
      <c r="J1055" s="1" t="str">
        <f>"0000000092"</f>
        <v>0000000092</v>
      </c>
      <c r="K1055" s="1" t="str">
        <f>"قير  PG64-16"</f>
        <v>قير  PG64-16</v>
      </c>
      <c r="L1055" s="1">
        <v>100</v>
      </c>
      <c r="M1055" s="1" t="str">
        <f>"مخازن قير اصفهان"</f>
        <v>مخازن قير اصفهان</v>
      </c>
      <c r="N1055" s="1">
        <v>11212</v>
      </c>
      <c r="O1055" s="1">
        <v>50035236</v>
      </c>
      <c r="P1055" s="1" t="str">
        <f>"  راهسازي وساختماني سازه سازان سمنگان"</f>
        <v xml:space="preserve">  راهسازي وساختماني سازه سازان سمنگان</v>
      </c>
      <c r="Q1055" s="1">
        <v>18</v>
      </c>
      <c r="R1055" s="1" t="str">
        <f>"فروش داخلي تهران - وزارت راه - شرکت ساخت و توسعه راهها"</f>
        <v>فروش داخلي تهران - وزارت راه - شرکت ساخت و توسعه راهها</v>
      </c>
      <c r="S1055" s="1" t="str">
        <f>"قرارداد فروش"</f>
        <v>قرارداد فروش</v>
      </c>
      <c r="T1055" s="1" t="str">
        <f>"ندارد"</f>
        <v>ندارد</v>
      </c>
      <c r="U1055" s="1" t="str">
        <f>"حاصليان ترابرجنوب مرتضي حاصلي (4844006)"</f>
        <v>حاصليان ترابرجنوب مرتضي حاصلي (4844006)</v>
      </c>
      <c r="V1055" s="1">
        <v>961800014</v>
      </c>
      <c r="W1055" s="1">
        <v>961800014</v>
      </c>
      <c r="X1055" s="1" t="str">
        <f>"1396497335"</f>
        <v>1396497335</v>
      </c>
      <c r="Y1055" s="1" t="str">
        <f>"96/04/26"</f>
        <v>96/04/26</v>
      </c>
      <c r="Z1055" s="1" t="str">
        <f>"18645/710"</f>
        <v>18645/710</v>
      </c>
      <c r="AA1055" s="1" t="str">
        <f>"شركت  ساخت وتوسعه راهها"</f>
        <v>شركت  ساخت وتوسعه راهها</v>
      </c>
      <c r="AB1055" s="1" t="str">
        <f>"96/04/25"</f>
        <v>96/04/25</v>
      </c>
      <c r="AC1055" s="1" t="str">
        <f>"استان هرمزگان"</f>
        <v>استان هرمزگان</v>
      </c>
      <c r="AD1055" s="1" t="str">
        <f>"96/04/26"</f>
        <v>96/04/26</v>
      </c>
      <c r="AE1055" s="1" t="str">
        <f>"اختتام"</f>
        <v>اختتام</v>
      </c>
      <c r="AF1055" s="1" t="str">
        <f>""</f>
        <v/>
      </c>
      <c r="AG1055" s="1" t="str">
        <f>""</f>
        <v/>
      </c>
      <c r="AH1055" s="1" t="str">
        <f>""</f>
        <v/>
      </c>
      <c r="AI1055" s="1" t="str">
        <f>""</f>
        <v/>
      </c>
      <c r="AJ1055" s="1" t="str">
        <f>""</f>
        <v/>
      </c>
      <c r="AK1055" s="1" t="str">
        <f>""</f>
        <v/>
      </c>
    </row>
    <row r="1056" spans="1:37">
      <c r="A1056" s="1">
        <v>132519</v>
      </c>
      <c r="B1056" s="1">
        <v>962000192</v>
      </c>
      <c r="C1056" s="1" t="str">
        <f>"تخليه خراسان رضوي جاده كاريزنوتايبادكارخانه آسفالت استحكام انديش طوس"</f>
        <v>تخليه خراسان رضوي جاده كاريزنوتايبادكارخانه آسفالت استحكام انديش طوس</v>
      </c>
      <c r="D1056" s="1">
        <v>9113</v>
      </c>
      <c r="E1056" s="1">
        <v>132519</v>
      </c>
      <c r="F1056" s="1">
        <v>96</v>
      </c>
      <c r="G1056" s="1">
        <v>0</v>
      </c>
      <c r="H1056" s="1" t="str">
        <f>"96/07/03"</f>
        <v>96/07/03</v>
      </c>
      <c r="I1056" s="1" t="str">
        <f>"كيلوگرم"</f>
        <v>كيلوگرم</v>
      </c>
      <c r="J1056" s="1" t="str">
        <f>"0000000076"</f>
        <v>0000000076</v>
      </c>
      <c r="K1056" s="1" t="str">
        <f>"قير 60/70 - فله"</f>
        <v>قير 60/70 - فله</v>
      </c>
      <c r="L1056" s="1">
        <v>100</v>
      </c>
      <c r="M1056" s="1" t="str">
        <f>"مخازن قير اصفهان"</f>
        <v>مخازن قير اصفهان</v>
      </c>
      <c r="N1056" s="1">
        <v>10793</v>
      </c>
      <c r="O1056" s="1">
        <v>50036398</v>
      </c>
      <c r="P1056" s="1" t="str">
        <f>"  شهرداري نصرآبادخراسان رضوي"</f>
        <v xml:space="preserve">  شهرداري نصرآبادخراسان رضوي</v>
      </c>
      <c r="Q1056" s="1">
        <v>20</v>
      </c>
      <c r="R1056" s="1" t="str">
        <f>"فروش داخلي - سازمان شهرداري ها و دهياري هاي كشور"</f>
        <v>فروش داخلي - سازمان شهرداري ها و دهياري هاي كشور</v>
      </c>
      <c r="S1056" s="1" t="str">
        <f>"قرارداد فروش"</f>
        <v>قرارداد فروش</v>
      </c>
      <c r="T1056" s="1" t="str">
        <f>"ندارد"</f>
        <v>ندارد</v>
      </c>
      <c r="U1056" s="1" t="str">
        <f>"تعاوني جم گستر (1001 ج 89)"</f>
        <v>تعاوني جم گستر (1001 ج 89)</v>
      </c>
      <c r="V1056" s="1">
        <v>962000192</v>
      </c>
      <c r="W1056" s="1">
        <v>962000192</v>
      </c>
      <c r="X1056" s="1" t="str">
        <f>"1396514467"</f>
        <v>1396514467</v>
      </c>
      <c r="Y1056" s="1" t="str">
        <f>"96/07/03"</f>
        <v>96/07/03</v>
      </c>
      <c r="Z1056" s="1" t="str">
        <f>"26632مرحله اول"</f>
        <v>26632مرحله اول</v>
      </c>
      <c r="AA1056" s="1" t="str">
        <f>"شهرداريها"</f>
        <v>شهرداريها</v>
      </c>
      <c r="AB1056" s="1" t="str">
        <f>"96/06/29"</f>
        <v>96/06/29</v>
      </c>
      <c r="AC1056" s="1" t="str">
        <f>"خراسان رضوي"</f>
        <v>خراسان رضوي</v>
      </c>
      <c r="AD1056" s="1" t="str">
        <f>"96/07/03"</f>
        <v>96/07/03</v>
      </c>
      <c r="AE1056" s="1" t="str">
        <f>"اختتام"</f>
        <v>اختتام</v>
      </c>
      <c r="AF1056" s="1" t="str">
        <f>""</f>
        <v/>
      </c>
      <c r="AG1056" s="1" t="str">
        <f>""</f>
        <v/>
      </c>
      <c r="AH1056" s="1" t="str">
        <f>""</f>
        <v/>
      </c>
      <c r="AI1056" s="1" t="str">
        <f>""</f>
        <v/>
      </c>
      <c r="AJ1056" s="1" t="str">
        <f>""</f>
        <v/>
      </c>
      <c r="AK1056" s="1" t="str">
        <f>""</f>
        <v/>
      </c>
    </row>
    <row r="1057" spans="1:37">
      <c r="A1057" s="1">
        <v>606000</v>
      </c>
      <c r="B1057" s="1">
        <v>966100024</v>
      </c>
      <c r="C1057" s="1" t="str">
        <f>"تخليه -مشهدپشت آرامگاه فردوسي -جاده اسفنديان -کارخانه رهبان آسفالت"</f>
        <v>تخليه -مشهدپشت آرامگاه فردوسي -جاده اسفنديان -کارخانه رهبان آسفالت</v>
      </c>
      <c r="D1057" s="1">
        <v>15810</v>
      </c>
      <c r="E1057" s="1">
        <v>602840</v>
      </c>
      <c r="F1057" s="1">
        <v>96</v>
      </c>
      <c r="G1057" s="1">
        <v>3160</v>
      </c>
      <c r="H1057" s="1" t="str">
        <f>"96/12/26"</f>
        <v>96/12/26</v>
      </c>
      <c r="I1057" s="1" t="str">
        <f>"كيلوگرم"</f>
        <v>كيلوگرم</v>
      </c>
      <c r="J1057" s="1" t="str">
        <f>"0000000092"</f>
        <v>0000000092</v>
      </c>
      <c r="K1057" s="1" t="str">
        <f>"قير  PG64-16"</f>
        <v>قير  PG64-16</v>
      </c>
      <c r="L1057" s="1">
        <v>100</v>
      </c>
      <c r="M1057" s="1" t="str">
        <f>"مخازن قير اصفهان"</f>
        <v>مخازن قير اصفهان</v>
      </c>
      <c r="N1057" s="1">
        <v>4042</v>
      </c>
      <c r="O1057" s="1">
        <v>50039061</v>
      </c>
      <c r="P1057" s="1" t="str">
        <f>"  ره بان آسفالت"</f>
        <v xml:space="preserve">  ره بان آسفالت</v>
      </c>
      <c r="Q1057" s="1">
        <v>61</v>
      </c>
      <c r="R1057" s="1" t="str">
        <f>"فروش داخلي - وزارت راه - مسكن مهر"</f>
        <v>فروش داخلي - وزارت راه - مسكن مهر</v>
      </c>
      <c r="S1057" s="1" t="str">
        <f>"قرارداد فروش"</f>
        <v>قرارداد فروش</v>
      </c>
      <c r="T1057" s="1" t="str">
        <f>"ندارد"</f>
        <v>ندارد</v>
      </c>
      <c r="U1057" s="1" t="str">
        <f>"حسيني سيدجواد(1841076)"</f>
        <v>حسيني سيدجواد(1841076)</v>
      </c>
      <c r="V1057" s="1">
        <v>966100024</v>
      </c>
      <c r="W1057" s="1">
        <v>966100024</v>
      </c>
      <c r="X1057" s="1" t="str">
        <f>"1396554556"</f>
        <v>1396554556</v>
      </c>
      <c r="Y1057" s="1" t="str">
        <f>"96/12/26"</f>
        <v>96/12/26</v>
      </c>
      <c r="Z1057" s="1" t="str">
        <f>"50642/710"</f>
        <v>50642/710</v>
      </c>
      <c r="AA1057" s="1" t="str">
        <f>"مسكن مهر-وزارت راه"</f>
        <v>مسكن مهر-وزارت راه</v>
      </c>
      <c r="AB1057" s="1" t="str">
        <f>"96/10/02"</f>
        <v>96/10/02</v>
      </c>
      <c r="AC1057" s="1" t="str">
        <f>"خراسان رضوي"</f>
        <v>خراسان رضوي</v>
      </c>
      <c r="AD1057" s="1" t="str">
        <f>"96/12/22"</f>
        <v>96/12/22</v>
      </c>
      <c r="AE1057" s="1" t="str">
        <f>"اختتام"</f>
        <v>اختتام</v>
      </c>
      <c r="AF1057" s="1" t="str">
        <f>""</f>
        <v/>
      </c>
      <c r="AG1057" s="1" t="str">
        <f>""</f>
        <v/>
      </c>
      <c r="AH1057" s="1" t="str">
        <f>""</f>
        <v/>
      </c>
      <c r="AI1057" s="1" t="str">
        <f>""</f>
        <v/>
      </c>
      <c r="AJ1057" s="1" t="str">
        <f>""</f>
        <v/>
      </c>
      <c r="AK1057" s="1" t="str">
        <f>""</f>
        <v/>
      </c>
    </row>
    <row r="1058" spans="1:37">
      <c r="A1058" s="1">
        <v>950000</v>
      </c>
      <c r="B1058" s="1">
        <v>961900150</v>
      </c>
      <c r="C1058" s="1" t="str">
        <f>"تخليه -کرمانشاه-کيلومتر 10جاده هرسين-کارخانه اسفالت پل چهر"</f>
        <v>تخليه -کرمانشاه-کيلومتر 10جاده هرسين-کارخانه اسفالت پل چهر</v>
      </c>
      <c r="D1058" s="1">
        <v>9716</v>
      </c>
      <c r="E1058" s="1">
        <v>948660</v>
      </c>
      <c r="F1058" s="1">
        <v>96</v>
      </c>
      <c r="G1058" s="1">
        <v>1340</v>
      </c>
      <c r="H1058" s="1" t="str">
        <f>"96/07/05"</f>
        <v>96/07/05</v>
      </c>
      <c r="I1058" s="1" t="str">
        <f>"كيلوگرم"</f>
        <v>كيلوگرم</v>
      </c>
      <c r="J1058" s="1" t="str">
        <f>"0000000091"</f>
        <v>0000000091</v>
      </c>
      <c r="K1058" s="1" t="str">
        <f>"قير  PG64-22"</f>
        <v>قير  PG64-22</v>
      </c>
      <c r="L1058" s="1">
        <v>100</v>
      </c>
      <c r="M1058" s="1" t="str">
        <f>"مخازن قير اصفهان"</f>
        <v>مخازن قير اصفهان</v>
      </c>
      <c r="N1058" s="1">
        <v>10626</v>
      </c>
      <c r="O1058" s="1">
        <v>50036341</v>
      </c>
      <c r="P1058" s="1" t="str">
        <f>"  ساختماني بناوتمدن پارت"</f>
        <v xml:space="preserve">  ساختماني بناوتمدن پارت</v>
      </c>
      <c r="Q1058" s="1">
        <v>19</v>
      </c>
      <c r="R105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58" s="1" t="str">
        <f>"قرارداد فروش"</f>
        <v>قرارداد فروش</v>
      </c>
      <c r="T1058" s="1" t="str">
        <f>"ندارد"</f>
        <v>ندارد</v>
      </c>
      <c r="U1058" s="1" t="str">
        <f>"شمسيان پور حبيب اله(2842034)"</f>
        <v>شمسيان پور حبيب اله(2842034)</v>
      </c>
      <c r="V1058" s="1">
        <v>961900150</v>
      </c>
      <c r="W1058" s="1">
        <v>961900150</v>
      </c>
      <c r="X1058" s="1" t="str">
        <f>"1396515520"</f>
        <v>1396515520</v>
      </c>
      <c r="Y1058" s="1" t="str">
        <f>"96/07/05"</f>
        <v>96/07/05</v>
      </c>
      <c r="Z1058" s="1" t="str">
        <f>"33317/710"</f>
        <v>33317/710</v>
      </c>
      <c r="AA1058" s="1" t="str">
        <f>"سازمان راهداري وحمل نقل جاده اي"</f>
        <v>سازمان راهداري وحمل نقل جاده اي</v>
      </c>
      <c r="AB1058" s="1" t="str">
        <f>"96/07/04"</f>
        <v>96/07/04</v>
      </c>
      <c r="AC1058" s="1" t="str">
        <f>"استان كرمانشاه"</f>
        <v>استان كرمانشاه</v>
      </c>
      <c r="AD1058" s="1" t="str">
        <f>"96/07/05"</f>
        <v>96/07/05</v>
      </c>
      <c r="AE1058" s="1" t="str">
        <f>"اختتام"</f>
        <v>اختتام</v>
      </c>
      <c r="AF1058" s="1" t="str">
        <f>""</f>
        <v/>
      </c>
      <c r="AG1058" s="1" t="str">
        <f>""</f>
        <v/>
      </c>
      <c r="AH1058" s="1" t="str">
        <f>""</f>
        <v/>
      </c>
      <c r="AI1058" s="1" t="str">
        <f>""</f>
        <v/>
      </c>
      <c r="AJ1058" s="1" t="str">
        <f>""</f>
        <v/>
      </c>
      <c r="AK1058" s="1" t="str">
        <f>""</f>
        <v/>
      </c>
    </row>
    <row r="1059" spans="1:37">
      <c r="A1059" s="1">
        <v>800000</v>
      </c>
      <c r="B1059" s="1">
        <v>961600019</v>
      </c>
      <c r="C1059" s="1" t="str">
        <f>"تخليه -کرمانشاه-کيلومتر 10جاده هرسين-کارخانه اسفالت پل چهر"</f>
        <v>تخليه -کرمانشاه-کيلومتر 10جاده هرسين-کارخانه اسفالت پل چهر</v>
      </c>
      <c r="D1059" s="1">
        <v>13600</v>
      </c>
      <c r="E1059" s="1">
        <v>794300</v>
      </c>
      <c r="F1059" s="1">
        <v>96</v>
      </c>
      <c r="G1059" s="1">
        <v>5700</v>
      </c>
      <c r="H1059" s="1" t="str">
        <f>"96/08/15"</f>
        <v>96/08/15</v>
      </c>
      <c r="I1059" s="1" t="str">
        <f>"كيلوگرم"</f>
        <v>كيلوگرم</v>
      </c>
      <c r="J1059" s="1" t="str">
        <f>"0000000091"</f>
        <v>0000000091</v>
      </c>
      <c r="K1059" s="1" t="str">
        <f>"قير  PG64-22"</f>
        <v>قير  PG64-22</v>
      </c>
      <c r="L1059" s="1">
        <v>100</v>
      </c>
      <c r="M1059" s="1" t="str">
        <f>"مخازن قير اصفهان"</f>
        <v>مخازن قير اصفهان</v>
      </c>
      <c r="N1059" s="1">
        <v>10626</v>
      </c>
      <c r="O1059" s="1">
        <v>50037070</v>
      </c>
      <c r="P1059" s="1" t="str">
        <f>"  ساختماني بناوتمدن پارت"</f>
        <v xml:space="preserve">  ساختماني بناوتمدن پارت</v>
      </c>
      <c r="Q1059" s="1">
        <v>16</v>
      </c>
      <c r="R1059" s="1" t="str">
        <f>"فروش داخلي تهران - وزارت راه - معاونت اقتصاد"</f>
        <v>فروش داخلي تهران - وزارت راه - معاونت اقتصاد</v>
      </c>
      <c r="S1059" s="1" t="str">
        <f>"قرارداد فروش"</f>
        <v>قرارداد فروش</v>
      </c>
      <c r="T1059" s="1" t="str">
        <f>"ندارد"</f>
        <v>ندارد</v>
      </c>
      <c r="U1059" s="1" t="str">
        <f>"شمسيان پور حبيب اله(2842034)"</f>
        <v>شمسيان پور حبيب اله(2842034)</v>
      </c>
      <c r="V1059" s="1">
        <v>961600019</v>
      </c>
      <c r="W1059" s="1">
        <v>961600019</v>
      </c>
      <c r="X1059" s="1" t="str">
        <f>"1396523774"</f>
        <v>1396523774</v>
      </c>
      <c r="Y1059" s="1" t="str">
        <f>"96/08/15"</f>
        <v>96/08/15</v>
      </c>
      <c r="Z1059" s="1" t="str">
        <f>"40860/710"</f>
        <v>40860/710</v>
      </c>
      <c r="AA1059" s="1" t="str">
        <f>"معاونت اقتصادوزارت راه وشهرسازي"</f>
        <v>معاونت اقتصادوزارت راه وشهرسازي</v>
      </c>
      <c r="AB1059" s="1" t="str">
        <f>"96/08/14"</f>
        <v>96/08/14</v>
      </c>
      <c r="AC1059" s="1" t="str">
        <f>"استان كرمانشاه"</f>
        <v>استان كرمانشاه</v>
      </c>
      <c r="AD1059" s="1" t="str">
        <f>"96/08/15"</f>
        <v>96/08/15</v>
      </c>
      <c r="AE1059" s="1" t="str">
        <f>"اختتام"</f>
        <v>اختتام</v>
      </c>
      <c r="AF1059" s="1" t="str">
        <f>""</f>
        <v/>
      </c>
      <c r="AG1059" s="1" t="str">
        <f>""</f>
        <v/>
      </c>
      <c r="AH1059" s="1" t="str">
        <f>""</f>
        <v/>
      </c>
      <c r="AI1059" s="1" t="str">
        <f>""</f>
        <v/>
      </c>
      <c r="AJ1059" s="1" t="str">
        <f>""</f>
        <v/>
      </c>
      <c r="AK1059" s="1" t="str">
        <f>""</f>
        <v/>
      </c>
    </row>
    <row r="1060" spans="1:37">
      <c r="A1060" s="1">
        <v>400000</v>
      </c>
      <c r="B1060" s="1">
        <v>961800050</v>
      </c>
      <c r="C1060" s="1" t="str">
        <f>"تخليه-خراسان جنوبي-سايت شرکت گيتي گسترخاوران"</f>
        <v>تخليه-خراسان جنوبي-سايت شرکت گيتي گسترخاوران</v>
      </c>
      <c r="D1060" s="1">
        <v>9716</v>
      </c>
      <c r="E1060" s="1">
        <v>397880</v>
      </c>
      <c r="F1060" s="1">
        <v>96</v>
      </c>
      <c r="G1060" s="1">
        <v>2120</v>
      </c>
      <c r="H1060" s="1" t="str">
        <f>"96/07/03"</f>
        <v>96/07/03</v>
      </c>
      <c r="I1060" s="1" t="str">
        <f>"كيلوگرم"</f>
        <v>كيلوگرم</v>
      </c>
      <c r="J1060" s="1" t="str">
        <f>"0000000091"</f>
        <v>0000000091</v>
      </c>
      <c r="K1060" s="1" t="str">
        <f>"قير  PG64-22"</f>
        <v>قير  PG64-22</v>
      </c>
      <c r="L1060" s="1">
        <v>100</v>
      </c>
      <c r="M1060" s="1" t="str">
        <f>"مخازن قير اصفهان"</f>
        <v>مخازن قير اصفهان</v>
      </c>
      <c r="N1060" s="1">
        <v>10635</v>
      </c>
      <c r="O1060" s="1">
        <v>50036152</v>
      </c>
      <c r="P1060" s="1" t="str">
        <f>"  ريحان گسترخاوران"</f>
        <v xml:space="preserve">  ريحان گسترخاوران</v>
      </c>
      <c r="Q1060" s="1">
        <v>18</v>
      </c>
      <c r="R1060" s="1" t="str">
        <f>"فروش داخلي تهران - وزارت راه - شرکت ساخت و توسعه راهها"</f>
        <v>فروش داخلي تهران - وزارت راه - شرکت ساخت و توسعه راهها</v>
      </c>
      <c r="S1060" s="1" t="str">
        <f>"قرارداد فروش"</f>
        <v>قرارداد فروش</v>
      </c>
      <c r="T1060" s="1" t="str">
        <f>"ندارد"</f>
        <v>ندارد</v>
      </c>
      <c r="U1060" s="1" t="str">
        <f>"بابامحمدي عنايت اله(4844000)"</f>
        <v>بابامحمدي عنايت اله(4844000)</v>
      </c>
      <c r="V1060" s="1">
        <v>961800050</v>
      </c>
      <c r="W1060" s="1">
        <v>961800050</v>
      </c>
      <c r="X1060" s="1" t="str">
        <f>"1396514461"</f>
        <v>1396514461</v>
      </c>
      <c r="Y1060" s="1" t="str">
        <f>"96/07/03"</f>
        <v>96/07/03</v>
      </c>
      <c r="Z1060" s="1" t="str">
        <f>"31961/710"</f>
        <v>31961/710</v>
      </c>
      <c r="AA1060" s="1" t="str">
        <f>"شركت  ساخت وتوسعه راهها"</f>
        <v>شركت  ساخت وتوسعه راهها</v>
      </c>
      <c r="AB1060" s="1" t="str">
        <f>"96/06/28"</f>
        <v>96/06/28</v>
      </c>
      <c r="AC1060" s="1" t="str">
        <f>"خراسان جنوبي"</f>
        <v>خراسان جنوبي</v>
      </c>
      <c r="AD1060" s="1" t="str">
        <f>"96/07/03"</f>
        <v>96/07/03</v>
      </c>
      <c r="AE1060" s="1" t="str">
        <f>"اختتام"</f>
        <v>اختتام</v>
      </c>
      <c r="AF1060" s="1" t="str">
        <f>""</f>
        <v/>
      </c>
      <c r="AG1060" s="1" t="str">
        <f>""</f>
        <v/>
      </c>
      <c r="AH1060" s="1" t="str">
        <f>""</f>
        <v/>
      </c>
      <c r="AI1060" s="1" t="str">
        <f>""</f>
        <v/>
      </c>
      <c r="AJ1060" s="1" t="str">
        <f>""</f>
        <v/>
      </c>
      <c r="AK1060" s="1" t="str">
        <f>""</f>
        <v/>
      </c>
    </row>
    <row r="1061" spans="1:37">
      <c r="A1061" s="1">
        <v>150000</v>
      </c>
      <c r="B1061" s="1">
        <v>966100012</v>
      </c>
      <c r="C1061" s="1" t="str">
        <f>"تخليه - اصفهان -کارخانه شرکت گل راه نقش جهان"</f>
        <v>تخليه - اصفهان -کارخانه شرکت گل راه نقش جهان</v>
      </c>
      <c r="D1061" s="1">
        <v>9204</v>
      </c>
      <c r="E1061" s="1">
        <v>150000</v>
      </c>
      <c r="F1061" s="1">
        <v>96</v>
      </c>
      <c r="G1061" s="1">
        <v>0</v>
      </c>
      <c r="H1061" s="1" t="str">
        <f>"96/06/07"</f>
        <v>96/06/07</v>
      </c>
      <c r="I1061" s="1" t="str">
        <f>"كيلوگرم"</f>
        <v>كيلوگرم</v>
      </c>
      <c r="J1061" s="1" t="str">
        <f>"0000000092"</f>
        <v>0000000092</v>
      </c>
      <c r="K1061" s="1" t="str">
        <f>"قير  PG64-16"</f>
        <v>قير  PG64-16</v>
      </c>
      <c r="L1061" s="1">
        <v>100</v>
      </c>
      <c r="M1061" s="1" t="str">
        <f>"مخازن قير اصفهان"</f>
        <v>مخازن قير اصفهان</v>
      </c>
      <c r="N1061" s="1">
        <v>8091</v>
      </c>
      <c r="O1061" s="1">
        <v>50035861</v>
      </c>
      <c r="P1061" s="1" t="str">
        <f>"  اداره كل راه وشهرسازي اصفهان"</f>
        <v xml:space="preserve">  اداره كل راه وشهرسازي اصفهان</v>
      </c>
      <c r="Q1061" s="1">
        <v>61</v>
      </c>
      <c r="R1061" s="1" t="str">
        <f>"فروش داخلي - وزارت راه - مسكن مهر"</f>
        <v>فروش داخلي - وزارت راه - مسكن مهر</v>
      </c>
      <c r="S1061" s="1" t="str">
        <f>"قرارداد فروش"</f>
        <v>قرارداد فروش</v>
      </c>
      <c r="T1061" s="1" t="str">
        <f>"ندارد"</f>
        <v>ندارد</v>
      </c>
      <c r="U1061" s="1" t="str">
        <f>"علي عابدي ابوالقاسم(1003ج89)"</f>
        <v>علي عابدي ابوالقاسم(1003ج89)</v>
      </c>
      <c r="V1061" s="1">
        <v>966100012</v>
      </c>
      <c r="W1061" s="1">
        <v>966100012</v>
      </c>
      <c r="X1061" s="1" t="str">
        <f>"1396508614"</f>
        <v>1396508614</v>
      </c>
      <c r="Y1061" s="1" t="str">
        <f>"96/06/07"</f>
        <v>96/06/07</v>
      </c>
      <c r="Z1061" s="1" t="str">
        <f>"27630/710"</f>
        <v>27630/710</v>
      </c>
      <c r="AA1061" s="1" t="str">
        <f>"مسكن مهر-وزارت راه"</f>
        <v>مسكن مهر-وزارت راه</v>
      </c>
      <c r="AB1061" s="1" t="str">
        <f>"96/06/06"</f>
        <v>96/06/06</v>
      </c>
      <c r="AC1061" s="1" t="str">
        <f>"استان اصفهان"</f>
        <v>استان اصفهان</v>
      </c>
      <c r="AD1061" s="1" t="str">
        <f>"96/06/07"</f>
        <v>96/06/07</v>
      </c>
      <c r="AE1061" s="1" t="str">
        <f>"اختتام"</f>
        <v>اختتام</v>
      </c>
      <c r="AF1061" s="1" t="str">
        <f>""</f>
        <v/>
      </c>
      <c r="AG1061" s="1" t="str">
        <f>""</f>
        <v/>
      </c>
      <c r="AH1061" s="1" t="str">
        <f>""</f>
        <v/>
      </c>
      <c r="AI1061" s="1" t="str">
        <f>""</f>
        <v/>
      </c>
      <c r="AJ1061" s="1" t="str">
        <f>""</f>
        <v/>
      </c>
      <c r="AK1061" s="1" t="str">
        <f>""</f>
        <v/>
      </c>
    </row>
    <row r="1062" spans="1:37">
      <c r="A1062" s="1">
        <v>194000</v>
      </c>
      <c r="B1062" s="1">
        <v>961700188</v>
      </c>
      <c r="C1062" s="1" t="str">
        <f>"تخليه - اصفهان -کارخانه شرکت گل راه نقش جهان"</f>
        <v>تخليه - اصفهان -کارخانه شرکت گل راه نقش جهان</v>
      </c>
      <c r="D1062" s="1">
        <v>14000</v>
      </c>
      <c r="E1062" s="1">
        <v>194000</v>
      </c>
      <c r="F1062" s="1">
        <v>96</v>
      </c>
      <c r="G1062" s="1">
        <v>0</v>
      </c>
      <c r="H1062" s="1" t="str">
        <f>"96/12/22"</f>
        <v>96/12/22</v>
      </c>
      <c r="I1062" s="1" t="str">
        <f>"كيلوگرم"</f>
        <v>كيلوگرم</v>
      </c>
      <c r="J1062" s="1" t="str">
        <f>"0000000092"</f>
        <v>0000000092</v>
      </c>
      <c r="K1062" s="1" t="str">
        <f>"قير  PG64-16"</f>
        <v>قير  PG64-16</v>
      </c>
      <c r="L1062" s="1">
        <v>100</v>
      </c>
      <c r="M1062" s="1" t="str">
        <f>"مخازن قير اصفهان"</f>
        <v>مخازن قير اصفهان</v>
      </c>
      <c r="N1062" s="1">
        <v>8091</v>
      </c>
      <c r="O1062" s="1">
        <v>50038913</v>
      </c>
      <c r="P1062" s="1" t="str">
        <f>"  اداره كل راه وشهرسازي اصفهان"</f>
        <v xml:space="preserve">  اداره كل راه وشهرسازي اصفهان</v>
      </c>
      <c r="Q1062" s="1">
        <v>17</v>
      </c>
      <c r="R1062" s="1" t="str">
        <f>"فروش داخلي تهران - وزارت راه - راه روستايي - روکش"</f>
        <v>فروش داخلي تهران - وزارت راه - راه روستايي - روکش</v>
      </c>
      <c r="S1062" s="1" t="str">
        <f>"قرارداد فروش"</f>
        <v>قرارداد فروش</v>
      </c>
      <c r="T1062" s="1" t="str">
        <f>"ندارد"</f>
        <v>ندارد</v>
      </c>
      <c r="U1062" s="1" t="str">
        <f>"علي عابدي ابوالقاسم(1003ج89)"</f>
        <v>علي عابدي ابوالقاسم(1003ج89)</v>
      </c>
      <c r="V1062" s="1">
        <v>961700188</v>
      </c>
      <c r="W1062" s="1">
        <v>961700188</v>
      </c>
      <c r="X1062" s="1" t="str">
        <f>"1396553913"</f>
        <v>1396553913</v>
      </c>
      <c r="Y1062" s="1" t="str">
        <f>"96/12/22"</f>
        <v>96/12/22</v>
      </c>
      <c r="Z1062" s="1" t="str">
        <f>"284318/710"</f>
        <v>284318/710</v>
      </c>
      <c r="AA1062" s="1" t="str">
        <f>"بنيادمسكن انقلاب اسلامي"</f>
        <v>بنيادمسكن انقلاب اسلامي</v>
      </c>
      <c r="AB1062" s="1" t="str">
        <f>"96/11/18"</f>
        <v>96/11/18</v>
      </c>
      <c r="AC1062" s="1" t="str">
        <f>"استان اصفهان"</f>
        <v>استان اصفهان</v>
      </c>
      <c r="AD1062" s="1" t="str">
        <f>"96/12/20"</f>
        <v>96/12/20</v>
      </c>
      <c r="AE1062" s="1" t="str">
        <f>"اختتام"</f>
        <v>اختتام</v>
      </c>
      <c r="AF1062" s="1" t="str">
        <f>""</f>
        <v/>
      </c>
      <c r="AG1062" s="1" t="str">
        <f>""</f>
        <v/>
      </c>
      <c r="AH1062" s="1" t="str">
        <f>""</f>
        <v/>
      </c>
      <c r="AI1062" s="1" t="str">
        <f>""</f>
        <v/>
      </c>
      <c r="AJ1062" s="1" t="str">
        <f>""</f>
        <v/>
      </c>
      <c r="AK1062" s="1" t="str">
        <f>""</f>
        <v/>
      </c>
    </row>
    <row r="1063" spans="1:37">
      <c r="A1063" s="1">
        <v>112000</v>
      </c>
      <c r="B1063" s="1">
        <v>961700198</v>
      </c>
      <c r="C1063" s="1" t="str">
        <f>"تخليه - اصفهان -کارخانه شرکت گل راه نقش جهان"</f>
        <v>تخليه - اصفهان -کارخانه شرکت گل راه نقش جهان</v>
      </c>
      <c r="D1063" s="1">
        <v>13100</v>
      </c>
      <c r="E1063" s="1">
        <v>112000</v>
      </c>
      <c r="F1063" s="1">
        <v>96</v>
      </c>
      <c r="G1063" s="1">
        <v>0</v>
      </c>
      <c r="H1063" s="1" t="str">
        <f>"96/12/23"</f>
        <v>96/12/23</v>
      </c>
      <c r="I1063" s="1" t="str">
        <f>"كيلوگرم"</f>
        <v>كيلوگرم</v>
      </c>
      <c r="J1063" s="1" t="str">
        <f>"0000000092"</f>
        <v>0000000092</v>
      </c>
      <c r="K1063" s="1" t="str">
        <f>"قير  PG64-16"</f>
        <v>قير  PG64-16</v>
      </c>
      <c r="L1063" s="1">
        <v>100</v>
      </c>
      <c r="M1063" s="1" t="str">
        <f>"مخازن قير اصفهان"</f>
        <v>مخازن قير اصفهان</v>
      </c>
      <c r="N1063" s="1">
        <v>8091</v>
      </c>
      <c r="O1063" s="1">
        <v>50038933</v>
      </c>
      <c r="P1063" s="1" t="str">
        <f>"  اداره كل راه وشهرسازي اصفهان"</f>
        <v xml:space="preserve">  اداره كل راه وشهرسازي اصفهان</v>
      </c>
      <c r="Q1063" s="1">
        <v>17</v>
      </c>
      <c r="R1063" s="1" t="str">
        <f>"فروش داخلي تهران - وزارت راه - راه روستايي - روکش"</f>
        <v>فروش داخلي تهران - وزارت راه - راه روستايي - روکش</v>
      </c>
      <c r="S1063" s="1" t="str">
        <f>"قرارداد فروش"</f>
        <v>قرارداد فروش</v>
      </c>
      <c r="T1063" s="1" t="str">
        <f>"ندارد"</f>
        <v>ندارد</v>
      </c>
      <c r="U1063" s="1" t="str">
        <f>"علي عابدي ابوالقاسم(1003ج89)"</f>
        <v>علي عابدي ابوالقاسم(1003ج89)</v>
      </c>
      <c r="V1063" s="1">
        <v>961700198</v>
      </c>
      <c r="W1063" s="1">
        <v>961700198</v>
      </c>
      <c r="X1063" s="1" t="str">
        <f>"1396553913"</f>
        <v>1396553913</v>
      </c>
      <c r="Y1063" s="1" t="str">
        <f>"96/12/23"</f>
        <v>96/12/23</v>
      </c>
      <c r="Z1063" s="1" t="str">
        <f>"286956/710"</f>
        <v>286956/710</v>
      </c>
      <c r="AA1063" s="1" t="str">
        <f>"راه روستائي -روكش"</f>
        <v>راه روستائي -روكش</v>
      </c>
      <c r="AB1063" s="1" t="str">
        <f>"96/11/25"</f>
        <v>96/11/25</v>
      </c>
      <c r="AC1063" s="1" t="str">
        <f>"استان اصفهان"</f>
        <v>استان اصفهان</v>
      </c>
      <c r="AD1063" s="1" t="str">
        <f>"96/12/20"</f>
        <v>96/12/20</v>
      </c>
      <c r="AE1063" s="1" t="str">
        <f>"اختتام"</f>
        <v>اختتام</v>
      </c>
      <c r="AF1063" s="1" t="str">
        <f>""</f>
        <v/>
      </c>
      <c r="AG1063" s="1" t="str">
        <f>""</f>
        <v/>
      </c>
      <c r="AH1063" s="1" t="str">
        <f>""</f>
        <v/>
      </c>
      <c r="AI1063" s="1" t="str">
        <f>""</f>
        <v/>
      </c>
      <c r="AJ1063" s="1" t="str">
        <f>""</f>
        <v/>
      </c>
      <c r="AK1063" s="1" t="str">
        <f>""</f>
        <v/>
      </c>
    </row>
    <row r="1064" spans="1:37">
      <c r="A1064" s="1">
        <v>146000</v>
      </c>
      <c r="B1064" s="1">
        <v>961700200</v>
      </c>
      <c r="C1064" s="1" t="str">
        <f>"تخليه - اصفهان -کارخانه شرکت گل راه نقش جهان"</f>
        <v>تخليه - اصفهان -کارخانه شرکت گل راه نقش جهان</v>
      </c>
      <c r="D1064" s="1">
        <v>13100</v>
      </c>
      <c r="E1064" s="1">
        <v>145840</v>
      </c>
      <c r="F1064" s="1">
        <v>96</v>
      </c>
      <c r="G1064" s="1">
        <v>160</v>
      </c>
      <c r="H1064" s="1" t="str">
        <f>"96/12/23"</f>
        <v>96/12/23</v>
      </c>
      <c r="I1064" s="1" t="str">
        <f>"كيلوگرم"</f>
        <v>كيلوگرم</v>
      </c>
      <c r="J1064" s="1" t="str">
        <f>"0000000092"</f>
        <v>0000000092</v>
      </c>
      <c r="K1064" s="1" t="str">
        <f>"قير  PG64-16"</f>
        <v>قير  PG64-16</v>
      </c>
      <c r="L1064" s="1">
        <v>100</v>
      </c>
      <c r="M1064" s="1" t="str">
        <f>"مخازن قير اصفهان"</f>
        <v>مخازن قير اصفهان</v>
      </c>
      <c r="N1064" s="1">
        <v>8091</v>
      </c>
      <c r="O1064" s="1">
        <v>50038936</v>
      </c>
      <c r="P1064" s="1" t="str">
        <f>"  اداره كل راه وشهرسازي اصفهان"</f>
        <v xml:space="preserve">  اداره كل راه وشهرسازي اصفهان</v>
      </c>
      <c r="Q1064" s="1">
        <v>17</v>
      </c>
      <c r="R1064" s="1" t="str">
        <f>"فروش داخلي تهران - وزارت راه - راه روستايي - روکش"</f>
        <v>فروش داخلي تهران - وزارت راه - راه روستايي - روکش</v>
      </c>
      <c r="S1064" s="1" t="str">
        <f>"قرارداد فروش"</f>
        <v>قرارداد فروش</v>
      </c>
      <c r="T1064" s="1" t="str">
        <f>"ندارد"</f>
        <v>ندارد</v>
      </c>
      <c r="U1064" s="1" t="str">
        <f>"علي عابدي ابوالقاسم(1003ج89)"</f>
        <v>علي عابدي ابوالقاسم(1003ج89)</v>
      </c>
      <c r="V1064" s="1">
        <v>961700200</v>
      </c>
      <c r="W1064" s="1">
        <v>961700200</v>
      </c>
      <c r="X1064" s="1" t="str">
        <f>"1396553913"</f>
        <v>1396553913</v>
      </c>
      <c r="Y1064" s="1" t="str">
        <f>"96/12/23"</f>
        <v>96/12/23</v>
      </c>
      <c r="Z1064" s="1" t="str">
        <f>"286990/710"</f>
        <v>286990/710</v>
      </c>
      <c r="AA1064" s="1" t="str">
        <f>"راه روستائي -روكش"</f>
        <v>راه روستائي -روكش</v>
      </c>
      <c r="AB1064" s="1" t="str">
        <f>"96/11/25"</f>
        <v>96/11/25</v>
      </c>
      <c r="AC1064" s="1" t="str">
        <f>"استان اصفهان"</f>
        <v>استان اصفهان</v>
      </c>
      <c r="AD1064" s="1" t="str">
        <f>"96/12/20"</f>
        <v>96/12/20</v>
      </c>
      <c r="AE1064" s="1" t="str">
        <f>"اختتام"</f>
        <v>اختتام</v>
      </c>
      <c r="AF1064" s="1" t="str">
        <f>""</f>
        <v/>
      </c>
      <c r="AG1064" s="1" t="str">
        <f>""</f>
        <v/>
      </c>
      <c r="AH1064" s="1" t="str">
        <f>""</f>
        <v/>
      </c>
      <c r="AI1064" s="1" t="str">
        <f>""</f>
        <v/>
      </c>
      <c r="AJ1064" s="1" t="str">
        <f>""</f>
        <v/>
      </c>
      <c r="AK1064" s="1" t="str">
        <f>""</f>
        <v/>
      </c>
    </row>
    <row r="1065" spans="1:37">
      <c r="A1065" s="1">
        <v>70000</v>
      </c>
      <c r="B1065" s="1">
        <v>961700251</v>
      </c>
      <c r="C1065" s="1" t="str">
        <f>"تخليه- بزرگراه نجف آباد فولاد شهر مسکن مهر تنگه جوزدان کارخانه آسفالت آباد گران جنوب"</f>
        <v>تخليه- بزرگراه نجف آباد فولاد شهر مسکن مهر تنگه جوزدان کارخانه آسفالت آباد گران جنوب</v>
      </c>
      <c r="D1065" s="1">
        <v>14000</v>
      </c>
      <c r="E1065" s="1">
        <v>68700</v>
      </c>
      <c r="F1065" s="1">
        <v>96</v>
      </c>
      <c r="G1065" s="1">
        <v>1300</v>
      </c>
      <c r="H1065" s="1" t="str">
        <f>"96/12/26"</f>
        <v>96/12/26</v>
      </c>
      <c r="I1065" s="1" t="str">
        <f>"كيلوگرم"</f>
        <v>كيلوگرم</v>
      </c>
      <c r="J1065" s="1" t="str">
        <f>"0000000092"</f>
        <v>0000000092</v>
      </c>
      <c r="K1065" s="1" t="str">
        <f>"قير  PG64-16"</f>
        <v>قير  PG64-16</v>
      </c>
      <c r="L1065" s="1">
        <v>100</v>
      </c>
      <c r="M1065" s="1" t="str">
        <f>"مخازن قير اصفهان"</f>
        <v>مخازن قير اصفهان</v>
      </c>
      <c r="N1065" s="1">
        <v>8091</v>
      </c>
      <c r="O1065" s="1">
        <v>50039049</v>
      </c>
      <c r="P1065" s="1" t="str">
        <f>"  اداره كل راه وشهرسازي اصفهان"</f>
        <v xml:space="preserve">  اداره كل راه وشهرسازي اصفهان</v>
      </c>
      <c r="Q1065" s="1">
        <v>17</v>
      </c>
      <c r="R1065" s="1" t="str">
        <f>"فروش داخلي تهران - وزارت راه - راه روستايي - روکش"</f>
        <v>فروش داخلي تهران - وزارت راه - راه روستايي - روکش</v>
      </c>
      <c r="S1065" s="1" t="str">
        <f>"قرارداد فروش"</f>
        <v>قرارداد فروش</v>
      </c>
      <c r="T1065" s="1" t="str">
        <f>"ندارد"</f>
        <v>ندارد</v>
      </c>
      <c r="U1065" s="1" t="str">
        <f>"شهبازي محمدرضا(1029ج89)"</f>
        <v>شهبازي محمدرضا(1029ج89)</v>
      </c>
      <c r="V1065" s="1">
        <v>961700251</v>
      </c>
      <c r="W1065" s="1">
        <v>961700251</v>
      </c>
      <c r="X1065" s="1" t="str">
        <f>"1396553913"</f>
        <v>1396553913</v>
      </c>
      <c r="Y1065" s="1" t="str">
        <f>"96/12/26"</f>
        <v>96/12/26</v>
      </c>
      <c r="Z1065" s="1" t="str">
        <f>"287097/710"</f>
        <v>287097/710</v>
      </c>
      <c r="AA1065" s="1" t="str">
        <f>"راه روستائي -روكش"</f>
        <v>راه روستائي -روكش</v>
      </c>
      <c r="AB1065" s="1" t="str">
        <f>"96/11/25"</f>
        <v>96/11/25</v>
      </c>
      <c r="AC1065" s="1" t="str">
        <f>"استان اصفهان"</f>
        <v>استان اصفهان</v>
      </c>
      <c r="AD1065" s="1" t="str">
        <f>"96/12/20"</f>
        <v>96/12/20</v>
      </c>
      <c r="AE1065" s="1" t="str">
        <f>"اختتام"</f>
        <v>اختتام</v>
      </c>
      <c r="AF1065" s="1" t="str">
        <f>""</f>
        <v/>
      </c>
      <c r="AG1065" s="1" t="str">
        <f>""</f>
        <v/>
      </c>
      <c r="AH1065" s="1" t="str">
        <f>""</f>
        <v/>
      </c>
      <c r="AI1065" s="1" t="str">
        <f>""</f>
        <v/>
      </c>
      <c r="AJ1065" s="1" t="str">
        <f>""</f>
        <v/>
      </c>
      <c r="AK1065" s="1" t="str">
        <f>""</f>
        <v/>
      </c>
    </row>
    <row r="1066" spans="1:37">
      <c r="A1066" s="1">
        <v>220000</v>
      </c>
      <c r="B1066" s="1">
        <v>961700253</v>
      </c>
      <c r="C1066" s="1" t="str">
        <f>"تخليه - اصفهان-کيلومتر 5 جاده اصفهان - جرقويه-شرکت ثمين راه صفاهان"</f>
        <v>تخليه - اصفهان-کيلومتر 5 جاده اصفهان - جرقويه-شرکت ثمين راه صفاهان</v>
      </c>
      <c r="D1066" s="1">
        <v>13100</v>
      </c>
      <c r="E1066" s="1">
        <v>218580</v>
      </c>
      <c r="F1066" s="1">
        <v>96</v>
      </c>
      <c r="G1066" s="1">
        <v>1420</v>
      </c>
      <c r="H1066" s="1" t="str">
        <f>"96/12/26"</f>
        <v>96/12/26</v>
      </c>
      <c r="I1066" s="1" t="str">
        <f>"كيلوگرم"</f>
        <v>كيلوگرم</v>
      </c>
      <c r="J1066" s="1" t="str">
        <f>"0000000092"</f>
        <v>0000000092</v>
      </c>
      <c r="K1066" s="1" t="str">
        <f>"قير  PG64-16"</f>
        <v>قير  PG64-16</v>
      </c>
      <c r="L1066" s="1">
        <v>100</v>
      </c>
      <c r="M1066" s="1" t="str">
        <f>"مخازن قير اصفهان"</f>
        <v>مخازن قير اصفهان</v>
      </c>
      <c r="N1066" s="1">
        <v>8091</v>
      </c>
      <c r="O1066" s="1">
        <v>50039053</v>
      </c>
      <c r="P1066" s="1" t="str">
        <f>"  اداره كل راه وشهرسازي اصفهان"</f>
        <v xml:space="preserve">  اداره كل راه وشهرسازي اصفهان</v>
      </c>
      <c r="Q1066" s="1">
        <v>17</v>
      </c>
      <c r="R1066" s="1" t="str">
        <f>"فروش داخلي تهران - وزارت راه - راه روستايي - روکش"</f>
        <v>فروش داخلي تهران - وزارت راه - راه روستايي - روکش</v>
      </c>
      <c r="S1066" s="1" t="str">
        <f>"قرارداد فروش"</f>
        <v>قرارداد فروش</v>
      </c>
      <c r="T1066" s="1" t="str">
        <f>"ندارد"</f>
        <v>ندارد</v>
      </c>
      <c r="U1066" s="1" t="str">
        <f>"شهبازي محمدرضا(1029ج89)"</f>
        <v>شهبازي محمدرضا(1029ج89)</v>
      </c>
      <c r="V1066" s="1">
        <v>961700253</v>
      </c>
      <c r="W1066" s="1">
        <v>961700253</v>
      </c>
      <c r="X1066" s="1" t="str">
        <f>"1396553913"</f>
        <v>1396553913</v>
      </c>
      <c r="Y1066" s="1" t="str">
        <f>"96/12/26"</f>
        <v>96/12/26</v>
      </c>
      <c r="Z1066" s="1" t="str">
        <f>"284686/710"</f>
        <v>284686/710</v>
      </c>
      <c r="AA1066" s="1" t="str">
        <f>"راه روستائي -روكش"</f>
        <v>راه روستائي -روكش</v>
      </c>
      <c r="AB1066" s="1" t="str">
        <f>"96/11/18"</f>
        <v>96/11/18</v>
      </c>
      <c r="AC1066" s="1" t="str">
        <f>"استان اصفهان"</f>
        <v>استان اصفهان</v>
      </c>
      <c r="AD1066" s="1" t="str">
        <f>"96/12/20"</f>
        <v>96/12/20</v>
      </c>
      <c r="AE1066" s="1" t="str">
        <f>"اختتام"</f>
        <v>اختتام</v>
      </c>
      <c r="AF1066" s="1" t="str">
        <f>""</f>
        <v/>
      </c>
      <c r="AG1066" s="1" t="str">
        <f>""</f>
        <v/>
      </c>
      <c r="AH1066" s="1" t="str">
        <f>""</f>
        <v/>
      </c>
      <c r="AI1066" s="1" t="str">
        <f>""</f>
        <v/>
      </c>
      <c r="AJ1066" s="1" t="str">
        <f>""</f>
        <v/>
      </c>
      <c r="AK1066" s="1" t="str">
        <f>""</f>
        <v/>
      </c>
    </row>
    <row r="1067" spans="1:37">
      <c r="A1067" s="1">
        <v>350000</v>
      </c>
      <c r="B1067" s="1">
        <v>961900151</v>
      </c>
      <c r="C1067" s="1" t="str">
        <f>"تخليه - اصفهان-کمربندي شاهين شهر به خميني شهر-کارخانه آسفالت شرکت کوهرنگ راه"</f>
        <v>تخليه - اصفهان-کمربندي شاهين شهر به خميني شهر-کارخانه آسفالت شرکت کوهرنگ راه</v>
      </c>
      <c r="D1067" s="1">
        <v>9363</v>
      </c>
      <c r="E1067" s="1">
        <v>349600</v>
      </c>
      <c r="F1067" s="1">
        <v>96</v>
      </c>
      <c r="G1067" s="1">
        <v>400</v>
      </c>
      <c r="H1067" s="1" t="str">
        <f>"96/07/05"</f>
        <v>96/07/05</v>
      </c>
      <c r="I1067" s="1" t="str">
        <f>"كيلوگرم"</f>
        <v>كيلوگرم</v>
      </c>
      <c r="J1067" s="1" t="str">
        <f>"0000000092"</f>
        <v>0000000092</v>
      </c>
      <c r="K1067" s="1" t="str">
        <f>"قير  PG64-16"</f>
        <v>قير  PG64-16</v>
      </c>
      <c r="L1067" s="1">
        <v>100</v>
      </c>
      <c r="M1067" s="1" t="str">
        <f>"مخازن قير اصفهان"</f>
        <v>مخازن قير اصفهان</v>
      </c>
      <c r="N1067" s="1">
        <v>7031</v>
      </c>
      <c r="O1067" s="1">
        <v>50036353</v>
      </c>
      <c r="P1067" s="1" t="str">
        <f>"  كوهرنگ راه"</f>
        <v xml:space="preserve">  كوهرنگ راه</v>
      </c>
      <c r="Q1067" s="1">
        <v>19</v>
      </c>
      <c r="R106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67" s="1" t="str">
        <f>"قرارداد فروش"</f>
        <v>قرارداد فروش</v>
      </c>
      <c r="T1067" s="1" t="str">
        <f>"ندارد"</f>
        <v>ندارد</v>
      </c>
      <c r="U1067" s="1" t="str">
        <f>"معماريان سعيد(1004ج89)"</f>
        <v>معماريان سعيد(1004ج89)</v>
      </c>
      <c r="V1067" s="1">
        <v>961900151</v>
      </c>
      <c r="W1067" s="1">
        <v>961900151</v>
      </c>
      <c r="X1067" s="1" t="str">
        <f>"1396514736"</f>
        <v>1396514736</v>
      </c>
      <c r="Y1067" s="1" t="str">
        <f>"96/07/05"</f>
        <v>96/07/05</v>
      </c>
      <c r="Z1067" s="1" t="str">
        <f>"32677/710"</f>
        <v>32677/710</v>
      </c>
      <c r="AA1067" s="1" t="str">
        <f>"سازمان راهداري وحمل نقل جاده اي"</f>
        <v>سازمان راهداري وحمل نقل جاده اي</v>
      </c>
      <c r="AB1067" s="1" t="str">
        <f>"96/07/02"</f>
        <v>96/07/02</v>
      </c>
      <c r="AC1067" s="1" t="str">
        <f>"استان اصفهان"</f>
        <v>استان اصفهان</v>
      </c>
      <c r="AD1067" s="1" t="str">
        <f>"96/07/04"</f>
        <v>96/07/04</v>
      </c>
      <c r="AE1067" s="1" t="str">
        <f>"اختتام"</f>
        <v>اختتام</v>
      </c>
      <c r="AF1067" s="1" t="str">
        <f>""</f>
        <v/>
      </c>
      <c r="AG1067" s="1" t="str">
        <f>""</f>
        <v/>
      </c>
      <c r="AH1067" s="1" t="str">
        <f>""</f>
        <v/>
      </c>
      <c r="AI1067" s="1" t="str">
        <f>""</f>
        <v/>
      </c>
      <c r="AJ1067" s="1" t="str">
        <f>""</f>
        <v/>
      </c>
      <c r="AK1067" s="1" t="str">
        <f>""</f>
        <v/>
      </c>
    </row>
    <row r="1068" spans="1:37">
      <c r="A1068" s="1">
        <v>215000</v>
      </c>
      <c r="B1068" s="1">
        <v>961700214</v>
      </c>
      <c r="C1068" s="1" t="str">
        <f>"تخليه خراسان رضوي مشهداول جاده كارخانه آسفالت رهپويان شريعت"</f>
        <v>تخليه خراسان رضوي مشهداول جاده كارخانه آسفالت رهپويان شريعت</v>
      </c>
      <c r="D1068" s="1">
        <v>16350</v>
      </c>
      <c r="E1068" s="1">
        <v>213720</v>
      </c>
      <c r="F1068" s="1">
        <v>96</v>
      </c>
      <c r="G1068" s="1">
        <v>1280</v>
      </c>
      <c r="H1068" s="1" t="str">
        <f>"96/12/24"</f>
        <v>96/12/24</v>
      </c>
      <c r="I1068" s="1" t="str">
        <f>"كيلوگرم"</f>
        <v>كيلوگرم</v>
      </c>
      <c r="J1068" s="1" t="str">
        <f>"0000000092"</f>
        <v>0000000092</v>
      </c>
      <c r="K1068" s="1" t="str">
        <f>"قير  PG64-16"</f>
        <v>قير  PG64-16</v>
      </c>
      <c r="L1068" s="1">
        <v>100</v>
      </c>
      <c r="M1068" s="1" t="str">
        <f>"مخازن قير اصفهان"</f>
        <v>مخازن قير اصفهان</v>
      </c>
      <c r="N1068" s="1">
        <v>11549</v>
      </c>
      <c r="O1068" s="1">
        <v>50038989</v>
      </c>
      <c r="P1068" s="1" t="str">
        <f>"  ساختماني راهسازي بارز سازه توس"</f>
        <v xml:space="preserve">  ساختماني راهسازي بارز سازه توس</v>
      </c>
      <c r="Q1068" s="1">
        <v>17</v>
      </c>
      <c r="R1068" s="1" t="str">
        <f>"فروش داخلي تهران - وزارت راه - راه روستايي - روکش"</f>
        <v>فروش داخلي تهران - وزارت راه - راه روستايي - روکش</v>
      </c>
      <c r="S1068" s="1" t="str">
        <f>"قرارداد فروش"</f>
        <v>قرارداد فروش</v>
      </c>
      <c r="T1068" s="1" t="str">
        <f>"ندارد"</f>
        <v>ندارد</v>
      </c>
      <c r="U1068" s="1" t="str">
        <f>"حسيني سيدجواد(1841076)"</f>
        <v>حسيني سيدجواد(1841076)</v>
      </c>
      <c r="V1068" s="1">
        <v>961700214</v>
      </c>
      <c r="W1068" s="1">
        <v>961700214</v>
      </c>
      <c r="X1068" s="1" t="str">
        <f>"1396554112"</f>
        <v>1396554112</v>
      </c>
      <c r="Y1068" s="1" t="str">
        <f>"96/12/24"</f>
        <v>96/12/24</v>
      </c>
      <c r="Z1068" s="1" t="str">
        <f>"51125/710"</f>
        <v>51125/710</v>
      </c>
      <c r="AA1068" s="1" t="str">
        <f>"راه روستائي -روكش"</f>
        <v>راه روستائي -روكش</v>
      </c>
      <c r="AB1068" s="1" t="str">
        <f>"96/10/04"</f>
        <v>96/10/04</v>
      </c>
      <c r="AC1068" s="1" t="str">
        <f>"خراسان رضوي"</f>
        <v>خراسان رضوي</v>
      </c>
      <c r="AD1068" s="1" t="str">
        <f>"96/12/21"</f>
        <v>96/12/21</v>
      </c>
      <c r="AE1068" s="1" t="str">
        <f>"اختتام"</f>
        <v>اختتام</v>
      </c>
      <c r="AF1068" s="1" t="str">
        <f>""</f>
        <v/>
      </c>
      <c r="AG1068" s="1" t="str">
        <f>""</f>
        <v/>
      </c>
      <c r="AH1068" s="1" t="str">
        <f>""</f>
        <v/>
      </c>
      <c r="AI1068" s="1" t="str">
        <f>""</f>
        <v/>
      </c>
      <c r="AJ1068" s="1" t="str">
        <f>""</f>
        <v/>
      </c>
      <c r="AK1068" s="1" t="str">
        <f>""</f>
        <v/>
      </c>
    </row>
    <row r="1069" spans="1:37">
      <c r="A1069" s="1">
        <v>400000</v>
      </c>
      <c r="B1069" s="1">
        <v>961900124</v>
      </c>
      <c r="C1069" s="1" t="str">
        <f>"تخليه - خراسان رضويشهرستان سبزوار-شرکت ماژان راه بيهق"</f>
        <v>تخليه - خراسان رضويشهرستان سبزوار-شرکت ماژان راه بيهق</v>
      </c>
      <c r="D1069" s="1">
        <v>9204</v>
      </c>
      <c r="E1069" s="1">
        <v>399060</v>
      </c>
      <c r="F1069" s="1">
        <v>96</v>
      </c>
      <c r="G1069" s="1">
        <v>940</v>
      </c>
      <c r="H1069" s="1" t="str">
        <f>"96/05/24"</f>
        <v>96/05/24</v>
      </c>
      <c r="I1069" s="1" t="str">
        <f>"كيلوگرم"</f>
        <v>كيلوگرم</v>
      </c>
      <c r="J1069" s="1" t="str">
        <f>"0000000091"</f>
        <v>0000000091</v>
      </c>
      <c r="K1069" s="1" t="str">
        <f>"قير  PG64-22"</f>
        <v>قير  PG64-22</v>
      </c>
      <c r="L1069" s="1">
        <v>100</v>
      </c>
      <c r="M1069" s="1" t="str">
        <f>"مخازن قير اصفهان"</f>
        <v>مخازن قير اصفهان</v>
      </c>
      <c r="N1069" s="1">
        <v>10964</v>
      </c>
      <c r="O1069" s="1">
        <v>50035664</v>
      </c>
      <c r="P1069" s="1" t="str">
        <f>"  ساختماني ماژان راه بيهق"</f>
        <v xml:space="preserve">  ساختماني ماژان راه بيهق</v>
      </c>
      <c r="Q1069" s="1">
        <v>19</v>
      </c>
      <c r="R106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69" s="1" t="str">
        <f>"قرارداد فروش"</f>
        <v>قرارداد فروش</v>
      </c>
      <c r="T1069" s="1" t="str">
        <f>"ندارد"</f>
        <v>ندارد</v>
      </c>
      <c r="U1069" s="1" t="str">
        <f>"نظام دوست امين (1911102)"</f>
        <v>نظام دوست امين (1911102)</v>
      </c>
      <c r="V1069" s="1">
        <v>961900124</v>
      </c>
      <c r="W1069" s="1">
        <v>961900124</v>
      </c>
      <c r="X1069" s="1" t="str">
        <f>"1396505524"</f>
        <v>1396505524</v>
      </c>
      <c r="Y1069" s="1" t="str">
        <f>"96/05/24"</f>
        <v>96/05/24</v>
      </c>
      <c r="Z1069" s="1" t="str">
        <f>"24740/710"</f>
        <v>24740/710</v>
      </c>
      <c r="AA1069" s="1" t="str">
        <f>"سازمان راهداري وحمل نقل جاده اي"</f>
        <v>سازمان راهداري وحمل نقل جاده اي</v>
      </c>
      <c r="AB1069" s="1" t="str">
        <f>"96/05/23"</f>
        <v>96/05/23</v>
      </c>
      <c r="AC1069" s="1" t="str">
        <f>"خراسان رضوي"</f>
        <v>خراسان رضوي</v>
      </c>
      <c r="AD1069" s="1" t="str">
        <f>"96/05/24"</f>
        <v>96/05/24</v>
      </c>
      <c r="AE1069" s="1" t="str">
        <f>"اختتام"</f>
        <v>اختتام</v>
      </c>
      <c r="AF1069" s="1" t="str">
        <f>""</f>
        <v/>
      </c>
      <c r="AG1069" s="1" t="str">
        <f>""</f>
        <v/>
      </c>
      <c r="AH1069" s="1" t="str">
        <f>""</f>
        <v/>
      </c>
      <c r="AI1069" s="1" t="str">
        <f>""</f>
        <v/>
      </c>
      <c r="AJ1069" s="1" t="str">
        <f>""</f>
        <v/>
      </c>
      <c r="AK1069" s="1" t="str">
        <f>""</f>
        <v/>
      </c>
    </row>
    <row r="1070" spans="1:37">
      <c r="A1070" s="1">
        <v>39050</v>
      </c>
      <c r="B1070" s="1">
        <v>962000451</v>
      </c>
      <c r="C1070" s="1" t="str">
        <f>"تخليه -اصفهان -زرين شهر-كيلومتر6جاده زرين شهراصفهان جنب پل راه آهن جاده -شركت زرين سپاهان"</f>
        <v>تخليه -اصفهان -زرين شهر-كيلومتر6جاده زرين شهراصفهان جنب پل راه آهن جاده -شركت زرين سپاهان</v>
      </c>
      <c r="D1070" s="1">
        <v>12820</v>
      </c>
      <c r="E1070" s="1">
        <v>39050</v>
      </c>
      <c r="F1070" s="1">
        <v>96</v>
      </c>
      <c r="G1070" s="1">
        <v>0</v>
      </c>
      <c r="H1070" s="1" t="str">
        <f>"96/09/20"</f>
        <v>96/09/20</v>
      </c>
      <c r="I1070" s="1" t="str">
        <f>"كيلوگرم"</f>
        <v>كيلوگرم</v>
      </c>
      <c r="J1070" s="1" t="str">
        <f>"0000000076"</f>
        <v>0000000076</v>
      </c>
      <c r="K1070" s="1" t="str">
        <f>"قير 60/70 - فله"</f>
        <v>قير 60/70 - فله</v>
      </c>
      <c r="L1070" s="1">
        <v>100</v>
      </c>
      <c r="M1070" s="1" t="str">
        <f>"مخازن قير اصفهان"</f>
        <v>مخازن قير اصفهان</v>
      </c>
      <c r="N1070" s="1">
        <v>10851</v>
      </c>
      <c r="O1070" s="1">
        <v>50037773</v>
      </c>
      <c r="P1070" s="1" t="str">
        <f>"  شهرداري بهاران شهر"</f>
        <v xml:space="preserve">  شهرداري بهاران شهر</v>
      </c>
      <c r="Q1070" s="1">
        <v>20</v>
      </c>
      <c r="R1070" s="1" t="str">
        <f>"فروش داخلي - سازمان شهرداري ها و دهياري هاي كشور"</f>
        <v>فروش داخلي - سازمان شهرداري ها و دهياري هاي كشور</v>
      </c>
      <c r="S1070" s="1" t="str">
        <f>"قرارداد فروش"</f>
        <v>قرارداد فروش</v>
      </c>
      <c r="T1070" s="1" t="str">
        <f>"ندارد"</f>
        <v>ندارد</v>
      </c>
      <c r="U1070" s="1" t="str">
        <f>"تعاوني جم گستر (1001 ج 89)"</f>
        <v>تعاوني جم گستر (1001 ج 89)</v>
      </c>
      <c r="V1070" s="1">
        <v>962000451</v>
      </c>
      <c r="W1070" s="1">
        <v>962000451</v>
      </c>
      <c r="X1070" s="1" t="str">
        <f>"1396529711"</f>
        <v>1396529711</v>
      </c>
      <c r="Y1070" s="1" t="str">
        <f>"96/09/20"</f>
        <v>96/09/20</v>
      </c>
      <c r="Z1070" s="1" t="str">
        <f>"37116مرحله دوم"</f>
        <v>37116مرحله دوم</v>
      </c>
      <c r="AA1070" s="1" t="str">
        <f>"شهرداريها"</f>
        <v>شهرداريها</v>
      </c>
      <c r="AB1070" s="1" t="str">
        <f>"96/09/04"</f>
        <v>96/09/04</v>
      </c>
      <c r="AC1070" s="1" t="str">
        <f>"استان اصفهان"</f>
        <v>استان اصفهان</v>
      </c>
      <c r="AD1070" s="1" t="str">
        <f>"96/09/13"</f>
        <v>96/09/13</v>
      </c>
      <c r="AE1070" s="1" t="str">
        <f>"اختتام"</f>
        <v>اختتام</v>
      </c>
      <c r="AF1070" s="1" t="str">
        <f>""</f>
        <v/>
      </c>
      <c r="AG1070" s="1" t="str">
        <f>""</f>
        <v/>
      </c>
      <c r="AH1070" s="1" t="str">
        <f>""</f>
        <v/>
      </c>
      <c r="AI1070" s="1" t="str">
        <f>""</f>
        <v/>
      </c>
      <c r="AJ1070" s="1" t="str">
        <f>""</f>
        <v/>
      </c>
      <c r="AK1070" s="1" t="str">
        <f>""</f>
        <v/>
      </c>
    </row>
    <row r="1071" spans="1:37">
      <c r="A1071" s="1">
        <v>187706</v>
      </c>
      <c r="B1071" s="1">
        <v>962000187</v>
      </c>
      <c r="C1071" s="1" t="str">
        <f>"تخليه خراسان رضوي جاده مشهدگلبهاركيلومتر12جاده محسن آبادكارخانه طوس"</f>
        <v>تخليه خراسان رضوي جاده مشهدگلبهاركيلومتر12جاده محسن آبادكارخانه طوس</v>
      </c>
      <c r="D1071" s="1">
        <v>9113</v>
      </c>
      <c r="E1071" s="1">
        <v>187706</v>
      </c>
      <c r="F1071" s="1">
        <v>96</v>
      </c>
      <c r="G1071" s="1">
        <v>0</v>
      </c>
      <c r="H1071" s="1" t="str">
        <f>"96/07/03"</f>
        <v>96/07/03</v>
      </c>
      <c r="I1071" s="1" t="str">
        <f>"كيلوگرم"</f>
        <v>كيلوگرم</v>
      </c>
      <c r="J1071" s="1" t="str">
        <f>"0000000076"</f>
        <v>0000000076</v>
      </c>
      <c r="K1071" s="1" t="str">
        <f>"قير 60/70 - فله"</f>
        <v>قير 60/70 - فله</v>
      </c>
      <c r="L1071" s="1">
        <v>100</v>
      </c>
      <c r="M1071" s="1" t="str">
        <f>"مخازن قير اصفهان"</f>
        <v>مخازن قير اصفهان</v>
      </c>
      <c r="N1071" s="1">
        <v>10855</v>
      </c>
      <c r="O1071" s="1">
        <v>50036393</v>
      </c>
      <c r="P1071" s="1" t="str">
        <f>"  شهرداري گلبهار"</f>
        <v xml:space="preserve">  شهرداري گلبهار</v>
      </c>
      <c r="Q1071" s="1">
        <v>20</v>
      </c>
      <c r="R1071" s="1" t="str">
        <f>"فروش داخلي - سازمان شهرداري ها و دهياري هاي كشور"</f>
        <v>فروش داخلي - سازمان شهرداري ها و دهياري هاي كشور</v>
      </c>
      <c r="S1071" s="1" t="str">
        <f>"قرارداد فروش"</f>
        <v>قرارداد فروش</v>
      </c>
      <c r="T1071" s="1" t="str">
        <f>"ندارد"</f>
        <v>ندارد</v>
      </c>
      <c r="U1071" s="1" t="str">
        <f>"تعاوني جم گستر (1001 ج 89)"</f>
        <v>تعاوني جم گستر (1001 ج 89)</v>
      </c>
      <c r="V1071" s="1">
        <v>962000187</v>
      </c>
      <c r="W1071" s="1">
        <v>962000187</v>
      </c>
      <c r="X1071" s="1" t="str">
        <f>"1396514467"</f>
        <v>1396514467</v>
      </c>
      <c r="Y1071" s="1" t="str">
        <f>"96/07/03"</f>
        <v>96/07/03</v>
      </c>
      <c r="Z1071" s="1" t="str">
        <f>"26671مرحله اول"</f>
        <v>26671مرحله اول</v>
      </c>
      <c r="AA1071" s="1" t="str">
        <f>"شهرداريها"</f>
        <v>شهرداريها</v>
      </c>
      <c r="AB1071" s="1" t="str">
        <f>"96/06/29"</f>
        <v>96/06/29</v>
      </c>
      <c r="AC1071" s="1" t="str">
        <f>"خراسان رضوي"</f>
        <v>خراسان رضوي</v>
      </c>
      <c r="AD1071" s="1" t="str">
        <f>"96/07/03"</f>
        <v>96/07/03</v>
      </c>
      <c r="AE1071" s="1" t="str">
        <f>"اختتام"</f>
        <v>اختتام</v>
      </c>
      <c r="AF1071" s="1" t="str">
        <f>""</f>
        <v/>
      </c>
      <c r="AG1071" s="1" t="str">
        <f>""</f>
        <v/>
      </c>
      <c r="AH1071" s="1" t="str">
        <f>""</f>
        <v/>
      </c>
      <c r="AI1071" s="1" t="str">
        <f>""</f>
        <v/>
      </c>
      <c r="AJ1071" s="1" t="str">
        <f>""</f>
        <v/>
      </c>
      <c r="AK1071" s="1" t="str">
        <f>""</f>
        <v/>
      </c>
    </row>
    <row r="1072" spans="1:37">
      <c r="A1072" s="1">
        <v>216460</v>
      </c>
      <c r="B1072" s="1">
        <v>961900072</v>
      </c>
      <c r="C1072" s="1" t="str">
        <f>"تخليه سه راهي پليس راه جندق - كارگاه شركت زرين سپاهان - 5 كيلومتر به سمت خوركارخانه آسفالت خور"</f>
        <v>تخليه سه راهي پليس راه جندق - كارگاه شركت زرين سپاهان - 5 كيلومتر به سمت خوركارخانه آسفالت خور</v>
      </c>
      <c r="D1072" s="1">
        <v>8904</v>
      </c>
      <c r="E1072" s="1">
        <v>216460</v>
      </c>
      <c r="F1072" s="1">
        <v>96</v>
      </c>
      <c r="G1072" s="1">
        <v>0</v>
      </c>
      <c r="H1072" s="1" t="str">
        <f>"96/04/22"</f>
        <v>96/04/22</v>
      </c>
      <c r="I1072" s="1" t="str">
        <f>"كيلوگرم"</f>
        <v>كيلوگرم</v>
      </c>
      <c r="J1072" s="1" t="str">
        <f>"0000000092"</f>
        <v>0000000092</v>
      </c>
      <c r="K1072" s="1" t="str">
        <f>"قير  PG64-16"</f>
        <v>قير  PG64-16</v>
      </c>
      <c r="L1072" s="1">
        <v>100</v>
      </c>
      <c r="M1072" s="1" t="str">
        <f>"مخازن قير اصفهان"</f>
        <v>مخازن قير اصفهان</v>
      </c>
      <c r="N1072" s="1">
        <v>7140</v>
      </c>
      <c r="O1072" s="1">
        <v>50035193</v>
      </c>
      <c r="P1072" s="1" t="str">
        <f>"  زرين سپاهان"</f>
        <v xml:space="preserve">  زرين سپاهان</v>
      </c>
      <c r="Q1072" s="1">
        <v>19</v>
      </c>
      <c r="R107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72" s="1" t="str">
        <f>"قرارداد فروش"</f>
        <v>قرارداد فروش</v>
      </c>
      <c r="T1072" s="1" t="str">
        <f>"ندارد"</f>
        <v>ندارد</v>
      </c>
      <c r="U1072" s="1" t="str">
        <f>"مرادي نجاتعلي(1020ج89)"</f>
        <v>مرادي نجاتعلي(1020ج89)</v>
      </c>
      <c r="V1072" s="1">
        <v>961900072</v>
      </c>
      <c r="W1072" s="1">
        <v>961900072</v>
      </c>
      <c r="X1072" s="1" t="str">
        <f>"1396496302"</f>
        <v>1396496302</v>
      </c>
      <c r="Y1072" s="1" t="str">
        <f>"96/04/22"</f>
        <v>96/04/22</v>
      </c>
      <c r="Z1072" s="1" t="str">
        <f>"17696/710"</f>
        <v>17696/710</v>
      </c>
      <c r="AA1072" s="1" t="str">
        <f>"سازمان راهداري وحمل نقل جاده اي"</f>
        <v>سازمان راهداري وحمل نقل جاده اي</v>
      </c>
      <c r="AB1072" s="1" t="str">
        <f>"96/04/20"</f>
        <v>96/04/20</v>
      </c>
      <c r="AC1072" s="1" t="str">
        <f>"استان اصفهان"</f>
        <v>استان اصفهان</v>
      </c>
      <c r="AD1072" s="1" t="str">
        <f>"96/04/21"</f>
        <v>96/04/21</v>
      </c>
      <c r="AE1072" s="1" t="str">
        <f>"اختتام"</f>
        <v>اختتام</v>
      </c>
      <c r="AF1072" s="1" t="str">
        <f>""</f>
        <v/>
      </c>
      <c r="AG1072" s="1" t="str">
        <f>""</f>
        <v/>
      </c>
      <c r="AH1072" s="1" t="str">
        <f>""</f>
        <v/>
      </c>
      <c r="AI1072" s="1" t="str">
        <f>""</f>
        <v/>
      </c>
      <c r="AJ1072" s="1" t="str">
        <f>""</f>
        <v/>
      </c>
      <c r="AK1072" s="1" t="str">
        <f>""</f>
        <v/>
      </c>
    </row>
    <row r="1073" spans="1:37">
      <c r="A1073" s="1">
        <v>400000</v>
      </c>
      <c r="B1073" s="1">
        <v>961900182</v>
      </c>
      <c r="C1073" s="1" t="str">
        <f>"تخليه-اصفهان -پليس راه اصفهان -تهران -جاده تخليه ضايعات سنگبري كارخانه آسفالت شركت تعاوني معدني ياقوت آباد"</f>
        <v>تخليه-اصفهان -پليس راه اصفهان -تهران -جاده تخليه ضايعات سنگبري كارخانه آسفالت شركت تعاوني معدني ياقوت آباد</v>
      </c>
      <c r="D1073" s="1">
        <v>13600</v>
      </c>
      <c r="E1073" s="1">
        <v>398660</v>
      </c>
      <c r="F1073" s="1">
        <v>96</v>
      </c>
      <c r="G1073" s="1">
        <v>1340</v>
      </c>
      <c r="H1073" s="1" t="str">
        <f>"96/08/07"</f>
        <v>96/08/07</v>
      </c>
      <c r="I1073" s="1" t="str">
        <f>"كيلوگرم"</f>
        <v>كيلوگرم</v>
      </c>
      <c r="J1073" s="1" t="str">
        <f>"0000000092"</f>
        <v>0000000092</v>
      </c>
      <c r="K1073" s="1" t="str">
        <f>"قير  PG64-16"</f>
        <v>قير  PG64-16</v>
      </c>
      <c r="L1073" s="1">
        <v>100</v>
      </c>
      <c r="M1073" s="1" t="str">
        <f>"مخازن قير اصفهان"</f>
        <v>مخازن قير اصفهان</v>
      </c>
      <c r="N1073" s="1">
        <v>7316</v>
      </c>
      <c r="O1073" s="1">
        <v>50036933</v>
      </c>
      <c r="P1073" s="1" t="str">
        <f>"  تعاوني معدني ياقوت آباد"</f>
        <v xml:space="preserve">  تعاوني معدني ياقوت آباد</v>
      </c>
      <c r="Q1073" s="1">
        <v>19</v>
      </c>
      <c r="R107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73" s="1" t="str">
        <f>"قرارداد فروش"</f>
        <v>قرارداد فروش</v>
      </c>
      <c r="T1073" s="1" t="str">
        <f>"ندارد"</f>
        <v>ندارد</v>
      </c>
      <c r="U1073" s="1" t="str">
        <f>"مرادي نجاتعلي(1020ج89)"</f>
        <v>مرادي نجاتعلي(1020ج89)</v>
      </c>
      <c r="V1073" s="1">
        <v>961900182</v>
      </c>
      <c r="W1073" s="1">
        <v>961900182</v>
      </c>
      <c r="X1073" s="1" t="str">
        <f>"1396521776"</f>
        <v>1396521776</v>
      </c>
      <c r="Y1073" s="1" t="str">
        <f>"96/08/07"</f>
        <v>96/08/07</v>
      </c>
      <c r="Z1073" s="1" t="str">
        <f>"37148/710"</f>
        <v>37148/710</v>
      </c>
      <c r="AA1073" s="1" t="str">
        <f>"سازمان راهداري وحمل نقل جاده اي"</f>
        <v>سازمان راهداري وحمل نقل جاده اي</v>
      </c>
      <c r="AB1073" s="1" t="str">
        <f>"96/07/26"</f>
        <v>96/07/26</v>
      </c>
      <c r="AC1073" s="1" t="str">
        <f>"استان اصفهان"</f>
        <v>استان اصفهان</v>
      </c>
      <c r="AD1073" s="1" t="str">
        <f>"96/08/06"</f>
        <v>96/08/06</v>
      </c>
      <c r="AE1073" s="1" t="str">
        <f>"اختتام"</f>
        <v>اختتام</v>
      </c>
      <c r="AF1073" s="1" t="str">
        <f>""</f>
        <v/>
      </c>
      <c r="AG1073" s="1" t="str">
        <f>""</f>
        <v/>
      </c>
      <c r="AH1073" s="1" t="str">
        <f>""</f>
        <v/>
      </c>
      <c r="AI1073" s="1" t="str">
        <f>""</f>
        <v/>
      </c>
      <c r="AJ1073" s="1" t="str">
        <f>""</f>
        <v/>
      </c>
      <c r="AK1073" s="1" t="str">
        <f>""</f>
        <v/>
      </c>
    </row>
    <row r="1074" spans="1:37">
      <c r="A1074" s="1">
        <v>800000</v>
      </c>
      <c r="B1074" s="1">
        <v>961700038</v>
      </c>
      <c r="C1074" s="1" t="str">
        <f>"تخليه - ايرانشهر-کارخانه فرآوري قيري بلوچ پاسارگاد"</f>
        <v>تخليه - ايرانشهر-کارخانه فرآوري قيري بلوچ پاسارگاد</v>
      </c>
      <c r="D1074" s="1">
        <v>8904</v>
      </c>
      <c r="E1074" s="1">
        <v>800000</v>
      </c>
      <c r="F1074" s="1">
        <v>96</v>
      </c>
      <c r="G1074" s="1">
        <v>0</v>
      </c>
      <c r="H1074" s="1" t="str">
        <f>"96/05/07"</f>
        <v>96/05/07</v>
      </c>
      <c r="I1074" s="1" t="str">
        <f>"كيلوگرم"</f>
        <v>كيلوگرم</v>
      </c>
      <c r="J1074" s="1" t="str">
        <f>"0000000092"</f>
        <v>0000000092</v>
      </c>
      <c r="K1074" s="1" t="str">
        <f>"قير  PG64-16"</f>
        <v>قير  PG64-16</v>
      </c>
      <c r="L1074" s="1">
        <v>100</v>
      </c>
      <c r="M1074" s="1" t="str">
        <f>"مخازن قير اصفهان"</f>
        <v>مخازن قير اصفهان</v>
      </c>
      <c r="N1074" s="1">
        <v>8068</v>
      </c>
      <c r="O1074" s="1">
        <v>50035381</v>
      </c>
      <c r="P1074" s="1" t="str">
        <f>"  اداره كل راه وشهرسازي ايرانشهر"</f>
        <v xml:space="preserve">  اداره كل راه وشهرسازي ايرانشهر</v>
      </c>
      <c r="Q1074" s="1">
        <v>17</v>
      </c>
      <c r="R1074" s="1" t="str">
        <f>"فروش داخلي تهران - وزارت راه - راه روستايي - روکش"</f>
        <v>فروش داخلي تهران - وزارت راه - راه روستايي - روکش</v>
      </c>
      <c r="S1074" s="1" t="str">
        <f>"قرارداد فروش"</f>
        <v>قرارداد فروش</v>
      </c>
      <c r="T1074" s="1" t="str">
        <f>"ندارد"</f>
        <v>ندارد</v>
      </c>
      <c r="U1074" s="1" t="str">
        <f>"بلوچ پاسارگاد(5965002)"</f>
        <v>بلوچ پاسارگاد(5965002)</v>
      </c>
      <c r="V1074" s="1">
        <v>961700038</v>
      </c>
      <c r="W1074" s="1">
        <v>961700038</v>
      </c>
      <c r="X1074" s="1" t="str">
        <f>"1396500713"</f>
        <v>1396500713</v>
      </c>
      <c r="Y1074" s="1" t="str">
        <f>"96/05/07"</f>
        <v>96/05/07</v>
      </c>
      <c r="Z1074" s="1" t="str">
        <f>"20937/710"</f>
        <v>20937/710</v>
      </c>
      <c r="AA1074" s="1" t="str">
        <f>"راه روستائي -روكش"</f>
        <v>راه روستائي -روكش</v>
      </c>
      <c r="AB1074" s="1" t="str">
        <f>"96/05/03"</f>
        <v>96/05/03</v>
      </c>
      <c r="AC1074" s="1" t="str">
        <f>"ايرانشهر"</f>
        <v>ايرانشهر</v>
      </c>
      <c r="AD1074" s="1" t="str">
        <f>"96/05/07"</f>
        <v>96/05/07</v>
      </c>
      <c r="AE1074" s="1" t="str">
        <f>"اختتام"</f>
        <v>اختتام</v>
      </c>
      <c r="AF1074" s="1" t="str">
        <f>""</f>
        <v/>
      </c>
      <c r="AG1074" s="1" t="str">
        <f>""</f>
        <v/>
      </c>
      <c r="AH1074" s="1" t="str">
        <f>""</f>
        <v/>
      </c>
      <c r="AI1074" s="1" t="str">
        <f>""</f>
        <v/>
      </c>
      <c r="AJ1074" s="1" t="str">
        <f>""</f>
        <v/>
      </c>
      <c r="AK1074" s="1" t="str">
        <f>""</f>
        <v/>
      </c>
    </row>
    <row r="1075" spans="1:37">
      <c r="A1075" s="1">
        <v>1000000</v>
      </c>
      <c r="B1075" s="1">
        <v>961900152</v>
      </c>
      <c r="C1075" s="1" t="str">
        <f>"تخليه - کهگيلويه و بويراحمد-باشت -کارخانه آسغالت رزمان"</f>
        <v>تخليه - کهگيلويه و بويراحمد-باشت -کارخانه آسغالت رزمان</v>
      </c>
      <c r="D1075" s="1">
        <v>9363</v>
      </c>
      <c r="E1075" s="1">
        <v>998200</v>
      </c>
      <c r="F1075" s="1">
        <v>96</v>
      </c>
      <c r="G1075" s="1">
        <v>1800</v>
      </c>
      <c r="H1075" s="1" t="str">
        <f>"96/07/05"</f>
        <v>96/07/05</v>
      </c>
      <c r="I1075" s="1" t="str">
        <f>"كيلوگرم"</f>
        <v>كيلوگرم</v>
      </c>
      <c r="J1075" s="1" t="str">
        <f>"0000000091"</f>
        <v>0000000091</v>
      </c>
      <c r="K1075" s="1" t="str">
        <f>"قير  PG64-22"</f>
        <v>قير  PG64-22</v>
      </c>
      <c r="L1075" s="1">
        <v>100</v>
      </c>
      <c r="M1075" s="1" t="str">
        <f>"مخازن قير اصفهان"</f>
        <v>مخازن قير اصفهان</v>
      </c>
      <c r="N1075" s="1">
        <v>11046</v>
      </c>
      <c r="O1075" s="1">
        <v>50036355</v>
      </c>
      <c r="P1075" s="1" t="str">
        <f>"  آذين بام مشايخ"</f>
        <v xml:space="preserve">  آذين بام مشايخ</v>
      </c>
      <c r="Q1075" s="1">
        <v>19</v>
      </c>
      <c r="R107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75" s="1" t="str">
        <f>"قرارداد فروش"</f>
        <v>قرارداد فروش</v>
      </c>
      <c r="T1075" s="1" t="str">
        <f>"ندارد"</f>
        <v>ندارد</v>
      </c>
      <c r="U1075" s="1" t="str">
        <f>"شيخي خيراله (1841012)"</f>
        <v>شيخي خيراله (1841012)</v>
      </c>
      <c r="V1075" s="1">
        <v>961900152</v>
      </c>
      <c r="W1075" s="1">
        <v>961900152</v>
      </c>
      <c r="X1075" s="1" t="str">
        <f>"1396515523"</f>
        <v>1396515523</v>
      </c>
      <c r="Y1075" s="1" t="str">
        <f>"96/07/05"</f>
        <v>96/07/05</v>
      </c>
      <c r="Z1075" s="1" t="str">
        <f>"33197/710"</f>
        <v>33197/710</v>
      </c>
      <c r="AA1075" s="1" t="str">
        <f>"سازمان راهداري وحمل نقل جاده اي"</f>
        <v>سازمان راهداري وحمل نقل جاده اي</v>
      </c>
      <c r="AB1075" s="1" t="str">
        <f>"96/07/04"</f>
        <v>96/07/04</v>
      </c>
      <c r="AC1075" s="1" t="str">
        <f>"كهكيلويه و بوير احمد"</f>
        <v>كهكيلويه و بوير احمد</v>
      </c>
      <c r="AD1075" s="1" t="str">
        <f>"96/07/05"</f>
        <v>96/07/05</v>
      </c>
      <c r="AE1075" s="1" t="str">
        <f>"اختتام"</f>
        <v>اختتام</v>
      </c>
      <c r="AF1075" s="1" t="str">
        <f>""</f>
        <v/>
      </c>
      <c r="AG1075" s="1" t="str">
        <f>""</f>
        <v/>
      </c>
      <c r="AH1075" s="1" t="str">
        <f>""</f>
        <v/>
      </c>
      <c r="AI1075" s="1" t="str">
        <f>""</f>
        <v/>
      </c>
      <c r="AJ1075" s="1" t="str">
        <f>""</f>
        <v/>
      </c>
      <c r="AK1075" s="1" t="str">
        <f>""</f>
        <v/>
      </c>
    </row>
    <row r="1076" spans="1:37">
      <c r="A1076" s="1">
        <v>350000</v>
      </c>
      <c r="B1076" s="1">
        <v>961900142</v>
      </c>
      <c r="C1076" s="1" t="str">
        <f>"تخليه-کهگيلويه و بويراحمد-ياسوج-کارخانه آسفالت ساحلي ياسوج"</f>
        <v>تخليه-کهگيلويه و بويراحمد-ياسوج-کارخانه آسفالت ساحلي ياسوج</v>
      </c>
      <c r="D1076" s="1">
        <v>13100</v>
      </c>
      <c r="E1076" s="1">
        <v>347220</v>
      </c>
      <c r="F1076" s="1">
        <v>96</v>
      </c>
      <c r="G1076" s="1">
        <v>2780</v>
      </c>
      <c r="H1076" s="1" t="str">
        <f>"96/06/22"</f>
        <v>96/06/22</v>
      </c>
      <c r="I1076" s="1" t="str">
        <f>"كيلوگرم"</f>
        <v>كيلوگرم</v>
      </c>
      <c r="J1076" s="1" t="str">
        <f>"0000000091"</f>
        <v>0000000091</v>
      </c>
      <c r="K1076" s="1" t="str">
        <f>"قير  PG64-22"</f>
        <v>قير  PG64-22</v>
      </c>
      <c r="L1076" s="1">
        <v>100</v>
      </c>
      <c r="M1076" s="1" t="str">
        <f>"مخازن قير اصفهان"</f>
        <v>مخازن قير اصفهان</v>
      </c>
      <c r="N1076" s="1">
        <v>11048</v>
      </c>
      <c r="O1076" s="1">
        <v>50036005</v>
      </c>
      <c r="P1076" s="1" t="str">
        <f>"  ويلا بوير"</f>
        <v xml:space="preserve">  ويلا بوير</v>
      </c>
      <c r="Q1076" s="1">
        <v>19</v>
      </c>
      <c r="R107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76" s="1" t="str">
        <f>"قرارداد فروش"</f>
        <v>قرارداد فروش</v>
      </c>
      <c r="T1076" s="1" t="str">
        <f>"ندارد"</f>
        <v>ندارد</v>
      </c>
      <c r="U1076" s="1" t="str">
        <f>"غلام نجفي سيامك‌‌‌‌‌‌(1881082)"</f>
        <v>غلام نجفي سيامك‌‌‌‌‌‌(1881082)</v>
      </c>
      <c r="V1076" s="1">
        <v>961900142</v>
      </c>
      <c r="W1076" s="1">
        <v>961900142</v>
      </c>
      <c r="X1076" s="1" t="str">
        <f>"1396511622"</f>
        <v>1396511622</v>
      </c>
      <c r="Y1076" s="1" t="str">
        <f>"96/06/22"</f>
        <v>96/06/22</v>
      </c>
      <c r="Z1076" s="1" t="str">
        <f>"29803/710"</f>
        <v>29803/710</v>
      </c>
      <c r="AA1076" s="1" t="str">
        <f>"سازمان راهداري وحمل نقل جاده اي"</f>
        <v>سازمان راهداري وحمل نقل جاده اي</v>
      </c>
      <c r="AB1076" s="1" t="str">
        <f>"96/06/15"</f>
        <v>96/06/15</v>
      </c>
      <c r="AC1076" s="1" t="str">
        <f>"كهكيلويه و بوير احمد"</f>
        <v>كهكيلويه و بوير احمد</v>
      </c>
      <c r="AD1076" s="1" t="str">
        <f>"96/06/21"</f>
        <v>96/06/21</v>
      </c>
      <c r="AE1076" s="1" t="str">
        <f>"اختتام"</f>
        <v>اختتام</v>
      </c>
      <c r="AF1076" s="1" t="str">
        <f>""</f>
        <v/>
      </c>
      <c r="AG1076" s="1" t="str">
        <f>""</f>
        <v/>
      </c>
      <c r="AH1076" s="1" t="str">
        <f>""</f>
        <v/>
      </c>
      <c r="AI1076" s="1" t="str">
        <f>""</f>
        <v/>
      </c>
      <c r="AJ1076" s="1" t="str">
        <f>""</f>
        <v/>
      </c>
      <c r="AK1076" s="1" t="str">
        <f>""</f>
        <v/>
      </c>
    </row>
    <row r="1077" spans="1:37">
      <c r="A1077" s="1">
        <v>500000</v>
      </c>
      <c r="B1077" s="1">
        <v>961900145</v>
      </c>
      <c r="C1077" s="1" t="str">
        <f>"تخليه - خراسان جنوبي-کارخانه بهبود صنعت"</f>
        <v>تخليه - خراسان جنوبي-کارخانه بهبود صنعت</v>
      </c>
      <c r="D1077" s="1">
        <v>9363</v>
      </c>
      <c r="E1077" s="1">
        <v>493240</v>
      </c>
      <c r="F1077" s="1">
        <v>96</v>
      </c>
      <c r="G1077" s="1">
        <v>6760</v>
      </c>
      <c r="H1077" s="1" t="str">
        <f>"96/06/25"</f>
        <v>96/06/25</v>
      </c>
      <c r="I1077" s="1" t="str">
        <f>"كيلوگرم"</f>
        <v>كيلوگرم</v>
      </c>
      <c r="J1077" s="1" t="str">
        <f>"0000000091"</f>
        <v>0000000091</v>
      </c>
      <c r="K1077" s="1" t="str">
        <f>"قير  PG64-22"</f>
        <v>قير  PG64-22</v>
      </c>
      <c r="L1077" s="1">
        <v>100</v>
      </c>
      <c r="M1077" s="1" t="str">
        <f>"مخازن قير اصفهان"</f>
        <v>مخازن قير اصفهان</v>
      </c>
      <c r="N1077" s="1">
        <v>11053</v>
      </c>
      <c r="O1077" s="1">
        <v>50036047</v>
      </c>
      <c r="P1077" s="1" t="str">
        <f>"  آوارادين شرق"</f>
        <v xml:space="preserve">  آوارادين شرق</v>
      </c>
      <c r="Q1077" s="1">
        <v>19</v>
      </c>
      <c r="R107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77" s="1" t="str">
        <f>"قرارداد فروش"</f>
        <v>قرارداد فروش</v>
      </c>
      <c r="T1077" s="1" t="str">
        <f>"ندارد"</f>
        <v>ندارد</v>
      </c>
      <c r="U1077" s="1" t="str">
        <f>"كاردان اسپادان راه مصطفي  (1911100)"</f>
        <v>كاردان اسپادان راه مصطفي  (1911100)</v>
      </c>
      <c r="V1077" s="1">
        <v>961900145</v>
      </c>
      <c r="W1077" s="1">
        <v>961900145</v>
      </c>
      <c r="X1077" s="1" t="str">
        <f>"1396512668"</f>
        <v>1396512668</v>
      </c>
      <c r="Y1077" s="1" t="str">
        <f>"96/06/25"</f>
        <v>96/06/25</v>
      </c>
      <c r="Z1077" s="1" t="str">
        <f>"30714/710"</f>
        <v>30714/710</v>
      </c>
      <c r="AA1077" s="1" t="str">
        <f>"سازمان راهداري وحمل نقل جاده اي"</f>
        <v>سازمان راهداري وحمل نقل جاده اي</v>
      </c>
      <c r="AB1077" s="1" t="str">
        <f>"96/06/22"</f>
        <v>96/06/22</v>
      </c>
      <c r="AC1077" s="1" t="str">
        <f>"خراسان جنوبي"</f>
        <v>خراسان جنوبي</v>
      </c>
      <c r="AD1077" s="1" t="str">
        <f>"96/06/25"</f>
        <v>96/06/25</v>
      </c>
      <c r="AE1077" s="1" t="str">
        <f>"اختتام"</f>
        <v>اختتام</v>
      </c>
      <c r="AF1077" s="1" t="str">
        <f>""</f>
        <v/>
      </c>
      <c r="AG1077" s="1" t="str">
        <f>""</f>
        <v/>
      </c>
      <c r="AH1077" s="1" t="str">
        <f>""</f>
        <v/>
      </c>
      <c r="AI1077" s="1" t="str">
        <f>""</f>
        <v/>
      </c>
      <c r="AJ1077" s="1" t="str">
        <f>""</f>
        <v/>
      </c>
      <c r="AK1077" s="1" t="str">
        <f>""</f>
        <v/>
      </c>
    </row>
    <row r="1078" spans="1:37">
      <c r="A1078" s="1">
        <v>430000</v>
      </c>
      <c r="B1078" s="1">
        <v>966200284</v>
      </c>
      <c r="C1078" s="1" t="str">
        <f>"تخليه- گيلان-رضوانشهر-سه راهي پونل به ارده-کيلومتر 8 روستاي دوران-کارخانه آسفالت شرکت ايمن بنا"</f>
        <v>تخليه- گيلان-رضوانشهر-سه راهي پونل به ارده-کيلومتر 8 روستاي دوران-کارخانه آسفالت شرکت ايمن بنا</v>
      </c>
      <c r="D1078" s="1">
        <v>9363</v>
      </c>
      <c r="E1078" s="1">
        <v>428920</v>
      </c>
      <c r="F1078" s="1">
        <v>96</v>
      </c>
      <c r="G1078" s="1">
        <v>1080</v>
      </c>
      <c r="H1078" s="1" t="str">
        <f>"96/07/11"</f>
        <v>96/07/11</v>
      </c>
      <c r="I1078" s="1" t="str">
        <f>"كيلوگرم"</f>
        <v>كيلوگرم</v>
      </c>
      <c r="J1078" s="1" t="str">
        <f>"0000000093"</f>
        <v>0000000093</v>
      </c>
      <c r="K1078" s="1" t="str">
        <f>"قير  PG64-10"</f>
        <v>قير  PG64-10</v>
      </c>
      <c r="L1078" s="1">
        <v>100</v>
      </c>
      <c r="M1078" s="1" t="str">
        <f>"مخازن قير اصفهان"</f>
        <v>مخازن قير اصفهان</v>
      </c>
      <c r="N1078" s="1">
        <v>8789</v>
      </c>
      <c r="O1078" s="1">
        <v>50036505</v>
      </c>
      <c r="P1078" s="1" t="str">
        <f>"  ايمن بنا"</f>
        <v xml:space="preserve">  ايمن بنا</v>
      </c>
      <c r="Q1078" s="1">
        <v>62</v>
      </c>
      <c r="R1078" s="1" t="str">
        <f>"فروش داخلي - سازمان بنيادمسكن انقلاب اسلامي"</f>
        <v>فروش داخلي - سازمان بنيادمسكن انقلاب اسلامي</v>
      </c>
      <c r="S1078" s="1" t="str">
        <f>"قرارداد فروش"</f>
        <v>قرارداد فروش</v>
      </c>
      <c r="T1078" s="1" t="str">
        <f>"ندارد"</f>
        <v>ندارد</v>
      </c>
      <c r="U1078" s="1" t="str">
        <f>"خليل الهي حسن(1841005)"</f>
        <v>خليل الهي حسن(1841005)</v>
      </c>
      <c r="V1078" s="1">
        <v>966200284</v>
      </c>
      <c r="W1078" s="1">
        <v>966200284</v>
      </c>
      <c r="X1078" s="1" t="str">
        <f>"1396515926"</f>
        <v>1396515926</v>
      </c>
      <c r="Y1078" s="1" t="str">
        <f>"96/07/11"</f>
        <v>96/07/11</v>
      </c>
      <c r="Z1078" s="1" t="str">
        <f>"30189/د"</f>
        <v>30189/د</v>
      </c>
      <c r="AA1078" s="1" t="str">
        <f>"بنيادمسكن انقلاب اسلامي"</f>
        <v>بنيادمسكن انقلاب اسلامي</v>
      </c>
      <c r="AB1078" s="1" t="str">
        <f>"96/07/10"</f>
        <v>96/07/10</v>
      </c>
      <c r="AC1078" s="1" t="str">
        <f>"استان گيلان"</f>
        <v>استان گيلان</v>
      </c>
      <c r="AD1078" s="1" t="str">
        <f>"96/07/11"</f>
        <v>96/07/11</v>
      </c>
      <c r="AE1078" s="1" t="str">
        <f>"اختتام"</f>
        <v>اختتام</v>
      </c>
      <c r="AF1078" s="1" t="str">
        <f>""</f>
        <v/>
      </c>
      <c r="AG1078" s="1" t="str">
        <f>""</f>
        <v/>
      </c>
      <c r="AH1078" s="1" t="str">
        <f>""</f>
        <v/>
      </c>
      <c r="AI1078" s="1" t="str">
        <f>""</f>
        <v/>
      </c>
      <c r="AJ1078" s="1" t="str">
        <f>""</f>
        <v/>
      </c>
      <c r="AK1078" s="1" t="str">
        <f>""</f>
        <v/>
      </c>
    </row>
    <row r="1079" spans="1:37">
      <c r="A1079" s="1">
        <v>223000</v>
      </c>
      <c r="B1079" s="1">
        <v>966200545</v>
      </c>
      <c r="C1079" s="1" t="str">
        <f>"تخليه- گيلان-رضوانشهر-سه راهي پونل به ارده-کيلومتر 8 روستاي دوران-کارخانه آسفالت شرکت ايمن بنا"</f>
        <v>تخليه- گيلان-رضوانشهر-سه راهي پونل به ارده-کيلومتر 8 روستاي دوران-کارخانه آسفالت شرکت ايمن بنا</v>
      </c>
      <c r="D1079" s="1">
        <v>13450</v>
      </c>
      <c r="E1079" s="1">
        <v>222480</v>
      </c>
      <c r="F1079" s="1">
        <v>96</v>
      </c>
      <c r="G1079" s="1">
        <v>520</v>
      </c>
      <c r="H1079" s="1" t="str">
        <f>"96/11/04"</f>
        <v>96/11/04</v>
      </c>
      <c r="I1079" s="1" t="str">
        <f>"كيلوگرم"</f>
        <v>كيلوگرم</v>
      </c>
      <c r="J1079" s="1" t="str">
        <f>"0000000093"</f>
        <v>0000000093</v>
      </c>
      <c r="K1079" s="1" t="str">
        <f>"قير  PG64-10"</f>
        <v>قير  PG64-10</v>
      </c>
      <c r="L1079" s="1">
        <v>100</v>
      </c>
      <c r="M1079" s="1" t="str">
        <f>"مخازن قير اصفهان"</f>
        <v>مخازن قير اصفهان</v>
      </c>
      <c r="N1079" s="1">
        <v>8789</v>
      </c>
      <c r="O1079" s="1">
        <v>50038279</v>
      </c>
      <c r="P1079" s="1" t="str">
        <f>"  ايمن بنا"</f>
        <v xml:space="preserve">  ايمن بنا</v>
      </c>
      <c r="Q1079" s="1">
        <v>62</v>
      </c>
      <c r="R1079" s="1" t="str">
        <f>"فروش داخلي - سازمان بنيادمسكن انقلاب اسلامي"</f>
        <v>فروش داخلي - سازمان بنيادمسكن انقلاب اسلامي</v>
      </c>
      <c r="S1079" s="1" t="str">
        <f>"قرارداد فروش"</f>
        <v>قرارداد فروش</v>
      </c>
      <c r="T1079" s="1" t="str">
        <f>"ندارد"</f>
        <v>ندارد</v>
      </c>
      <c r="U1079" s="1" t="str">
        <f>"حاج صادقي باقر(1841027)"</f>
        <v>حاج صادقي باقر(1841027)</v>
      </c>
      <c r="V1079" s="1">
        <v>966200545</v>
      </c>
      <c r="W1079" s="1">
        <v>966200545</v>
      </c>
      <c r="X1079" s="1" t="str">
        <f>"1396543190"</f>
        <v>1396543190</v>
      </c>
      <c r="Y1079" s="1" t="str">
        <f>"96/11/04"</f>
        <v>96/11/04</v>
      </c>
      <c r="Z1079" s="1" t="str">
        <f>"49230/د"</f>
        <v>49230/د</v>
      </c>
      <c r="AA1079" s="1" t="str">
        <f>"بنيادمسكن انقلاب اسلامي"</f>
        <v>بنيادمسكن انقلاب اسلامي</v>
      </c>
      <c r="AB1079" s="1" t="str">
        <f>"96/11/03"</f>
        <v>96/11/03</v>
      </c>
      <c r="AC1079" s="1" t="str">
        <f>"استان گيلان"</f>
        <v>استان گيلان</v>
      </c>
      <c r="AD1079" s="1" t="str">
        <f>"96/11/04"</f>
        <v>96/11/04</v>
      </c>
      <c r="AE1079" s="1" t="str">
        <f>"اختتام"</f>
        <v>اختتام</v>
      </c>
      <c r="AF1079" s="1" t="str">
        <f>""</f>
        <v/>
      </c>
      <c r="AG1079" s="1" t="str">
        <f>""</f>
        <v/>
      </c>
      <c r="AH1079" s="1" t="str">
        <f>""</f>
        <v/>
      </c>
      <c r="AI1079" s="1" t="str">
        <f>""</f>
        <v/>
      </c>
      <c r="AJ1079" s="1" t="str">
        <f>""</f>
        <v/>
      </c>
      <c r="AK1079" s="1" t="str">
        <f>""</f>
        <v/>
      </c>
    </row>
    <row r="1080" spans="1:37">
      <c r="A1080" s="1">
        <v>533540</v>
      </c>
      <c r="B1080" s="1">
        <v>961900071</v>
      </c>
      <c r="C1080" s="1" t="str">
        <f>"تخليه -اتوبان ذوب آهن -کيلومتر29جاده اصفهان -شهرکرد-کارگاه زرين سپاهان"</f>
        <v>تخليه -اتوبان ذوب آهن -کيلومتر29جاده اصفهان -شهرکرد-کارگاه زرين سپاهان</v>
      </c>
      <c r="D1080" s="1">
        <v>8904</v>
      </c>
      <c r="E1080" s="1">
        <v>528800</v>
      </c>
      <c r="F1080" s="1">
        <v>96</v>
      </c>
      <c r="G1080" s="1">
        <v>4740</v>
      </c>
      <c r="H1080" s="1" t="str">
        <f>"96/04/22"</f>
        <v>96/04/22</v>
      </c>
      <c r="I1080" s="1" t="str">
        <f>"كيلوگرم"</f>
        <v>كيلوگرم</v>
      </c>
      <c r="J1080" s="1" t="str">
        <f>"0000000092"</f>
        <v>0000000092</v>
      </c>
      <c r="K1080" s="1" t="str">
        <f>"قير  PG64-16"</f>
        <v>قير  PG64-16</v>
      </c>
      <c r="L1080" s="1">
        <v>100</v>
      </c>
      <c r="M1080" s="1" t="str">
        <f>"مخازن قير اصفهان"</f>
        <v>مخازن قير اصفهان</v>
      </c>
      <c r="N1080" s="1">
        <v>7140</v>
      </c>
      <c r="O1080" s="1">
        <v>50035192</v>
      </c>
      <c r="P1080" s="1" t="str">
        <f>"  زرين سپاهان"</f>
        <v xml:space="preserve">  زرين سپاهان</v>
      </c>
      <c r="Q1080" s="1">
        <v>19</v>
      </c>
      <c r="R108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80" s="1" t="str">
        <f>"قرارداد فروش"</f>
        <v>قرارداد فروش</v>
      </c>
      <c r="T1080" s="1" t="str">
        <f>"ندارد"</f>
        <v>ندارد</v>
      </c>
      <c r="U1080" s="1" t="str">
        <f>"مرادي نجاتعلي(1020ج89)"</f>
        <v>مرادي نجاتعلي(1020ج89)</v>
      </c>
      <c r="V1080" s="1">
        <v>961900071</v>
      </c>
      <c r="W1080" s="1">
        <v>961900071</v>
      </c>
      <c r="X1080" s="1" t="str">
        <f>"1396496302"</f>
        <v>1396496302</v>
      </c>
      <c r="Y1080" s="1" t="str">
        <f>"96/04/22"</f>
        <v>96/04/22</v>
      </c>
      <c r="Z1080" s="1" t="str">
        <f>"17696/710"</f>
        <v>17696/710</v>
      </c>
      <c r="AA1080" s="1" t="str">
        <f>"سازمان راهداري وحمل نقل جاده اي"</f>
        <v>سازمان راهداري وحمل نقل جاده اي</v>
      </c>
      <c r="AB1080" s="1" t="str">
        <f>"96/04/20"</f>
        <v>96/04/20</v>
      </c>
      <c r="AC1080" s="1" t="str">
        <f>"استان اصفهان"</f>
        <v>استان اصفهان</v>
      </c>
      <c r="AD1080" s="1" t="str">
        <f>"96/04/21"</f>
        <v>96/04/21</v>
      </c>
      <c r="AE1080" s="1" t="str">
        <f>"اختتام"</f>
        <v>اختتام</v>
      </c>
      <c r="AF1080" s="1" t="str">
        <f>""</f>
        <v/>
      </c>
      <c r="AG1080" s="1" t="str">
        <f>""</f>
        <v/>
      </c>
      <c r="AH1080" s="1" t="str">
        <f>""</f>
        <v/>
      </c>
      <c r="AI1080" s="1" t="str">
        <f>""</f>
        <v/>
      </c>
      <c r="AJ1080" s="1" t="str">
        <f>""</f>
        <v/>
      </c>
      <c r="AK1080" s="1" t="str">
        <f>""</f>
        <v/>
      </c>
    </row>
    <row r="1081" spans="1:37">
      <c r="A1081" s="1">
        <v>200000</v>
      </c>
      <c r="B1081" s="1">
        <v>961900091</v>
      </c>
      <c r="C1081" s="1" t="str">
        <f>"تخليه كرمانشاه محوركرمانشاه -هرسين بعدازپليس راه كيلومتر9روبروي روستاي چهركارخانه آسفالت پل چهر"</f>
        <v>تخليه كرمانشاه محوركرمانشاه -هرسين بعدازپليس راه كيلومتر9روبروي روستاي چهركارخانه آسفالت پل چهر</v>
      </c>
      <c r="D1081" s="1">
        <v>9204</v>
      </c>
      <c r="E1081" s="1">
        <v>199240</v>
      </c>
      <c r="F1081" s="1">
        <v>96</v>
      </c>
      <c r="G1081" s="1">
        <v>760</v>
      </c>
      <c r="H1081" s="1" t="str">
        <f>"96/05/09"</f>
        <v>96/05/09</v>
      </c>
      <c r="I1081" s="1" t="str">
        <f>"كيلوگرم"</f>
        <v>كيلوگرم</v>
      </c>
      <c r="J1081" s="1" t="str">
        <f>"0000000091"</f>
        <v>0000000091</v>
      </c>
      <c r="K1081" s="1" t="str">
        <f>"قير  PG64-22"</f>
        <v>قير  PG64-22</v>
      </c>
      <c r="L1081" s="1">
        <v>100</v>
      </c>
      <c r="M1081" s="1" t="str">
        <f>"مخازن قير اصفهان"</f>
        <v>مخازن قير اصفهان</v>
      </c>
      <c r="N1081" s="1">
        <v>11122</v>
      </c>
      <c r="O1081" s="1">
        <v>50035416</v>
      </c>
      <c r="P1081" s="1" t="str">
        <f>"  اسكان عمران بيستون"</f>
        <v xml:space="preserve">  اسكان عمران بيستون</v>
      </c>
      <c r="Q1081" s="1">
        <v>19</v>
      </c>
      <c r="R108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81" s="1" t="str">
        <f>"قرارداد فروش"</f>
        <v>قرارداد فروش</v>
      </c>
      <c r="T1081" s="1" t="str">
        <f>"ندارد"</f>
        <v>ندارد</v>
      </c>
      <c r="U1081" s="1" t="str">
        <f>"شمسيان پور حبيب اله(2842034)"</f>
        <v>شمسيان پور حبيب اله(2842034)</v>
      </c>
      <c r="V1081" s="1">
        <v>961900091</v>
      </c>
      <c r="W1081" s="1">
        <v>961900091</v>
      </c>
      <c r="X1081" s="1" t="str">
        <f>"1396501181"</f>
        <v>1396501181</v>
      </c>
      <c r="Y1081" s="1" t="str">
        <f>"96/05/09"</f>
        <v>96/05/09</v>
      </c>
      <c r="Z1081" s="1" t="str">
        <f>"21902/710"</f>
        <v>21902/710</v>
      </c>
      <c r="AA1081" s="1" t="str">
        <f>"سازمان راهداري وحمل نقل جاده اي"</f>
        <v>سازمان راهداري وحمل نقل جاده اي</v>
      </c>
      <c r="AB1081" s="1" t="str">
        <f>"96/05/08"</f>
        <v>96/05/08</v>
      </c>
      <c r="AC1081" s="1" t="str">
        <f>"استان كرمانشاه"</f>
        <v>استان كرمانشاه</v>
      </c>
      <c r="AD1081" s="1" t="str">
        <f>"96/05/09"</f>
        <v>96/05/09</v>
      </c>
      <c r="AE1081" s="1" t="str">
        <f>"اختتام"</f>
        <v>اختتام</v>
      </c>
      <c r="AF1081" s="1" t="str">
        <f>""</f>
        <v/>
      </c>
      <c r="AG1081" s="1" t="str">
        <f>""</f>
        <v/>
      </c>
      <c r="AH1081" s="1" t="str">
        <f>""</f>
        <v/>
      </c>
      <c r="AI1081" s="1" t="str">
        <f>""</f>
        <v/>
      </c>
      <c r="AJ1081" s="1" t="str">
        <f>""</f>
        <v/>
      </c>
      <c r="AK1081" s="1" t="str">
        <f>""</f>
        <v/>
      </c>
    </row>
    <row r="1082" spans="1:37">
      <c r="A1082" s="1">
        <v>300000</v>
      </c>
      <c r="B1082" s="1">
        <v>961900108</v>
      </c>
      <c r="C1082" s="1" t="str">
        <f>"تخليه - يزد-اردکان-کارخانه آسفالت هامون اردکان"</f>
        <v>تخليه - يزد-اردکان-کارخانه آسفالت هامون اردکان</v>
      </c>
      <c r="D1082" s="1">
        <v>15810</v>
      </c>
      <c r="E1082" s="1">
        <v>299000</v>
      </c>
      <c r="F1082" s="1">
        <v>96</v>
      </c>
      <c r="G1082" s="1">
        <v>1000</v>
      </c>
      <c r="H1082" s="1" t="str">
        <f>"96/05/10"</f>
        <v>96/05/10</v>
      </c>
      <c r="I1082" s="1" t="str">
        <f>"كيلوگرم"</f>
        <v>كيلوگرم</v>
      </c>
      <c r="J1082" s="1" t="str">
        <f>"0000000091"</f>
        <v>0000000091</v>
      </c>
      <c r="K1082" s="1" t="str">
        <f>"قير  PG64-22"</f>
        <v>قير  PG64-22</v>
      </c>
      <c r="L1082" s="1">
        <v>100</v>
      </c>
      <c r="M1082" s="1" t="str">
        <f>"مخازن قير اصفهان"</f>
        <v>مخازن قير اصفهان</v>
      </c>
      <c r="N1082" s="1">
        <v>11270</v>
      </c>
      <c r="O1082" s="1">
        <v>50035467</v>
      </c>
      <c r="P1082" s="1" t="str">
        <f>"  اداره كل راهداري وحمل ونقل جاده اي يزد"</f>
        <v xml:space="preserve">  اداره كل راهداري وحمل ونقل جاده اي يزد</v>
      </c>
      <c r="Q1082" s="1">
        <v>19</v>
      </c>
      <c r="R108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82" s="1" t="str">
        <f>"قرارداد فروش"</f>
        <v>قرارداد فروش</v>
      </c>
      <c r="T1082" s="1" t="str">
        <f>"ندارد"</f>
        <v>ندارد</v>
      </c>
      <c r="U1082" s="1" t="str">
        <f>"قانعي محمدرضا(1011ج89)"</f>
        <v>قانعي محمدرضا(1011ج89)</v>
      </c>
      <c r="V1082" s="1">
        <v>961900108</v>
      </c>
      <c r="W1082" s="1">
        <v>961900108</v>
      </c>
      <c r="X1082" s="1" t="str">
        <f>"1396501690"</f>
        <v>1396501690</v>
      </c>
      <c r="Y1082" s="1" t="str">
        <f>"96/05/10"</f>
        <v>96/05/10</v>
      </c>
      <c r="Z1082" s="1" t="str">
        <f>"22155/710"</f>
        <v>22155/710</v>
      </c>
      <c r="AA1082" s="1" t="str">
        <f>"سازمان راهداري وحمل نقل جاده اي"</f>
        <v>سازمان راهداري وحمل نقل جاده اي</v>
      </c>
      <c r="AB1082" s="1" t="str">
        <f>"96/05/09"</f>
        <v>96/05/09</v>
      </c>
      <c r="AC1082" s="1" t="str">
        <f>"استان يزد"</f>
        <v>استان يزد</v>
      </c>
      <c r="AD1082" s="1" t="str">
        <f>"96/05/10"</f>
        <v>96/05/10</v>
      </c>
      <c r="AE1082" s="1" t="str">
        <f>"اختتام"</f>
        <v>اختتام</v>
      </c>
      <c r="AF1082" s="1" t="str">
        <f>""</f>
        <v/>
      </c>
      <c r="AG1082" s="1" t="str">
        <f>""</f>
        <v/>
      </c>
      <c r="AH1082" s="1" t="str">
        <f>""</f>
        <v/>
      </c>
      <c r="AI1082" s="1" t="str">
        <f>""</f>
        <v/>
      </c>
      <c r="AJ1082" s="1" t="str">
        <f>""</f>
        <v/>
      </c>
      <c r="AK1082" s="1" t="str">
        <f>""</f>
        <v/>
      </c>
    </row>
    <row r="1083" spans="1:37">
      <c r="A1083" s="1">
        <v>88000</v>
      </c>
      <c r="B1083" s="1">
        <v>966200164</v>
      </c>
      <c r="C1083" s="1" t="str">
        <f>"تخليه گيلان آستانه اشرفيه دهستان كيسم شركت شن وماسه عقاب البرزراه فتح"</f>
        <v>تخليه گيلان آستانه اشرفيه دهستان كيسم شركت شن وماسه عقاب البرزراه فتح</v>
      </c>
      <c r="D1083" s="1">
        <v>8904</v>
      </c>
      <c r="E1083" s="1">
        <v>87140</v>
      </c>
      <c r="F1083" s="1">
        <v>96</v>
      </c>
      <c r="G1083" s="1">
        <v>860</v>
      </c>
      <c r="H1083" s="1" t="str">
        <f>"96/05/08"</f>
        <v>96/05/08</v>
      </c>
      <c r="I1083" s="1" t="str">
        <f>"كيلوگرم"</f>
        <v>كيلوگرم</v>
      </c>
      <c r="J1083" s="1" t="str">
        <f>"0000000093"</f>
        <v>0000000093</v>
      </c>
      <c r="K1083" s="1" t="str">
        <f>"قير  PG64-10"</f>
        <v>قير  PG64-10</v>
      </c>
      <c r="L1083" s="1">
        <v>100</v>
      </c>
      <c r="M1083" s="1" t="str">
        <f>"مخازن قير اصفهان"</f>
        <v>مخازن قير اصفهان</v>
      </c>
      <c r="N1083" s="1">
        <v>11382</v>
      </c>
      <c r="O1083" s="1">
        <v>50035405</v>
      </c>
      <c r="P1083" s="1" t="str">
        <f>"  البرز راه فتح"</f>
        <v xml:space="preserve">  البرز راه فتح</v>
      </c>
      <c r="Q1083" s="1">
        <v>62</v>
      </c>
      <c r="R1083" s="1" t="str">
        <f>"فروش داخلي - سازمان بنيادمسكن انقلاب اسلامي"</f>
        <v>فروش داخلي - سازمان بنيادمسكن انقلاب اسلامي</v>
      </c>
      <c r="S1083" s="1" t="str">
        <f>"قرارداد فروش"</f>
        <v>قرارداد فروش</v>
      </c>
      <c r="T1083" s="1" t="str">
        <f>"ندارد"</f>
        <v>ندارد</v>
      </c>
      <c r="U1083" s="1" t="str">
        <f>"حاجيلوئي علي اصغر(2842019)"</f>
        <v>حاجيلوئي علي اصغر(2842019)</v>
      </c>
      <c r="V1083" s="1">
        <v>966200164</v>
      </c>
      <c r="W1083" s="1">
        <v>966200164</v>
      </c>
      <c r="X1083" s="1" t="str">
        <f>"1396500986"</f>
        <v>1396500986</v>
      </c>
      <c r="Y1083" s="1" t="str">
        <f>"96/05/08"</f>
        <v>96/05/08</v>
      </c>
      <c r="Z1083" s="1" t="str">
        <f>"18715/د"</f>
        <v>18715/د</v>
      </c>
      <c r="AA1083" s="1" t="str">
        <f>"بنيادمسكن انقلاب اسلامي"</f>
        <v>بنيادمسكن انقلاب اسلامي</v>
      </c>
      <c r="AB1083" s="1" t="str">
        <f>"96/05/07"</f>
        <v>96/05/07</v>
      </c>
      <c r="AC1083" s="1" t="str">
        <f>"استان گيلان"</f>
        <v>استان گيلان</v>
      </c>
      <c r="AD1083" s="1" t="str">
        <f>"96/05/08"</f>
        <v>96/05/08</v>
      </c>
      <c r="AE1083" s="1" t="str">
        <f>"اختتام"</f>
        <v>اختتام</v>
      </c>
      <c r="AF1083" s="1" t="str">
        <f>""</f>
        <v/>
      </c>
      <c r="AG1083" s="1" t="str">
        <f>""</f>
        <v/>
      </c>
      <c r="AH1083" s="1" t="str">
        <f>""</f>
        <v/>
      </c>
      <c r="AI1083" s="1" t="str">
        <f>""</f>
        <v/>
      </c>
      <c r="AJ1083" s="1" t="str">
        <f>""</f>
        <v/>
      </c>
      <c r="AK1083" s="1" t="str">
        <f>""</f>
        <v/>
      </c>
    </row>
    <row r="1084" spans="1:37">
      <c r="A1084" s="1">
        <v>90000</v>
      </c>
      <c r="B1084" s="1">
        <v>966200540</v>
      </c>
      <c r="C1084" s="1" t="str">
        <f>"آستانه اشرفيه- بالامحله كيسوم-شركت شن و ماسه عقاب(البرز راه فتح)"</f>
        <v>آستانه اشرفيه- بالامحله كيسوم-شركت شن و ماسه عقاب(البرز راه فتح)</v>
      </c>
      <c r="D1084" s="1">
        <v>13100</v>
      </c>
      <c r="E1084" s="1">
        <v>89680</v>
      </c>
      <c r="F1084" s="1">
        <v>96</v>
      </c>
      <c r="G1084" s="1">
        <v>320</v>
      </c>
      <c r="H1084" s="1" t="str">
        <f>"96/10/25"</f>
        <v>96/10/25</v>
      </c>
      <c r="I1084" s="1" t="str">
        <f>"كيلوگرم"</f>
        <v>كيلوگرم</v>
      </c>
      <c r="J1084" s="1" t="str">
        <f>"0000000093"</f>
        <v>0000000093</v>
      </c>
      <c r="K1084" s="1" t="str">
        <f>"قير  PG64-10"</f>
        <v>قير  PG64-10</v>
      </c>
      <c r="L1084" s="1">
        <v>100</v>
      </c>
      <c r="M1084" s="1" t="str">
        <f>"مخازن قير اصفهان"</f>
        <v>مخازن قير اصفهان</v>
      </c>
      <c r="N1084" s="1">
        <v>11382</v>
      </c>
      <c r="O1084" s="1">
        <v>50038191</v>
      </c>
      <c r="P1084" s="1" t="str">
        <f>"  البرز راه فتح"</f>
        <v xml:space="preserve">  البرز راه فتح</v>
      </c>
      <c r="Q1084" s="1">
        <v>62</v>
      </c>
      <c r="R1084" s="1" t="str">
        <f>"فروش داخلي - سازمان بنيادمسكن انقلاب اسلامي"</f>
        <v>فروش داخلي - سازمان بنيادمسكن انقلاب اسلامي</v>
      </c>
      <c r="S1084" s="1" t="str">
        <f>"قرارداد فروش"</f>
        <v>قرارداد فروش</v>
      </c>
      <c r="T1084" s="1" t="str">
        <f>"ندارد"</f>
        <v>ندارد</v>
      </c>
      <c r="U1084" s="1" t="str">
        <f>"حاج صادقي باقر(1841027)"</f>
        <v>حاج صادقي باقر(1841027)</v>
      </c>
      <c r="V1084" s="1">
        <v>966200540</v>
      </c>
      <c r="W1084" s="1">
        <v>966200540</v>
      </c>
      <c r="X1084" s="1" t="str">
        <f>"1396540149"</f>
        <v>1396540149</v>
      </c>
      <c r="Y1084" s="1" t="str">
        <f>"96/10/25"</f>
        <v>96/10/25</v>
      </c>
      <c r="Z1084" s="1" t="str">
        <f>"47476/د"</f>
        <v>47476/د</v>
      </c>
      <c r="AA1084" s="1" t="str">
        <f>"بنيادمسكن انقلاب اسلامي"</f>
        <v>بنيادمسكن انقلاب اسلامي</v>
      </c>
      <c r="AB1084" s="1" t="str">
        <f>"96/10/24"</f>
        <v>96/10/24</v>
      </c>
      <c r="AC1084" s="1" t="str">
        <f>"استان گيلان"</f>
        <v>استان گيلان</v>
      </c>
      <c r="AD1084" s="1" t="str">
        <f>"96/10/25"</f>
        <v>96/10/25</v>
      </c>
      <c r="AE1084" s="1" t="str">
        <f>"اختتام"</f>
        <v>اختتام</v>
      </c>
      <c r="AF1084" s="1" t="str">
        <f>""</f>
        <v/>
      </c>
      <c r="AG1084" s="1" t="str">
        <f>""</f>
        <v/>
      </c>
      <c r="AH1084" s="1" t="str">
        <f>""</f>
        <v/>
      </c>
      <c r="AI1084" s="1" t="str">
        <f>""</f>
        <v/>
      </c>
      <c r="AJ1084" s="1" t="str">
        <f>""</f>
        <v/>
      </c>
      <c r="AK1084" s="1" t="str">
        <f>""</f>
        <v/>
      </c>
    </row>
    <row r="1085" spans="1:37">
      <c r="A1085" s="1">
        <v>49000</v>
      </c>
      <c r="B1085" s="1">
        <v>966200515</v>
      </c>
      <c r="C1085" s="1" t="str">
        <f>"تخليه - گيلان - جاده رشت به تهران-جنب پايانه حمل و نقل-کارخانه آسفالت شهيدباهنر-شرکت سبک بناگيل"</f>
        <v>تخليه - گيلان - جاده رشت به تهران-جنب پايانه حمل و نقل-کارخانه آسفالت شهيدباهنر-شرکت سبک بناگيل</v>
      </c>
      <c r="D1085" s="1">
        <v>13100</v>
      </c>
      <c r="E1085" s="1">
        <v>49000</v>
      </c>
      <c r="F1085" s="1">
        <v>96</v>
      </c>
      <c r="G1085" s="1">
        <v>0</v>
      </c>
      <c r="H1085" s="1" t="str">
        <f>"96/10/20"</f>
        <v>96/10/20</v>
      </c>
      <c r="I1085" s="1" t="str">
        <f>"كيلوگرم"</f>
        <v>كيلوگرم</v>
      </c>
      <c r="J1085" s="1" t="str">
        <f>"0000000093"</f>
        <v>0000000093</v>
      </c>
      <c r="K1085" s="1" t="str">
        <f>"قير  PG64-10"</f>
        <v>قير  PG64-10</v>
      </c>
      <c r="L1085" s="1">
        <v>100</v>
      </c>
      <c r="M1085" s="1" t="str">
        <f>"مخازن قير اصفهان"</f>
        <v>مخازن قير اصفهان</v>
      </c>
      <c r="N1085" s="1">
        <v>11384</v>
      </c>
      <c r="O1085" s="1">
        <v>50038115</v>
      </c>
      <c r="P1085" s="1" t="str">
        <f>"  سازه پايدار افلاک"</f>
        <v xml:space="preserve">  سازه پايدار افلاک</v>
      </c>
      <c r="Q1085" s="1">
        <v>62</v>
      </c>
      <c r="R1085" s="1" t="str">
        <f>"فروش داخلي - سازمان بنيادمسكن انقلاب اسلامي"</f>
        <v>فروش داخلي - سازمان بنيادمسكن انقلاب اسلامي</v>
      </c>
      <c r="S1085" s="1" t="str">
        <f>"قرارداد فروش"</f>
        <v>قرارداد فروش</v>
      </c>
      <c r="T1085" s="1" t="str">
        <f>"ندارد"</f>
        <v>ندارد</v>
      </c>
      <c r="U1085" s="1" t="str">
        <f>"هيزچي مرتضي(1841036)"</f>
        <v>هيزچي مرتضي(1841036)</v>
      </c>
      <c r="V1085" s="1">
        <v>966200515</v>
      </c>
      <c r="W1085" s="1">
        <v>966200515</v>
      </c>
      <c r="X1085" s="1" t="str">
        <f>"1396539512"</f>
        <v>1396539512</v>
      </c>
      <c r="Y1085" s="1" t="str">
        <f>"96/10/20"</f>
        <v>96/10/20</v>
      </c>
      <c r="Z1085" s="1" t="str">
        <f>"46699/د"</f>
        <v>46699/د</v>
      </c>
      <c r="AA1085" s="1" t="str">
        <f>"بنيادمسكن انقلاب اسلامي"</f>
        <v>بنيادمسكن انقلاب اسلامي</v>
      </c>
      <c r="AB1085" s="1" t="str">
        <f>"96/10/19"</f>
        <v>96/10/19</v>
      </c>
      <c r="AC1085" s="1" t="str">
        <f>"استان گيلان"</f>
        <v>استان گيلان</v>
      </c>
      <c r="AD1085" s="1" t="str">
        <f>"96/10/20"</f>
        <v>96/10/20</v>
      </c>
      <c r="AE1085" s="1" t="str">
        <f>"اختتام"</f>
        <v>اختتام</v>
      </c>
      <c r="AF1085" s="1" t="str">
        <f>""</f>
        <v/>
      </c>
      <c r="AG1085" s="1" t="str">
        <f>""</f>
        <v/>
      </c>
      <c r="AH1085" s="1" t="str">
        <f>""</f>
        <v/>
      </c>
      <c r="AI1085" s="1" t="str">
        <f>""</f>
        <v/>
      </c>
      <c r="AJ1085" s="1" t="str">
        <f>""</f>
        <v/>
      </c>
      <c r="AK1085" s="1" t="str">
        <f>""</f>
        <v/>
      </c>
    </row>
    <row r="1086" spans="1:37">
      <c r="A1086" s="1">
        <v>323000</v>
      </c>
      <c r="B1086" s="1">
        <v>966200222</v>
      </c>
      <c r="C1086" s="1" t="str">
        <f>"گيلان -تالش-ليسار-کارخانه آسفالت ايران پل"</f>
        <v>گيلان -تالش-ليسار-کارخانه آسفالت ايران پل</v>
      </c>
      <c r="D1086" s="1">
        <v>9204</v>
      </c>
      <c r="E1086" s="1">
        <v>322960</v>
      </c>
      <c r="F1086" s="1">
        <v>96</v>
      </c>
      <c r="G1086" s="1">
        <v>40</v>
      </c>
      <c r="H1086" s="1" t="str">
        <f>"96/06/11"</f>
        <v>96/06/11</v>
      </c>
      <c r="I1086" s="1" t="str">
        <f>"كيلوگرم"</f>
        <v>كيلوگرم</v>
      </c>
      <c r="J1086" s="1" t="str">
        <f>"0000000093"</f>
        <v>0000000093</v>
      </c>
      <c r="K1086" s="1" t="str">
        <f>"قير  PG64-10"</f>
        <v>قير  PG64-10</v>
      </c>
      <c r="L1086" s="1">
        <v>100</v>
      </c>
      <c r="M1086" s="1" t="str">
        <f>"مخازن قير اصفهان"</f>
        <v>مخازن قير اصفهان</v>
      </c>
      <c r="N1086" s="1">
        <v>11399</v>
      </c>
      <c r="O1086" s="1">
        <v>50035881</v>
      </c>
      <c r="P1086" s="1" t="str">
        <f>"  پادير ساز خزر"</f>
        <v xml:space="preserve">  پادير ساز خزر</v>
      </c>
      <c r="Q1086" s="1">
        <v>62</v>
      </c>
      <c r="R1086" s="1" t="str">
        <f>"فروش داخلي - سازمان بنيادمسكن انقلاب اسلامي"</f>
        <v>فروش داخلي - سازمان بنيادمسكن انقلاب اسلامي</v>
      </c>
      <c r="S1086" s="1" t="str">
        <f>"قرارداد فروش"</f>
        <v>قرارداد فروش</v>
      </c>
      <c r="T1086" s="1" t="str">
        <f>"ندارد"</f>
        <v>ندارد</v>
      </c>
      <c r="U1086" s="1" t="str">
        <f>"حاج صادقي باقر(1841027)"</f>
        <v>حاج صادقي باقر(1841027)</v>
      </c>
      <c r="V1086" s="1">
        <v>966200222</v>
      </c>
      <c r="W1086" s="1">
        <v>966200222</v>
      </c>
      <c r="X1086" s="1" t="str">
        <f>"1396509609"</f>
        <v>1396509609</v>
      </c>
      <c r="Y1086" s="1" t="str">
        <f>"96/06/11"</f>
        <v>96/06/11</v>
      </c>
      <c r="Z1086" s="1" t="str">
        <f>"24984/د"</f>
        <v>24984/د</v>
      </c>
      <c r="AA1086" s="1" t="str">
        <f>"بنيادمسكن انقلاب اسلامي"</f>
        <v>بنيادمسكن انقلاب اسلامي</v>
      </c>
      <c r="AB1086" s="1" t="str">
        <f>"96/06/08"</f>
        <v>96/06/08</v>
      </c>
      <c r="AC1086" s="1" t="str">
        <f>"استان گيلان"</f>
        <v>استان گيلان</v>
      </c>
      <c r="AD1086" s="1" t="str">
        <f>"96/06/11"</f>
        <v>96/06/11</v>
      </c>
      <c r="AE1086" s="1" t="str">
        <f>"اختتام"</f>
        <v>اختتام</v>
      </c>
      <c r="AF1086" s="1" t="str">
        <f>""</f>
        <v/>
      </c>
      <c r="AG1086" s="1" t="str">
        <f>""</f>
        <v/>
      </c>
      <c r="AH1086" s="1" t="str">
        <f>""</f>
        <v/>
      </c>
      <c r="AI1086" s="1" t="str">
        <f>""</f>
        <v/>
      </c>
      <c r="AJ1086" s="1" t="str">
        <f>""</f>
        <v/>
      </c>
      <c r="AK1086" s="1" t="str">
        <f>""</f>
        <v/>
      </c>
    </row>
    <row r="1087" spans="1:37">
      <c r="A1087" s="1">
        <v>162000</v>
      </c>
      <c r="B1087" s="1">
        <v>966200274</v>
      </c>
      <c r="C1087" s="1" t="str">
        <f>"تخليه - گيلان - رضوانشهر-پره سر-خيابان آزادگان-کارخانه آسفالت هشت نم"</f>
        <v>تخليه - گيلان - رضوانشهر-پره سر-خيابان آزادگان-کارخانه آسفالت هشت نم</v>
      </c>
      <c r="D1087" s="1">
        <v>9363</v>
      </c>
      <c r="E1087" s="1">
        <v>162000</v>
      </c>
      <c r="F1087" s="1">
        <v>96</v>
      </c>
      <c r="G1087" s="1">
        <v>0</v>
      </c>
      <c r="H1087" s="1" t="str">
        <f>"96/07/10"</f>
        <v>96/07/10</v>
      </c>
      <c r="I1087" s="1" t="str">
        <f>"كيلوگرم"</f>
        <v>كيلوگرم</v>
      </c>
      <c r="J1087" s="1" t="str">
        <f>"0000000093"</f>
        <v>0000000093</v>
      </c>
      <c r="K1087" s="1" t="str">
        <f>"قير  PG64-10"</f>
        <v>قير  PG64-10</v>
      </c>
      <c r="L1087" s="1">
        <v>100</v>
      </c>
      <c r="M1087" s="1" t="str">
        <f>"مخازن قير اصفهان"</f>
        <v>مخازن قير اصفهان</v>
      </c>
      <c r="N1087" s="1">
        <v>11399</v>
      </c>
      <c r="O1087" s="1">
        <v>50036479</v>
      </c>
      <c r="P1087" s="1" t="str">
        <f>"  پادير ساز خزر"</f>
        <v xml:space="preserve">  پادير ساز خزر</v>
      </c>
      <c r="Q1087" s="1">
        <v>62</v>
      </c>
      <c r="R1087" s="1" t="str">
        <f>"فروش داخلي - سازمان بنيادمسكن انقلاب اسلامي"</f>
        <v>فروش داخلي - سازمان بنيادمسكن انقلاب اسلامي</v>
      </c>
      <c r="S1087" s="1" t="str">
        <f>"قرارداد فروش"</f>
        <v>قرارداد فروش</v>
      </c>
      <c r="T1087" s="1" t="str">
        <f>"ندارد"</f>
        <v>ندارد</v>
      </c>
      <c r="U1087" s="1" t="str">
        <f>"حاج صادقي باقر(1841027)"</f>
        <v>حاج صادقي باقر(1841027)</v>
      </c>
      <c r="V1087" s="1">
        <v>966200274</v>
      </c>
      <c r="W1087" s="1">
        <v>966200274</v>
      </c>
      <c r="X1087" s="1" t="str">
        <f>"1396515522"</f>
        <v>1396515522</v>
      </c>
      <c r="Y1087" s="1" t="str">
        <f>"96/07/10"</f>
        <v>96/07/10</v>
      </c>
      <c r="Z1087" s="1" t="str">
        <f>"29643/د"</f>
        <v>29643/د</v>
      </c>
      <c r="AA1087" s="1" t="str">
        <f>"بنيادمسكن انقلاب اسلامي"</f>
        <v>بنيادمسكن انقلاب اسلامي</v>
      </c>
      <c r="AB1087" s="1" t="str">
        <f>"96/07/04"</f>
        <v>96/07/04</v>
      </c>
      <c r="AC1087" s="1" t="str">
        <f>"استان گيلان"</f>
        <v>استان گيلان</v>
      </c>
      <c r="AD1087" s="1" t="str">
        <f>"96/07/05"</f>
        <v>96/07/05</v>
      </c>
      <c r="AE1087" s="1" t="str">
        <f>"اختتام"</f>
        <v>اختتام</v>
      </c>
      <c r="AF1087" s="1" t="str">
        <f>""</f>
        <v/>
      </c>
      <c r="AG1087" s="1" t="str">
        <f>""</f>
        <v/>
      </c>
      <c r="AH1087" s="1" t="str">
        <f>""</f>
        <v/>
      </c>
      <c r="AI1087" s="1" t="str">
        <f>""</f>
        <v/>
      </c>
      <c r="AJ1087" s="1" t="str">
        <f>""</f>
        <v/>
      </c>
      <c r="AK1087" s="1" t="str">
        <f>""</f>
        <v/>
      </c>
    </row>
    <row r="1088" spans="1:37">
      <c r="A1088" s="1">
        <v>575000</v>
      </c>
      <c r="B1088" s="1">
        <v>966200281</v>
      </c>
      <c r="C1088" s="1" t="str">
        <f>"تخليه - گيلان - رضوانشهر-پره سر-خيابان آزادگان-کارخانه آسفالت هشت نم"</f>
        <v>تخليه - گيلان - رضوانشهر-پره سر-خيابان آزادگان-کارخانه آسفالت هشت نم</v>
      </c>
      <c r="D1088" s="1">
        <v>9363</v>
      </c>
      <c r="E1088" s="1">
        <v>575000</v>
      </c>
      <c r="F1088" s="1">
        <v>96</v>
      </c>
      <c r="G1088" s="1">
        <v>0</v>
      </c>
      <c r="H1088" s="1" t="str">
        <f>"96/07/11"</f>
        <v>96/07/11</v>
      </c>
      <c r="I1088" s="1" t="str">
        <f>"كيلوگرم"</f>
        <v>كيلوگرم</v>
      </c>
      <c r="J1088" s="1" t="str">
        <f>"0000000093"</f>
        <v>0000000093</v>
      </c>
      <c r="K1088" s="1" t="str">
        <f>"قير  PG64-10"</f>
        <v>قير  PG64-10</v>
      </c>
      <c r="L1088" s="1">
        <v>100</v>
      </c>
      <c r="M1088" s="1" t="str">
        <f>"مخازن قير اصفهان"</f>
        <v>مخازن قير اصفهان</v>
      </c>
      <c r="N1088" s="1">
        <v>11399</v>
      </c>
      <c r="O1088" s="1">
        <v>50036502</v>
      </c>
      <c r="P1088" s="1" t="str">
        <f>"  پادير ساز خزر"</f>
        <v xml:space="preserve">  پادير ساز خزر</v>
      </c>
      <c r="Q1088" s="1">
        <v>62</v>
      </c>
      <c r="R1088" s="1" t="str">
        <f>"فروش داخلي - سازمان بنيادمسكن انقلاب اسلامي"</f>
        <v>فروش داخلي - سازمان بنيادمسكن انقلاب اسلامي</v>
      </c>
      <c r="S1088" s="1" t="str">
        <f>"قرارداد فروش"</f>
        <v>قرارداد فروش</v>
      </c>
      <c r="T1088" s="1" t="str">
        <f>"ندارد"</f>
        <v>ندارد</v>
      </c>
      <c r="U1088" s="1" t="str">
        <f>"حاج صادقي باقر(1841027)"</f>
        <v>حاج صادقي باقر(1841027)</v>
      </c>
      <c r="V1088" s="1">
        <v>966200281</v>
      </c>
      <c r="W1088" s="1">
        <v>966200281</v>
      </c>
      <c r="X1088" s="1" t="str">
        <f>"1396515926"</f>
        <v>1396515926</v>
      </c>
      <c r="Y1088" s="1" t="str">
        <f>"96/07/11"</f>
        <v>96/07/11</v>
      </c>
      <c r="Z1088" s="1" t="str">
        <f>"30184/د"</f>
        <v>30184/د</v>
      </c>
      <c r="AA1088" s="1" t="str">
        <f>"بنيادمسكن انقلاب اسلامي"</f>
        <v>بنيادمسكن انقلاب اسلامي</v>
      </c>
      <c r="AB1088" s="1" t="str">
        <f>"96/07/10"</f>
        <v>96/07/10</v>
      </c>
      <c r="AC1088" s="1" t="str">
        <f>"استان گيلان"</f>
        <v>استان گيلان</v>
      </c>
      <c r="AD1088" s="1" t="str">
        <f>"96/07/11"</f>
        <v>96/07/11</v>
      </c>
      <c r="AE1088" s="1" t="str">
        <f>"اختتام"</f>
        <v>اختتام</v>
      </c>
      <c r="AF1088" s="1" t="str">
        <f>""</f>
        <v/>
      </c>
      <c r="AG1088" s="1" t="str">
        <f>""</f>
        <v/>
      </c>
      <c r="AH1088" s="1" t="str">
        <f>""</f>
        <v/>
      </c>
      <c r="AI1088" s="1" t="str">
        <f>""</f>
        <v/>
      </c>
      <c r="AJ1088" s="1" t="str">
        <f>""</f>
        <v/>
      </c>
      <c r="AK1088" s="1" t="str">
        <f>""</f>
        <v/>
      </c>
    </row>
    <row r="1089" spans="1:37">
      <c r="A1089" s="1">
        <v>50000</v>
      </c>
      <c r="B1089" s="1">
        <v>961700193</v>
      </c>
      <c r="C1089" s="1" t="str">
        <f>"تخليه - اصفهان -کارخانه شرکت گل راه نقش جهان"</f>
        <v>تخليه - اصفهان -کارخانه شرکت گل راه نقش جهان</v>
      </c>
      <c r="D1089" s="1">
        <v>13100</v>
      </c>
      <c r="E1089" s="1">
        <v>50000</v>
      </c>
      <c r="F1089" s="1">
        <v>96</v>
      </c>
      <c r="G1089" s="1">
        <v>0</v>
      </c>
      <c r="H1089" s="1" t="str">
        <f>"96/12/22"</f>
        <v>96/12/22</v>
      </c>
      <c r="I1089" s="1" t="str">
        <f>"كيلوگرم"</f>
        <v>كيلوگرم</v>
      </c>
      <c r="J1089" s="1" t="str">
        <f>"0000000092"</f>
        <v>0000000092</v>
      </c>
      <c r="K1089" s="1" t="str">
        <f>"قير  PG64-16"</f>
        <v>قير  PG64-16</v>
      </c>
      <c r="L1089" s="1">
        <v>100</v>
      </c>
      <c r="M1089" s="1" t="str">
        <f>"مخازن قير اصفهان"</f>
        <v>مخازن قير اصفهان</v>
      </c>
      <c r="N1089" s="1">
        <v>8091</v>
      </c>
      <c r="O1089" s="1">
        <v>50038927</v>
      </c>
      <c r="P1089" s="1" t="str">
        <f>"  اداره كل راه وشهرسازي اصفهان"</f>
        <v xml:space="preserve">  اداره كل راه وشهرسازي اصفهان</v>
      </c>
      <c r="Q1089" s="1">
        <v>17</v>
      </c>
      <c r="R1089" s="1" t="str">
        <f>"فروش داخلي تهران - وزارت راه - راه روستايي - روکش"</f>
        <v>فروش داخلي تهران - وزارت راه - راه روستايي - روکش</v>
      </c>
      <c r="S1089" s="1" t="str">
        <f>"قرارداد فروش"</f>
        <v>قرارداد فروش</v>
      </c>
      <c r="T1089" s="1" t="str">
        <f>"ندارد"</f>
        <v>ندارد</v>
      </c>
      <c r="U1089" s="1" t="str">
        <f>"علي عابدي ابوالقاسم(1003ج89)"</f>
        <v>علي عابدي ابوالقاسم(1003ج89)</v>
      </c>
      <c r="V1089" s="1">
        <v>961700193</v>
      </c>
      <c r="W1089" s="1">
        <v>961700193</v>
      </c>
      <c r="X1089" s="1" t="str">
        <f>"1396553913"</f>
        <v>1396553913</v>
      </c>
      <c r="Y1089" s="1" t="str">
        <f>"96/12/22"</f>
        <v>96/12/22</v>
      </c>
      <c r="Z1089" s="1" t="str">
        <f>"287401/710"</f>
        <v>287401/710</v>
      </c>
      <c r="AA1089" s="1" t="str">
        <f>"راه روستائي -روكش"</f>
        <v>راه روستائي -روكش</v>
      </c>
      <c r="AB1089" s="1" t="str">
        <f>"96/11/28"</f>
        <v>96/11/28</v>
      </c>
      <c r="AC1089" s="1" t="str">
        <f>"استان اصفهان"</f>
        <v>استان اصفهان</v>
      </c>
      <c r="AD1089" s="1" t="str">
        <f>"96/12/20"</f>
        <v>96/12/20</v>
      </c>
      <c r="AE1089" s="1" t="str">
        <f>"اختتام"</f>
        <v>اختتام</v>
      </c>
      <c r="AF1089" s="1" t="str">
        <f>""</f>
        <v/>
      </c>
      <c r="AG1089" s="1" t="str">
        <f>""</f>
        <v/>
      </c>
      <c r="AH1089" s="1" t="str">
        <f>""</f>
        <v/>
      </c>
      <c r="AI1089" s="1" t="str">
        <f>""</f>
        <v/>
      </c>
      <c r="AJ1089" s="1" t="str">
        <f>""</f>
        <v/>
      </c>
      <c r="AK1089" s="1" t="str">
        <f>""</f>
        <v/>
      </c>
    </row>
    <row r="1090" spans="1:37">
      <c r="A1090" s="1">
        <v>50000</v>
      </c>
      <c r="B1090" s="1">
        <v>961700201</v>
      </c>
      <c r="C1090" s="1" t="str">
        <f>"تخليه-اصفهان-پليمرراه هشت بهشت"</f>
        <v>تخليه-اصفهان-پليمرراه هشت بهشت</v>
      </c>
      <c r="D1090" s="1">
        <v>14000</v>
      </c>
      <c r="E1090" s="1">
        <v>50000</v>
      </c>
      <c r="F1090" s="1">
        <v>96</v>
      </c>
      <c r="G1090" s="1">
        <v>0</v>
      </c>
      <c r="H1090" s="1" t="str">
        <f>"96/12/23"</f>
        <v>96/12/23</v>
      </c>
      <c r="I1090" s="1" t="str">
        <f>"كيلوگرم"</f>
        <v>كيلوگرم</v>
      </c>
      <c r="J1090" s="1" t="str">
        <f>"0000000092"</f>
        <v>0000000092</v>
      </c>
      <c r="K1090" s="1" t="str">
        <f>"قير  PG64-16"</f>
        <v>قير  PG64-16</v>
      </c>
      <c r="L1090" s="1">
        <v>100</v>
      </c>
      <c r="M1090" s="1" t="str">
        <f>"مخازن قير اصفهان"</f>
        <v>مخازن قير اصفهان</v>
      </c>
      <c r="N1090" s="1">
        <v>8091</v>
      </c>
      <c r="O1090" s="1">
        <v>50038938</v>
      </c>
      <c r="P1090" s="1" t="str">
        <f>"  اداره كل راه وشهرسازي اصفهان"</f>
        <v xml:space="preserve">  اداره كل راه وشهرسازي اصفهان</v>
      </c>
      <c r="Q1090" s="1">
        <v>17</v>
      </c>
      <c r="R1090" s="1" t="str">
        <f>"فروش داخلي تهران - وزارت راه - راه روستايي - روکش"</f>
        <v>فروش داخلي تهران - وزارت راه - راه روستايي - روکش</v>
      </c>
      <c r="S1090" s="1" t="str">
        <f>"قرارداد فروش"</f>
        <v>قرارداد فروش</v>
      </c>
      <c r="T1090" s="1" t="str">
        <f>"ندارد"</f>
        <v>ندارد</v>
      </c>
      <c r="U1090" s="1" t="str">
        <f>"ريسماني حسن(1007ج89)"</f>
        <v>ريسماني حسن(1007ج89)</v>
      </c>
      <c r="V1090" s="1">
        <v>961700201</v>
      </c>
      <c r="W1090" s="1">
        <v>961700201</v>
      </c>
      <c r="X1090" s="1" t="str">
        <f>"1396553913"</f>
        <v>1396553913</v>
      </c>
      <c r="Y1090" s="1" t="str">
        <f>"96/12/23"</f>
        <v>96/12/23</v>
      </c>
      <c r="Z1090" s="1" t="str">
        <f>"287083/710"</f>
        <v>287083/710</v>
      </c>
      <c r="AA1090" s="1" t="str">
        <f>"راه روستائي -روكش"</f>
        <v>راه روستائي -روكش</v>
      </c>
      <c r="AB1090" s="1" t="str">
        <f>"96/11/25"</f>
        <v>96/11/25</v>
      </c>
      <c r="AC1090" s="1" t="str">
        <f>"استان اصفهان"</f>
        <v>استان اصفهان</v>
      </c>
      <c r="AD1090" s="1" t="str">
        <f>"96/12/20"</f>
        <v>96/12/20</v>
      </c>
      <c r="AE1090" s="1" t="str">
        <f>"اختتام"</f>
        <v>اختتام</v>
      </c>
      <c r="AF1090" s="1" t="str">
        <f>""</f>
        <v/>
      </c>
      <c r="AG1090" s="1" t="str">
        <f>""</f>
        <v/>
      </c>
      <c r="AH1090" s="1" t="str">
        <f>""</f>
        <v/>
      </c>
      <c r="AI1090" s="1" t="str">
        <f>""</f>
        <v/>
      </c>
      <c r="AJ1090" s="1" t="str">
        <f>""</f>
        <v/>
      </c>
      <c r="AK1090" s="1" t="str">
        <f>""</f>
        <v/>
      </c>
    </row>
    <row r="1091" spans="1:37">
      <c r="A1091" s="1">
        <v>100000</v>
      </c>
      <c r="B1091" s="1">
        <v>961700205</v>
      </c>
      <c r="C1091" s="1" t="str">
        <f>"تخليه-فلاورجان-داخل شهرک صنعتي اشترجان کارخانه شرکت ماژين سازه چکاد"</f>
        <v>تخليه-فلاورجان-داخل شهرک صنعتي اشترجان کارخانه شرکت ماژين سازه چکاد</v>
      </c>
      <c r="D1091" s="1">
        <v>16350</v>
      </c>
      <c r="E1091" s="1">
        <v>99600</v>
      </c>
      <c r="F1091" s="1">
        <v>96</v>
      </c>
      <c r="G1091" s="1">
        <v>400</v>
      </c>
      <c r="H1091" s="1" t="str">
        <f>"96/12/23"</f>
        <v>96/12/23</v>
      </c>
      <c r="I1091" s="1" t="str">
        <f>"كيلوگرم"</f>
        <v>كيلوگرم</v>
      </c>
      <c r="J1091" s="1" t="str">
        <f>"0000000092"</f>
        <v>0000000092</v>
      </c>
      <c r="K1091" s="1" t="str">
        <f>"قير  PG64-16"</f>
        <v>قير  PG64-16</v>
      </c>
      <c r="L1091" s="1">
        <v>100</v>
      </c>
      <c r="M1091" s="1" t="str">
        <f>"مخازن قير اصفهان"</f>
        <v>مخازن قير اصفهان</v>
      </c>
      <c r="N1091" s="1">
        <v>8091</v>
      </c>
      <c r="O1091" s="1">
        <v>50038946</v>
      </c>
      <c r="P1091" s="1" t="str">
        <f>"  اداره كل راه وشهرسازي اصفهان"</f>
        <v xml:space="preserve">  اداره كل راه وشهرسازي اصفهان</v>
      </c>
      <c r="Q1091" s="1">
        <v>17</v>
      </c>
      <c r="R1091" s="1" t="str">
        <f>"فروش داخلي تهران - وزارت راه - راه روستايي - روکش"</f>
        <v>فروش داخلي تهران - وزارت راه - راه روستايي - روکش</v>
      </c>
      <c r="S1091" s="1" t="str">
        <f>"قرارداد فروش"</f>
        <v>قرارداد فروش</v>
      </c>
      <c r="T1091" s="1" t="str">
        <f>"ندارد"</f>
        <v>ندارد</v>
      </c>
      <c r="U1091" s="1" t="str">
        <f>"سيفي پور عبدالمجيد(1009ج89)"</f>
        <v>سيفي پور عبدالمجيد(1009ج89)</v>
      </c>
      <c r="V1091" s="1">
        <v>961700205</v>
      </c>
      <c r="W1091" s="1">
        <v>961700205</v>
      </c>
      <c r="X1091" s="1" t="str">
        <f>"1396553913"</f>
        <v>1396553913</v>
      </c>
      <c r="Y1091" s="1" t="str">
        <f>"96/12/23"</f>
        <v>96/12/23</v>
      </c>
      <c r="Z1091" s="1" t="str">
        <f>"287064/710"</f>
        <v>287064/710</v>
      </c>
      <c r="AA1091" s="1" t="str">
        <f>"راه روستائي -روكش"</f>
        <v>راه روستائي -روكش</v>
      </c>
      <c r="AB1091" s="1" t="str">
        <f>"96/11/25"</f>
        <v>96/11/25</v>
      </c>
      <c r="AC1091" s="1" t="str">
        <f>"استان اصفهان"</f>
        <v>استان اصفهان</v>
      </c>
      <c r="AD1091" s="1" t="str">
        <f>"96/12/20"</f>
        <v>96/12/20</v>
      </c>
      <c r="AE1091" s="1" t="str">
        <f>"اختتام"</f>
        <v>اختتام</v>
      </c>
      <c r="AF1091" s="1" t="str">
        <f>""</f>
        <v/>
      </c>
      <c r="AG1091" s="1" t="str">
        <f>""</f>
        <v/>
      </c>
      <c r="AH1091" s="1" t="str">
        <f>""</f>
        <v/>
      </c>
      <c r="AI1091" s="1" t="str">
        <f>""</f>
        <v/>
      </c>
      <c r="AJ1091" s="1" t="str">
        <f>""</f>
        <v/>
      </c>
      <c r="AK1091" s="1" t="str">
        <f>""</f>
        <v/>
      </c>
    </row>
    <row r="1092" spans="1:37">
      <c r="A1092" s="1">
        <v>32000</v>
      </c>
      <c r="B1092" s="1">
        <v>961700240</v>
      </c>
      <c r="C1092" s="1" t="str">
        <f>"تخليه -اصفهان ميمه -كارخانه آسفالت شركت خاكپي"</f>
        <v>تخليه -اصفهان ميمه -كارخانه آسفالت شركت خاكپي</v>
      </c>
      <c r="D1092" s="1">
        <v>14000</v>
      </c>
      <c r="E1092" s="1">
        <v>32000</v>
      </c>
      <c r="F1092" s="1">
        <v>96</v>
      </c>
      <c r="G1092" s="1">
        <v>0</v>
      </c>
      <c r="H1092" s="1" t="str">
        <f>"96/12/24"</f>
        <v>96/12/24</v>
      </c>
      <c r="I1092" s="1" t="str">
        <f>"كيلوگرم"</f>
        <v>كيلوگرم</v>
      </c>
      <c r="J1092" s="1" t="str">
        <f>"0000000092"</f>
        <v>0000000092</v>
      </c>
      <c r="K1092" s="1" t="str">
        <f>"قير  PG64-16"</f>
        <v>قير  PG64-16</v>
      </c>
      <c r="L1092" s="1">
        <v>100</v>
      </c>
      <c r="M1092" s="1" t="str">
        <f>"مخازن قير اصفهان"</f>
        <v>مخازن قير اصفهان</v>
      </c>
      <c r="N1092" s="1">
        <v>8091</v>
      </c>
      <c r="O1092" s="1">
        <v>50039026</v>
      </c>
      <c r="P1092" s="1" t="str">
        <f>"  اداره كل راه وشهرسازي اصفهان"</f>
        <v xml:space="preserve">  اداره كل راه وشهرسازي اصفهان</v>
      </c>
      <c r="Q1092" s="1">
        <v>17</v>
      </c>
      <c r="R1092" s="1" t="str">
        <f>"فروش داخلي تهران - وزارت راه - راه روستايي - روکش"</f>
        <v>فروش داخلي تهران - وزارت راه - راه روستايي - روکش</v>
      </c>
      <c r="S1092" s="1" t="str">
        <f>"قرارداد فروش"</f>
        <v>قرارداد فروش</v>
      </c>
      <c r="T1092" s="1" t="str">
        <f>"ندارد"</f>
        <v>ندارد</v>
      </c>
      <c r="U1092" s="1" t="str">
        <f>"ريسماني حسن(1007ج89)"</f>
        <v>ريسماني حسن(1007ج89)</v>
      </c>
      <c r="V1092" s="1">
        <v>961700240</v>
      </c>
      <c r="W1092" s="1">
        <v>961700240</v>
      </c>
      <c r="X1092" s="1" t="str">
        <f>"1396553913"</f>
        <v>1396553913</v>
      </c>
      <c r="Y1092" s="1" t="str">
        <f>"96/12/24"</f>
        <v>96/12/24</v>
      </c>
      <c r="Z1092" s="1" t="str">
        <f>"286918/710"</f>
        <v>286918/710</v>
      </c>
      <c r="AA1092" s="1" t="str">
        <f>"راه روستائي -روكش"</f>
        <v>راه روستائي -روكش</v>
      </c>
      <c r="AB1092" s="1" t="str">
        <f>"96/11/25"</f>
        <v>96/11/25</v>
      </c>
      <c r="AC1092" s="1" t="str">
        <f>"استان اصفهان"</f>
        <v>استان اصفهان</v>
      </c>
      <c r="AD1092" s="1" t="str">
        <f>"96/12/20"</f>
        <v>96/12/20</v>
      </c>
      <c r="AE1092" s="1" t="str">
        <f>"اختتام"</f>
        <v>اختتام</v>
      </c>
      <c r="AF1092" s="1" t="str">
        <f>""</f>
        <v/>
      </c>
      <c r="AG1092" s="1" t="str">
        <f>""</f>
        <v/>
      </c>
      <c r="AH1092" s="1" t="str">
        <f>""</f>
        <v/>
      </c>
      <c r="AI1092" s="1" t="str">
        <f>""</f>
        <v/>
      </c>
      <c r="AJ1092" s="1" t="str">
        <f>""</f>
        <v/>
      </c>
      <c r="AK1092" s="1" t="str">
        <f>""</f>
        <v/>
      </c>
    </row>
    <row r="1093" spans="1:37">
      <c r="A1093" s="1">
        <v>90000</v>
      </c>
      <c r="B1093" s="1">
        <v>961700241</v>
      </c>
      <c r="C1093" s="1" t="str">
        <f>"تخليه -اصفهان ميمه -كارخانه آسفالت شركت خاكپي"</f>
        <v>تخليه -اصفهان ميمه -كارخانه آسفالت شركت خاكپي</v>
      </c>
      <c r="D1093" s="1">
        <v>14000</v>
      </c>
      <c r="E1093" s="1">
        <v>90000</v>
      </c>
      <c r="F1093" s="1">
        <v>96</v>
      </c>
      <c r="G1093" s="1">
        <v>0</v>
      </c>
      <c r="H1093" s="1" t="str">
        <f>"96/12/24"</f>
        <v>96/12/24</v>
      </c>
      <c r="I1093" s="1" t="str">
        <f>"كيلوگرم"</f>
        <v>كيلوگرم</v>
      </c>
      <c r="J1093" s="1" t="str">
        <f>"0000000092"</f>
        <v>0000000092</v>
      </c>
      <c r="K1093" s="1" t="str">
        <f>"قير  PG64-16"</f>
        <v>قير  PG64-16</v>
      </c>
      <c r="L1093" s="1">
        <v>100</v>
      </c>
      <c r="M1093" s="1" t="str">
        <f>"مخازن قير اصفهان"</f>
        <v>مخازن قير اصفهان</v>
      </c>
      <c r="N1093" s="1">
        <v>8091</v>
      </c>
      <c r="O1093" s="1">
        <v>50039027</v>
      </c>
      <c r="P1093" s="1" t="str">
        <f>"  اداره كل راه وشهرسازي اصفهان"</f>
        <v xml:space="preserve">  اداره كل راه وشهرسازي اصفهان</v>
      </c>
      <c r="Q1093" s="1">
        <v>17</v>
      </c>
      <c r="R1093" s="1" t="str">
        <f>"فروش داخلي تهران - وزارت راه - راه روستايي - روکش"</f>
        <v>فروش داخلي تهران - وزارت راه - راه روستايي - روکش</v>
      </c>
      <c r="S1093" s="1" t="str">
        <f>"قرارداد فروش"</f>
        <v>قرارداد فروش</v>
      </c>
      <c r="T1093" s="1" t="str">
        <f>"ندارد"</f>
        <v>ندارد</v>
      </c>
      <c r="U1093" s="1" t="str">
        <f>"ريسماني حسن(1007ج89)"</f>
        <v>ريسماني حسن(1007ج89)</v>
      </c>
      <c r="V1093" s="1">
        <v>961700241</v>
      </c>
      <c r="W1093" s="1">
        <v>961700241</v>
      </c>
      <c r="X1093" s="1" t="str">
        <f>"1396553913"</f>
        <v>1396553913</v>
      </c>
      <c r="Y1093" s="1" t="str">
        <f>"96/12/24"</f>
        <v>96/12/24</v>
      </c>
      <c r="Z1093" s="1" t="str">
        <f>"286911/710"</f>
        <v>286911/710</v>
      </c>
      <c r="AA1093" s="1" t="str">
        <f>"راه روستائي -روكش"</f>
        <v>راه روستائي -روكش</v>
      </c>
      <c r="AB1093" s="1" t="str">
        <f>"96/11/25"</f>
        <v>96/11/25</v>
      </c>
      <c r="AC1093" s="1" t="str">
        <f>"استان اصفهان"</f>
        <v>استان اصفهان</v>
      </c>
      <c r="AD1093" s="1" t="str">
        <f>"96/12/20"</f>
        <v>96/12/20</v>
      </c>
      <c r="AE1093" s="1" t="str">
        <f>"اختتام"</f>
        <v>اختتام</v>
      </c>
      <c r="AF1093" s="1" t="str">
        <f>""</f>
        <v/>
      </c>
      <c r="AG1093" s="1" t="str">
        <f>""</f>
        <v/>
      </c>
      <c r="AH1093" s="1" t="str">
        <f>""</f>
        <v/>
      </c>
      <c r="AI1093" s="1" t="str">
        <f>""</f>
        <v/>
      </c>
      <c r="AJ1093" s="1" t="str">
        <f>""</f>
        <v/>
      </c>
      <c r="AK1093" s="1" t="str">
        <f>""</f>
        <v/>
      </c>
    </row>
    <row r="1094" spans="1:37">
      <c r="A1094" s="1">
        <v>172000</v>
      </c>
      <c r="B1094" s="1">
        <v>961700252</v>
      </c>
      <c r="C1094" s="1" t="str">
        <f>"تخليه -اصفهان -جاده اصفهان -مباركه جنب صنايع هفتم تير-كارخانه آسفالت ساتان"</f>
        <v>تخليه -اصفهان -جاده اصفهان -مباركه جنب صنايع هفتم تير-كارخانه آسفالت ساتان</v>
      </c>
      <c r="D1094" s="1">
        <v>14000</v>
      </c>
      <c r="E1094" s="1">
        <v>171500</v>
      </c>
      <c r="F1094" s="1">
        <v>96</v>
      </c>
      <c r="G1094" s="1">
        <v>500</v>
      </c>
      <c r="H1094" s="1" t="str">
        <f>"96/12/26"</f>
        <v>96/12/26</v>
      </c>
      <c r="I1094" s="1" t="str">
        <f>"كيلوگرم"</f>
        <v>كيلوگرم</v>
      </c>
      <c r="J1094" s="1" t="str">
        <f>"0000000092"</f>
        <v>0000000092</v>
      </c>
      <c r="K1094" s="1" t="str">
        <f>"قير  PG64-16"</f>
        <v>قير  PG64-16</v>
      </c>
      <c r="L1094" s="1">
        <v>100</v>
      </c>
      <c r="M1094" s="1" t="str">
        <f>"مخازن قير اصفهان"</f>
        <v>مخازن قير اصفهان</v>
      </c>
      <c r="N1094" s="1">
        <v>8091</v>
      </c>
      <c r="O1094" s="1">
        <v>50039051</v>
      </c>
      <c r="P1094" s="1" t="str">
        <f>"  اداره كل راه وشهرسازي اصفهان"</f>
        <v xml:space="preserve">  اداره كل راه وشهرسازي اصفهان</v>
      </c>
      <c r="Q1094" s="1">
        <v>17</v>
      </c>
      <c r="R1094" s="1" t="str">
        <f>"فروش داخلي تهران - وزارت راه - راه روستايي - روکش"</f>
        <v>فروش داخلي تهران - وزارت راه - راه روستايي - روکش</v>
      </c>
      <c r="S1094" s="1" t="str">
        <f>"قرارداد فروش"</f>
        <v>قرارداد فروش</v>
      </c>
      <c r="T1094" s="1" t="str">
        <f>"ندارد"</f>
        <v>ندارد</v>
      </c>
      <c r="U1094" s="1" t="str">
        <f>"شهبازي محمدرضا(1029ج89)"</f>
        <v>شهبازي محمدرضا(1029ج89)</v>
      </c>
      <c r="V1094" s="1">
        <v>961700252</v>
      </c>
      <c r="W1094" s="1">
        <v>961700252</v>
      </c>
      <c r="X1094" s="1" t="str">
        <f>"1396553913"</f>
        <v>1396553913</v>
      </c>
      <c r="Y1094" s="1" t="str">
        <f>"96/12/26"</f>
        <v>96/12/26</v>
      </c>
      <c r="Z1094" s="1" t="str">
        <f>"284338/710"</f>
        <v>284338/710</v>
      </c>
      <c r="AA1094" s="1" t="str">
        <f>"راه روستائي -روكش"</f>
        <v>راه روستائي -روكش</v>
      </c>
      <c r="AB1094" s="1" t="str">
        <f>"96/11/18"</f>
        <v>96/11/18</v>
      </c>
      <c r="AC1094" s="1" t="str">
        <f>"استان اصفهان"</f>
        <v>استان اصفهان</v>
      </c>
      <c r="AD1094" s="1" t="str">
        <f>"96/12/20"</f>
        <v>96/12/20</v>
      </c>
      <c r="AE1094" s="1" t="str">
        <f>"اختتام"</f>
        <v>اختتام</v>
      </c>
      <c r="AF1094" s="1" t="str">
        <f>""</f>
        <v/>
      </c>
      <c r="AG1094" s="1" t="str">
        <f>""</f>
        <v/>
      </c>
      <c r="AH1094" s="1" t="str">
        <f>""</f>
        <v/>
      </c>
      <c r="AI1094" s="1" t="str">
        <f>""</f>
        <v/>
      </c>
      <c r="AJ1094" s="1" t="str">
        <f>""</f>
        <v/>
      </c>
      <c r="AK1094" s="1" t="str">
        <f>""</f>
        <v/>
      </c>
    </row>
    <row r="1095" spans="1:37">
      <c r="A1095" s="1">
        <v>30000</v>
      </c>
      <c r="B1095" s="1">
        <v>961700255</v>
      </c>
      <c r="C1095" s="1" t="str">
        <f>"تخليه -اصفهان ميمه -كارخانه آسفالت شركت خاكپي"</f>
        <v>تخليه -اصفهان ميمه -كارخانه آسفالت شركت خاكپي</v>
      </c>
      <c r="D1095" s="1">
        <v>15810</v>
      </c>
      <c r="E1095" s="1">
        <v>30000</v>
      </c>
      <c r="F1095" s="1">
        <v>96</v>
      </c>
      <c r="G1095" s="1">
        <v>0</v>
      </c>
      <c r="H1095" s="1" t="str">
        <f>"96/12/26"</f>
        <v>96/12/26</v>
      </c>
      <c r="I1095" s="1" t="str">
        <f>"كيلوگرم"</f>
        <v>كيلوگرم</v>
      </c>
      <c r="J1095" s="1" t="str">
        <f>"0000000092"</f>
        <v>0000000092</v>
      </c>
      <c r="K1095" s="1" t="str">
        <f>"قير  PG64-16"</f>
        <v>قير  PG64-16</v>
      </c>
      <c r="L1095" s="1">
        <v>100</v>
      </c>
      <c r="M1095" s="1" t="str">
        <f>"مخازن قير اصفهان"</f>
        <v>مخازن قير اصفهان</v>
      </c>
      <c r="N1095" s="1">
        <v>8091</v>
      </c>
      <c r="O1095" s="1">
        <v>50039056</v>
      </c>
      <c r="P1095" s="1" t="str">
        <f>"  اداره كل راه وشهرسازي اصفهان"</f>
        <v xml:space="preserve">  اداره كل راه وشهرسازي اصفهان</v>
      </c>
      <c r="Q1095" s="1">
        <v>17</v>
      </c>
      <c r="R1095" s="1" t="str">
        <f>"فروش داخلي تهران - وزارت راه - راه روستايي - روکش"</f>
        <v>فروش داخلي تهران - وزارت راه - راه روستايي - روکش</v>
      </c>
      <c r="S1095" s="1" t="str">
        <f>"قرارداد فروش"</f>
        <v>قرارداد فروش</v>
      </c>
      <c r="T1095" s="1" t="str">
        <f>"ندارد"</f>
        <v>ندارد</v>
      </c>
      <c r="U1095" s="1" t="str">
        <f>"ريسماني حسن(1007ج89)"</f>
        <v>ريسماني حسن(1007ج89)</v>
      </c>
      <c r="V1095" s="1">
        <v>961700255</v>
      </c>
      <c r="W1095" s="1">
        <v>961700255</v>
      </c>
      <c r="X1095" s="1" t="str">
        <f>"1396555376"</f>
        <v>1396555376</v>
      </c>
      <c r="Y1095" s="1" t="str">
        <f>"96/12/26"</f>
        <v>96/12/26</v>
      </c>
      <c r="Z1095" s="1" t="str">
        <f>"299210/710"</f>
        <v>299210/710</v>
      </c>
      <c r="AA1095" s="1" t="str">
        <f>"راه روستائي -روكش"</f>
        <v>راه روستائي -روكش</v>
      </c>
      <c r="AB1095" s="1" t="str">
        <f>"96/12/21"</f>
        <v>96/12/21</v>
      </c>
      <c r="AC1095" s="1" t="str">
        <f>"استان اصفهان"</f>
        <v>استان اصفهان</v>
      </c>
      <c r="AD1095" s="1" t="str">
        <f>"96/12/26"</f>
        <v>96/12/26</v>
      </c>
      <c r="AE1095" s="1" t="str">
        <f>"اختتام"</f>
        <v>اختتام</v>
      </c>
      <c r="AF1095" s="1" t="str">
        <f>""</f>
        <v/>
      </c>
      <c r="AG1095" s="1" t="str">
        <f>""</f>
        <v/>
      </c>
      <c r="AH1095" s="1" t="str">
        <f>""</f>
        <v/>
      </c>
      <c r="AI1095" s="1" t="str">
        <f>""</f>
        <v/>
      </c>
      <c r="AJ1095" s="1" t="str">
        <f>""</f>
        <v/>
      </c>
      <c r="AK1095" s="1" t="str">
        <f>""</f>
        <v/>
      </c>
    </row>
    <row r="1096" spans="1:37">
      <c r="A1096" s="1">
        <v>250000</v>
      </c>
      <c r="B1096" s="1">
        <v>961900024</v>
      </c>
      <c r="C1096" s="1" t="str">
        <f>"تخليه خراسان رضوي شهرستان نيشابوركارخانه آسفالت دنابنيان بيرجند"</f>
        <v>تخليه خراسان رضوي شهرستان نيشابوركارخانه آسفالت دنابنيان بيرجند</v>
      </c>
      <c r="D1096" s="1">
        <v>9068</v>
      </c>
      <c r="E1096" s="1">
        <v>250000</v>
      </c>
      <c r="F1096" s="1">
        <v>96</v>
      </c>
      <c r="G1096" s="1">
        <v>0</v>
      </c>
      <c r="H1096" s="1" t="str">
        <f>"96/01/16"</f>
        <v>96/01/16</v>
      </c>
      <c r="I1096" s="1" t="str">
        <f>"كيلوگرم"</f>
        <v>كيلوگرم</v>
      </c>
      <c r="J1096" s="1" t="str">
        <f>"0000000091"</f>
        <v>0000000091</v>
      </c>
      <c r="K1096" s="1" t="str">
        <f>"قير  PG64-22"</f>
        <v>قير  PG64-22</v>
      </c>
      <c r="L1096" s="1">
        <v>100</v>
      </c>
      <c r="M1096" s="1" t="str">
        <f>"مخازن قير اصفهان"</f>
        <v>مخازن قير اصفهان</v>
      </c>
      <c r="N1096" s="1">
        <v>11305</v>
      </c>
      <c r="O1096" s="1">
        <v>50034381</v>
      </c>
      <c r="P1096" s="1" t="str">
        <f>"  اداره كل راهداري وحمل ونقل جاده اي خراسان رضوي"</f>
        <v xml:space="preserve">  اداره كل راهداري وحمل ونقل جاده اي خراسان رضوي</v>
      </c>
      <c r="Q1096" s="1">
        <v>19</v>
      </c>
      <c r="R109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96" s="1" t="str">
        <f>"قرارداد فروش"</f>
        <v>قرارداد فروش</v>
      </c>
      <c r="T1096" s="1" t="str">
        <f>"ندارد"</f>
        <v>ندارد</v>
      </c>
      <c r="U1096" s="1" t="str">
        <f>"نظام دوست امين (1911102)"</f>
        <v>نظام دوست امين (1911102)</v>
      </c>
      <c r="V1096" s="1">
        <v>961900024</v>
      </c>
      <c r="W1096" s="1">
        <v>961900024</v>
      </c>
      <c r="X1096" s="1" t="str">
        <f>"1395470897"</f>
        <v>1395470897</v>
      </c>
      <c r="Y1096" s="1" t="str">
        <f>"96/01/16"</f>
        <v>96/01/16</v>
      </c>
      <c r="Z1096" s="1" t="str">
        <f>"65475/710"</f>
        <v>65475/710</v>
      </c>
      <c r="AA1096" s="1" t="str">
        <f>"سازمان راهداري وحمل نقل جاده اي"</f>
        <v>سازمان راهداري وحمل نقل جاده اي</v>
      </c>
      <c r="AB1096" s="1" t="str">
        <f>"95/12/21"</f>
        <v>95/12/21</v>
      </c>
      <c r="AC1096" s="1" t="str">
        <f>"خراسان رضوي"</f>
        <v>خراسان رضوي</v>
      </c>
      <c r="AD1096" s="1" t="str">
        <f>"95/12/23"</f>
        <v>95/12/23</v>
      </c>
      <c r="AE1096" s="1" t="str">
        <f>"اختتام"</f>
        <v>اختتام</v>
      </c>
      <c r="AF1096" s="1" t="str">
        <f>""</f>
        <v/>
      </c>
      <c r="AG1096" s="1" t="str">
        <f>""</f>
        <v/>
      </c>
      <c r="AH1096" s="1" t="str">
        <f>""</f>
        <v/>
      </c>
      <c r="AI1096" s="1" t="str">
        <f>""</f>
        <v/>
      </c>
      <c r="AJ1096" s="1" t="str">
        <f>""</f>
        <v/>
      </c>
      <c r="AK1096" s="1" t="str">
        <f>""</f>
        <v/>
      </c>
    </row>
    <row r="1097" spans="1:37">
      <c r="A1097" s="1">
        <v>450000</v>
      </c>
      <c r="B1097" s="1">
        <v>961900026</v>
      </c>
      <c r="C1097" s="1" t="str">
        <f>"تخليه خراسان رضوي شهرستان نيشابوركارخانه آسفالت دل حفره"</f>
        <v>تخليه خراسان رضوي شهرستان نيشابوركارخانه آسفالت دل حفره</v>
      </c>
      <c r="D1097" s="1">
        <v>9354</v>
      </c>
      <c r="E1097" s="1">
        <v>445420</v>
      </c>
      <c r="F1097" s="1">
        <v>96</v>
      </c>
      <c r="G1097" s="1">
        <v>4580</v>
      </c>
      <c r="H1097" s="1" t="str">
        <f>"96/01/16"</f>
        <v>96/01/16</v>
      </c>
      <c r="I1097" s="1" t="str">
        <f>"كيلوگرم"</f>
        <v>كيلوگرم</v>
      </c>
      <c r="J1097" s="1" t="str">
        <f>"0000000091"</f>
        <v>0000000091</v>
      </c>
      <c r="K1097" s="1" t="str">
        <f>"قير  PG64-22"</f>
        <v>قير  PG64-22</v>
      </c>
      <c r="L1097" s="1">
        <v>100</v>
      </c>
      <c r="M1097" s="1" t="str">
        <f>"مخازن قير اصفهان"</f>
        <v>مخازن قير اصفهان</v>
      </c>
      <c r="N1097" s="1">
        <v>11305</v>
      </c>
      <c r="O1097" s="1">
        <v>50034424</v>
      </c>
      <c r="P1097" s="1" t="str">
        <f>"  اداره كل راهداري وحمل ونقل جاده اي خراسان رضوي"</f>
        <v xml:space="preserve">  اداره كل راهداري وحمل ونقل جاده اي خراسان رضوي</v>
      </c>
      <c r="Q1097" s="1">
        <v>19</v>
      </c>
      <c r="R109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97" s="1" t="str">
        <f>"قرارداد فروش"</f>
        <v>قرارداد فروش</v>
      </c>
      <c r="T1097" s="1" t="str">
        <f>"ندارد"</f>
        <v>ندارد</v>
      </c>
      <c r="U1097" s="1" t="str">
        <f>"بابامحمدي عنايت اله(4844000)"</f>
        <v>بابامحمدي عنايت اله(4844000)</v>
      </c>
      <c r="V1097" s="1">
        <v>961900026</v>
      </c>
      <c r="W1097" s="1">
        <v>961900026</v>
      </c>
      <c r="X1097" s="1" t="str">
        <f>"1395470897"</f>
        <v>1395470897</v>
      </c>
      <c r="Y1097" s="1" t="str">
        <f>"96/01/16"</f>
        <v>96/01/16</v>
      </c>
      <c r="Z1097" s="1" t="str">
        <f>"65443/710"</f>
        <v>65443/710</v>
      </c>
      <c r="AA1097" s="1" t="str">
        <f>"سازمان راهداري وحمل نقل جاده اي"</f>
        <v>سازمان راهداري وحمل نقل جاده اي</v>
      </c>
      <c r="AB1097" s="1" t="str">
        <f>"95/12/21"</f>
        <v>95/12/21</v>
      </c>
      <c r="AC1097" s="1" t="str">
        <f>"خراسان رضوي"</f>
        <v>خراسان رضوي</v>
      </c>
      <c r="AD1097" s="1" t="str">
        <f>"95/12/23"</f>
        <v>95/12/23</v>
      </c>
      <c r="AE1097" s="1" t="str">
        <f>"اختتام"</f>
        <v>اختتام</v>
      </c>
      <c r="AF1097" s="1" t="str">
        <f>""</f>
        <v/>
      </c>
      <c r="AG1097" s="1" t="str">
        <f>""</f>
        <v/>
      </c>
      <c r="AH1097" s="1" t="str">
        <f>""</f>
        <v/>
      </c>
      <c r="AI1097" s="1" t="str">
        <f>""</f>
        <v/>
      </c>
      <c r="AJ1097" s="1" t="str">
        <f>""</f>
        <v/>
      </c>
      <c r="AK1097" s="1" t="str">
        <f>""</f>
        <v/>
      </c>
    </row>
    <row r="1098" spans="1:37">
      <c r="A1098" s="1">
        <v>550000</v>
      </c>
      <c r="B1098" s="1">
        <v>961900050</v>
      </c>
      <c r="C1098" s="1" t="str">
        <f>"تخليه خراسان رضوي شهرستان احمدآبادكارخانه آسفالت سنگ بست"</f>
        <v>تخليه خراسان رضوي شهرستان احمدآبادكارخانه آسفالت سنگ بست</v>
      </c>
      <c r="D1098" s="1">
        <v>8904</v>
      </c>
      <c r="E1098" s="1">
        <v>548460</v>
      </c>
      <c r="F1098" s="1">
        <v>96</v>
      </c>
      <c r="G1098" s="1">
        <v>1540</v>
      </c>
      <c r="H1098" s="1" t="str">
        <f>"96/03/10"</f>
        <v>96/03/10</v>
      </c>
      <c r="I1098" s="1" t="str">
        <f>"كيلوگرم"</f>
        <v>كيلوگرم</v>
      </c>
      <c r="J1098" s="1" t="str">
        <f>"0000000091"</f>
        <v>0000000091</v>
      </c>
      <c r="K1098" s="1" t="str">
        <f>"قير  PG64-22"</f>
        <v>قير  PG64-22</v>
      </c>
      <c r="L1098" s="1">
        <v>100</v>
      </c>
      <c r="M1098" s="1" t="str">
        <f>"مخازن قير اصفهان"</f>
        <v>مخازن قير اصفهان</v>
      </c>
      <c r="N1098" s="1">
        <v>11305</v>
      </c>
      <c r="O1098" s="1">
        <v>50034935</v>
      </c>
      <c r="P1098" s="1" t="str">
        <f>"  اداره كل راهداري وحمل ونقل جاده اي خراسان رضوي"</f>
        <v xml:space="preserve">  اداره كل راهداري وحمل ونقل جاده اي خراسان رضوي</v>
      </c>
      <c r="Q1098" s="1">
        <v>19</v>
      </c>
      <c r="R109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098" s="1" t="str">
        <f>"قرارداد فروش"</f>
        <v>قرارداد فروش</v>
      </c>
      <c r="T1098" s="1" t="str">
        <f>"ندارد"</f>
        <v>ندارد</v>
      </c>
      <c r="U1098" s="1" t="str">
        <f>"نظام دوست امين (1911102)"</f>
        <v>نظام دوست امين (1911102)</v>
      </c>
      <c r="V1098" s="1">
        <v>961900050</v>
      </c>
      <c r="W1098" s="1">
        <v>961900050</v>
      </c>
      <c r="X1098" s="1" t="str">
        <f>"1396485061"</f>
        <v>1396485061</v>
      </c>
      <c r="Y1098" s="1" t="str">
        <f>"96/03/10"</f>
        <v>96/03/10</v>
      </c>
      <c r="Z1098" s="1" t="str">
        <f>"10854/710"</f>
        <v>10854/710</v>
      </c>
      <c r="AA1098" s="1" t="str">
        <f>"سازمان راهداري وحمل نقل جاده اي"</f>
        <v>سازمان راهداري وحمل نقل جاده اي</v>
      </c>
      <c r="AB1098" s="1" t="str">
        <f>"96/03/09"</f>
        <v>96/03/09</v>
      </c>
      <c r="AC1098" s="1" t="str">
        <f>"خراسان رضوي"</f>
        <v>خراسان رضوي</v>
      </c>
      <c r="AD1098" s="1" t="str">
        <f>"96/03/10"</f>
        <v>96/03/10</v>
      </c>
      <c r="AE1098" s="1" t="str">
        <f>"اختتام"</f>
        <v>اختتام</v>
      </c>
      <c r="AF1098" s="1" t="str">
        <f>""</f>
        <v/>
      </c>
      <c r="AG1098" s="1" t="str">
        <f>""</f>
        <v/>
      </c>
      <c r="AH1098" s="1" t="str">
        <f>""</f>
        <v/>
      </c>
      <c r="AI1098" s="1" t="str">
        <f>""</f>
        <v/>
      </c>
      <c r="AJ1098" s="1" t="str">
        <f>""</f>
        <v/>
      </c>
      <c r="AK1098" s="1" t="str">
        <f>""</f>
        <v/>
      </c>
    </row>
    <row r="1099" spans="1:37">
      <c r="A1099" s="1">
        <v>99000</v>
      </c>
      <c r="B1099" s="1">
        <v>966200678</v>
      </c>
      <c r="C1099" s="1" t="str">
        <f>"تخليه - چهارمحال-شهرکرد-سه راهي جونقان فارسان-روستاي چليچه-کارخانه آسفالت احمديه چليچه"</f>
        <v>تخليه - چهارمحال-شهرکرد-سه راهي جونقان فارسان-روستاي چليچه-کارخانه آسفالت احمديه چليچه</v>
      </c>
      <c r="D1099" s="1">
        <v>13600</v>
      </c>
      <c r="E1099" s="1">
        <v>98420</v>
      </c>
      <c r="F1099" s="1">
        <v>96</v>
      </c>
      <c r="G1099" s="1">
        <v>580</v>
      </c>
      <c r="H1099" s="1" t="str">
        <f>"96/12/19"</f>
        <v>96/12/19</v>
      </c>
      <c r="I1099" s="1" t="str">
        <f>"كيلوگرم"</f>
        <v>كيلوگرم</v>
      </c>
      <c r="J1099" s="1" t="str">
        <f>"0000000091"</f>
        <v>0000000091</v>
      </c>
      <c r="K1099" s="1" t="str">
        <f>"قير  PG64-22"</f>
        <v>قير  PG64-22</v>
      </c>
      <c r="L1099" s="1">
        <v>100</v>
      </c>
      <c r="M1099" s="1" t="str">
        <f>"مخازن قير اصفهان"</f>
        <v>مخازن قير اصفهان</v>
      </c>
      <c r="N1099" s="1">
        <v>11546</v>
      </c>
      <c r="O1099" s="1">
        <v>50038842</v>
      </c>
      <c r="P1099" s="1" t="str">
        <f>"  رفيع بام ستون"</f>
        <v xml:space="preserve">  رفيع بام ستون</v>
      </c>
      <c r="Q1099" s="1">
        <v>62</v>
      </c>
      <c r="R1099" s="1" t="str">
        <f>"فروش داخلي - سازمان بنيادمسكن انقلاب اسلامي"</f>
        <v>فروش داخلي - سازمان بنيادمسكن انقلاب اسلامي</v>
      </c>
      <c r="S1099" s="1" t="str">
        <f>"قرارداد فروش"</f>
        <v>قرارداد فروش</v>
      </c>
      <c r="T1099" s="1" t="str">
        <f>"ندارد"</f>
        <v>ندارد</v>
      </c>
      <c r="U1099" s="1" t="str">
        <f>"ريسماني حسن(1007ج89)"</f>
        <v>ريسماني حسن(1007ج89)</v>
      </c>
      <c r="V1099" s="1">
        <v>966200678</v>
      </c>
      <c r="W1099" s="1">
        <v>966200678</v>
      </c>
      <c r="X1099" s="1" t="str">
        <f>"1396553442"</f>
        <v>1396553442</v>
      </c>
      <c r="Y1099" s="1" t="str">
        <f>"96/12/19"</f>
        <v>96/12/19</v>
      </c>
      <c r="Z1099" s="1" t="str">
        <f>"57261/د"</f>
        <v>57261/د</v>
      </c>
      <c r="AA1099" s="1" t="str">
        <f>"بنيادمسكن انقلاب اسلامي"</f>
        <v>بنيادمسكن انقلاب اسلامي</v>
      </c>
      <c r="AB1099" s="1" t="str">
        <f>"96/12/15"</f>
        <v>96/12/15</v>
      </c>
      <c r="AC1099" s="1" t="str">
        <f>"استان چهارمحال بختياري"</f>
        <v>استان چهارمحال بختياري</v>
      </c>
      <c r="AD1099" s="1" t="str">
        <f>"96/12/16"</f>
        <v>96/12/16</v>
      </c>
      <c r="AE1099" s="1" t="str">
        <f>"اختتام"</f>
        <v>اختتام</v>
      </c>
      <c r="AF1099" s="1" t="str">
        <f>""</f>
        <v/>
      </c>
      <c r="AG1099" s="1" t="str">
        <f>""</f>
        <v/>
      </c>
      <c r="AH1099" s="1" t="str">
        <f>""</f>
        <v/>
      </c>
      <c r="AI1099" s="1" t="str">
        <f>""</f>
        <v/>
      </c>
      <c r="AJ1099" s="1" t="str">
        <f>""</f>
        <v/>
      </c>
      <c r="AK1099" s="1" t="str">
        <f>""</f>
        <v/>
      </c>
    </row>
    <row r="1100" spans="1:37">
      <c r="A1100" s="1">
        <v>118000</v>
      </c>
      <c r="B1100" s="1">
        <v>966200677</v>
      </c>
      <c r="C1100" s="1" t="str">
        <f>"تخليه - چهارمحال-لردگان-فلارد-سه راهي ارمند-تنگ لاي بيد-کارخانه آسفالت موسوي"</f>
        <v>تخليه - چهارمحال-لردگان-فلارد-سه راهي ارمند-تنگ لاي بيد-کارخانه آسفالت موسوي</v>
      </c>
      <c r="D1100" s="1">
        <v>13600</v>
      </c>
      <c r="E1100" s="1">
        <v>116280</v>
      </c>
      <c r="F1100" s="1">
        <v>96</v>
      </c>
      <c r="G1100" s="1">
        <v>1720</v>
      </c>
      <c r="H1100" s="1" t="str">
        <f>"96/12/19"</f>
        <v>96/12/19</v>
      </c>
      <c r="I1100" s="1" t="str">
        <f>"كيلوگرم"</f>
        <v>كيلوگرم</v>
      </c>
      <c r="J1100" s="1" t="str">
        <f>"0000000091"</f>
        <v>0000000091</v>
      </c>
      <c r="K1100" s="1" t="str">
        <f>"قير  PG64-22"</f>
        <v>قير  PG64-22</v>
      </c>
      <c r="L1100" s="1">
        <v>100</v>
      </c>
      <c r="M1100" s="1" t="str">
        <f>"مخازن قير اصفهان"</f>
        <v>مخازن قير اصفهان</v>
      </c>
      <c r="N1100" s="1">
        <v>11547</v>
      </c>
      <c r="O1100" s="1">
        <v>50038840</v>
      </c>
      <c r="P1100" s="1" t="str">
        <f>"  راه سازان جهان آسا"</f>
        <v xml:space="preserve">  راه سازان جهان آسا</v>
      </c>
      <c r="Q1100" s="1">
        <v>62</v>
      </c>
      <c r="R1100" s="1" t="str">
        <f>"فروش داخلي - سازمان بنيادمسكن انقلاب اسلامي"</f>
        <v>فروش داخلي - سازمان بنيادمسكن انقلاب اسلامي</v>
      </c>
      <c r="S1100" s="1" t="str">
        <f>"قرارداد فروش"</f>
        <v>قرارداد فروش</v>
      </c>
      <c r="T1100" s="1" t="str">
        <f>"ندارد"</f>
        <v>ندارد</v>
      </c>
      <c r="U1100" s="1" t="str">
        <f>"ريسماني حسن(1007ج89)"</f>
        <v>ريسماني حسن(1007ج89)</v>
      </c>
      <c r="V1100" s="1">
        <v>966200677</v>
      </c>
      <c r="W1100" s="1">
        <v>966200677</v>
      </c>
      <c r="X1100" s="1" t="str">
        <f>"1396553442"</f>
        <v>1396553442</v>
      </c>
      <c r="Y1100" s="1" t="str">
        <f>"96/12/19"</f>
        <v>96/12/19</v>
      </c>
      <c r="Z1100" s="1" t="str">
        <f>"57193/د"</f>
        <v>57193/د</v>
      </c>
      <c r="AA1100" s="1" t="str">
        <f>"بنيادمسكن انقلاب اسلامي"</f>
        <v>بنيادمسكن انقلاب اسلامي</v>
      </c>
      <c r="AB1100" s="1" t="str">
        <f>"96/12/15"</f>
        <v>96/12/15</v>
      </c>
      <c r="AC1100" s="1" t="str">
        <f>"استان چهارمحال بختياري"</f>
        <v>استان چهارمحال بختياري</v>
      </c>
      <c r="AD1100" s="1" t="str">
        <f>"96/12/16"</f>
        <v>96/12/16</v>
      </c>
      <c r="AE1100" s="1" t="str">
        <f>"اختتام"</f>
        <v>اختتام</v>
      </c>
      <c r="AF1100" s="1" t="str">
        <f>""</f>
        <v/>
      </c>
      <c r="AG1100" s="1" t="str">
        <f>""</f>
        <v/>
      </c>
      <c r="AH1100" s="1" t="str">
        <f>""</f>
        <v/>
      </c>
      <c r="AI1100" s="1" t="str">
        <f>""</f>
        <v/>
      </c>
      <c r="AJ1100" s="1" t="str">
        <f>""</f>
        <v/>
      </c>
      <c r="AK1100" s="1" t="str">
        <f>""</f>
        <v/>
      </c>
    </row>
    <row r="1101" spans="1:37">
      <c r="A1101" s="1">
        <v>40000</v>
      </c>
      <c r="B1101" s="1">
        <v>966200686</v>
      </c>
      <c r="C1101" s="1" t="str">
        <f>"تخليه - چهارمحال-شهرکرد-قبل از تونل گردنه رخ-کارخانه آسفالت زرين استحکام"</f>
        <v>تخليه - چهارمحال-شهرکرد-قبل از تونل گردنه رخ-کارخانه آسفالت زرين استحکام</v>
      </c>
      <c r="D1101" s="1">
        <v>13600</v>
      </c>
      <c r="E1101" s="1">
        <v>39380</v>
      </c>
      <c r="F1101" s="1">
        <v>96</v>
      </c>
      <c r="G1101" s="1">
        <v>620</v>
      </c>
      <c r="H1101" s="1" t="str">
        <f>"96/12/20"</f>
        <v>96/12/20</v>
      </c>
      <c r="I1101" s="1" t="str">
        <f>"كيلوگرم"</f>
        <v>كيلوگرم</v>
      </c>
      <c r="J1101" s="1" t="str">
        <f>"0000000091"</f>
        <v>0000000091</v>
      </c>
      <c r="K1101" s="1" t="str">
        <f>"قير  PG64-22"</f>
        <v>قير  PG64-22</v>
      </c>
      <c r="L1101" s="1">
        <v>100</v>
      </c>
      <c r="M1101" s="1" t="str">
        <f>"مخازن قير اصفهان"</f>
        <v>مخازن قير اصفهان</v>
      </c>
      <c r="N1101" s="1">
        <v>11548</v>
      </c>
      <c r="O1101" s="1">
        <v>50038883</v>
      </c>
      <c r="P1101" s="1" t="str">
        <f>"  دال ريزان سامان"</f>
        <v xml:space="preserve">  دال ريزان سامان</v>
      </c>
      <c r="Q1101" s="1">
        <v>62</v>
      </c>
      <c r="R1101" s="1" t="str">
        <f>"فروش داخلي - سازمان بنيادمسكن انقلاب اسلامي"</f>
        <v>فروش داخلي - سازمان بنيادمسكن انقلاب اسلامي</v>
      </c>
      <c r="S1101" s="1" t="str">
        <f>"قرارداد فروش"</f>
        <v>قرارداد فروش</v>
      </c>
      <c r="T1101" s="1" t="str">
        <f>"ندارد"</f>
        <v>ندارد</v>
      </c>
      <c r="U1101" s="1" t="str">
        <f>"قره باغي مجيد(1871065)"</f>
        <v>قره باغي مجيد(1871065)</v>
      </c>
      <c r="V1101" s="1">
        <v>966200686</v>
      </c>
      <c r="W1101" s="1">
        <v>966200686</v>
      </c>
      <c r="X1101" s="1" t="str">
        <f>"1396553923"</f>
        <v>1396553923</v>
      </c>
      <c r="Y1101" s="1" t="str">
        <f>"96/12/20"</f>
        <v>96/12/20</v>
      </c>
      <c r="Z1101" s="1" t="str">
        <f>"58161/د"</f>
        <v>58161/د</v>
      </c>
      <c r="AA1101" s="1" t="str">
        <f>"بنيادمسكن انقلاب اسلامي"</f>
        <v>بنيادمسكن انقلاب اسلامي</v>
      </c>
      <c r="AB1101" s="1" t="str">
        <f>"96/12/19"</f>
        <v>96/12/19</v>
      </c>
      <c r="AC1101" s="1" t="str">
        <f>"استان چهارمحال بختياري"</f>
        <v>استان چهارمحال بختياري</v>
      </c>
      <c r="AD1101" s="1" t="str">
        <f>"96/12/20"</f>
        <v>96/12/20</v>
      </c>
      <c r="AE1101" s="1" t="str">
        <f>"اختتام"</f>
        <v>اختتام</v>
      </c>
      <c r="AF1101" s="1" t="str">
        <f>""</f>
        <v/>
      </c>
      <c r="AG1101" s="1" t="str">
        <f>""</f>
        <v/>
      </c>
      <c r="AH1101" s="1" t="str">
        <f>""</f>
        <v/>
      </c>
      <c r="AI1101" s="1" t="str">
        <f>""</f>
        <v/>
      </c>
      <c r="AJ1101" s="1" t="str">
        <f>""</f>
        <v/>
      </c>
      <c r="AK1101" s="1" t="str">
        <f>""</f>
        <v/>
      </c>
    </row>
    <row r="1102" spans="1:37">
      <c r="A1102" s="1">
        <v>1000000</v>
      </c>
      <c r="B1102" s="1">
        <v>961600024</v>
      </c>
      <c r="C1102" s="1" t="str">
        <f>"تخليه -كرمان كيلومتر20جاده زرندكارخانه آسفالت 115"</f>
        <v>تخليه -كرمان كيلومتر20جاده زرندكارخانه آسفالت 115</v>
      </c>
      <c r="D1102" s="1">
        <v>16350</v>
      </c>
      <c r="E1102" s="1">
        <v>992420</v>
      </c>
      <c r="F1102" s="1">
        <v>96</v>
      </c>
      <c r="G1102" s="1">
        <v>7580</v>
      </c>
      <c r="H1102" s="1" t="str">
        <f>"96/12/03"</f>
        <v>96/12/03</v>
      </c>
      <c r="I1102" s="1" t="str">
        <f>"كيلوگرم"</f>
        <v>كيلوگرم</v>
      </c>
      <c r="J1102" s="1" t="str">
        <f>"0000000092"</f>
        <v>0000000092</v>
      </c>
      <c r="K1102" s="1" t="str">
        <f>"قير  PG64-16"</f>
        <v>قير  PG64-16</v>
      </c>
      <c r="L1102" s="1">
        <v>100</v>
      </c>
      <c r="M1102" s="1" t="str">
        <f>"مخازن قير اصفهان"</f>
        <v>مخازن قير اصفهان</v>
      </c>
      <c r="N1102" s="1">
        <v>8050</v>
      </c>
      <c r="O1102" s="1">
        <v>50038588</v>
      </c>
      <c r="P1102" s="1" t="str">
        <f>"  راهسازي و ساختماني 115"</f>
        <v xml:space="preserve">  راهسازي و ساختماني 115</v>
      </c>
      <c r="Q1102" s="1">
        <v>16</v>
      </c>
      <c r="R1102" s="1" t="str">
        <f>"فروش داخلي تهران - وزارت راه - معاونت اقتصاد"</f>
        <v>فروش داخلي تهران - وزارت راه - معاونت اقتصاد</v>
      </c>
      <c r="S1102" s="1" t="str">
        <f>"قرارداد فروش"</f>
        <v>قرارداد فروش</v>
      </c>
      <c r="T1102" s="1" t="str">
        <f>"ندارد"</f>
        <v>ندارد</v>
      </c>
      <c r="U1102" s="1" t="str">
        <f>"حاصليان ترابرجنوب مرتضي حاصلي (4844006)"</f>
        <v>حاصليان ترابرجنوب مرتضي حاصلي (4844006)</v>
      </c>
      <c r="V1102" s="1">
        <v>961600024</v>
      </c>
      <c r="W1102" s="1">
        <v>961600024</v>
      </c>
      <c r="X1102" s="1" t="str">
        <f>"1396549381"</f>
        <v>1396549381</v>
      </c>
      <c r="Y1102" s="1" t="str">
        <f>"96/12/02"</f>
        <v>96/12/02</v>
      </c>
      <c r="Z1102" s="1" t="str">
        <f>"287406/710"</f>
        <v>287406/710</v>
      </c>
      <c r="AA1102" s="1" t="str">
        <f>"معاونت اقتصادوزارت راه وشهرسازي"</f>
        <v>معاونت اقتصادوزارت راه وشهرسازي</v>
      </c>
      <c r="AB1102" s="1" t="str">
        <f>"96/11/28"</f>
        <v>96/11/28</v>
      </c>
      <c r="AC1102" s="1" t="str">
        <f>"استان كرمان"</f>
        <v>استان كرمان</v>
      </c>
      <c r="AD1102" s="1" t="str">
        <f>"96/11/30"</f>
        <v>96/11/30</v>
      </c>
      <c r="AE1102" s="1" t="str">
        <f>"اختتام"</f>
        <v>اختتام</v>
      </c>
      <c r="AF1102" s="1" t="str">
        <f>""</f>
        <v/>
      </c>
      <c r="AG1102" s="1" t="str">
        <f>""</f>
        <v/>
      </c>
      <c r="AH1102" s="1" t="str">
        <f>""</f>
        <v/>
      </c>
      <c r="AI1102" s="1" t="str">
        <f>""</f>
        <v/>
      </c>
      <c r="AJ1102" s="1" t="str">
        <f>""</f>
        <v/>
      </c>
      <c r="AK1102" s="1" t="str">
        <f>""</f>
        <v/>
      </c>
    </row>
    <row r="1103" spans="1:37">
      <c r="A1103" s="1">
        <v>1000000</v>
      </c>
      <c r="B1103" s="1">
        <v>961800036</v>
      </c>
      <c r="C1103" s="1" t="str">
        <f>"تخليه -قزوين -كيلومتر45جاده ساوه -بوئين زهرا-چهارراه خشكرود-رازقان -روبروي رستوران لاله صحرا-كارگاه بنادر"</f>
        <v>تخليه -قزوين -كيلومتر45جاده ساوه -بوئين زهرا-چهارراه خشكرود-رازقان -روبروي رستوران لاله صحرا-كارگاه بنادر</v>
      </c>
      <c r="D1103" s="1">
        <v>9363</v>
      </c>
      <c r="E1103" s="1">
        <v>997620</v>
      </c>
      <c r="F1103" s="1">
        <v>96</v>
      </c>
      <c r="G1103" s="1">
        <v>2380</v>
      </c>
      <c r="H1103" s="1" t="str">
        <f>"96/06/19"</f>
        <v>96/06/19</v>
      </c>
      <c r="I1103" s="1" t="str">
        <f>"كيلوگرم"</f>
        <v>كيلوگرم</v>
      </c>
      <c r="J1103" s="1" t="str">
        <f>"0000000092"</f>
        <v>0000000092</v>
      </c>
      <c r="K1103" s="1" t="str">
        <f>"قير  PG64-16"</f>
        <v>قير  PG64-16</v>
      </c>
      <c r="L1103" s="1">
        <v>100</v>
      </c>
      <c r="M1103" s="1" t="str">
        <f>"مخازن قير اصفهان"</f>
        <v>مخازن قير اصفهان</v>
      </c>
      <c r="N1103" s="1">
        <v>8072</v>
      </c>
      <c r="O1103" s="1">
        <v>50035942</v>
      </c>
      <c r="P1103" s="1" t="str">
        <f>"  بنادر"</f>
        <v xml:space="preserve">  بنادر</v>
      </c>
      <c r="Q1103" s="1">
        <v>18</v>
      </c>
      <c r="R1103" s="1" t="str">
        <f>"فروش داخلي تهران - وزارت راه - شرکت ساخت و توسعه راهها"</f>
        <v>فروش داخلي تهران - وزارت راه - شرکت ساخت و توسعه راهها</v>
      </c>
      <c r="S1103" s="1" t="str">
        <f>"قرارداد فروش"</f>
        <v>قرارداد فروش</v>
      </c>
      <c r="T1103" s="1" t="str">
        <f>"ندارد"</f>
        <v>ندارد</v>
      </c>
      <c r="U1103" s="1" t="str">
        <f>"عزيزي صفر(1006ج 89)"</f>
        <v>عزيزي صفر(1006ج 89)</v>
      </c>
      <c r="V1103" s="1">
        <v>961800036</v>
      </c>
      <c r="W1103" s="1">
        <v>961800036</v>
      </c>
      <c r="X1103" s="1" t="str">
        <f>"1396511137"</f>
        <v>1396511137</v>
      </c>
      <c r="Y1103" s="1" t="str">
        <f>"96/06/19"</f>
        <v>96/06/19</v>
      </c>
      <c r="Z1103" s="1" t="str">
        <f>"29633/710"</f>
        <v>29633/710</v>
      </c>
      <c r="AA1103" s="1" t="str">
        <f>"شركت  ساخت وتوسعه راهها"</f>
        <v>شركت  ساخت وتوسعه راهها</v>
      </c>
      <c r="AB1103" s="1" t="str">
        <f>"96/06/15"</f>
        <v>96/06/15</v>
      </c>
      <c r="AC1103" s="1" t="str">
        <f>"استان تهران"</f>
        <v>استان تهران</v>
      </c>
      <c r="AD1103" s="1" t="str">
        <f>"96/06/19"</f>
        <v>96/06/19</v>
      </c>
      <c r="AE1103" s="1" t="str">
        <f>"اختتام"</f>
        <v>اختتام</v>
      </c>
      <c r="AF1103" s="1" t="str">
        <f>""</f>
        <v/>
      </c>
      <c r="AG1103" s="1" t="str">
        <f>""</f>
        <v/>
      </c>
      <c r="AH1103" s="1" t="str">
        <f>""</f>
        <v/>
      </c>
      <c r="AI1103" s="1" t="str">
        <f>""</f>
        <v/>
      </c>
      <c r="AJ1103" s="1" t="str">
        <f>""</f>
        <v/>
      </c>
      <c r="AK1103" s="1" t="str">
        <f>""</f>
        <v/>
      </c>
    </row>
    <row r="1104" spans="1:37">
      <c r="A1104" s="1">
        <v>100000</v>
      </c>
      <c r="B1104" s="1">
        <v>961100068</v>
      </c>
      <c r="C1104" s="1" t="str">
        <f>"تهران -جاده امام رضا-نرسيده به شريف آباد-شركت بازيافت وابنيه تهران"</f>
        <v>تهران -جاده امام رضا-نرسيده به شريف آباد-شركت بازيافت وابنيه تهران</v>
      </c>
      <c r="D1104" s="1">
        <v>8954</v>
      </c>
      <c r="E1104" s="1">
        <v>93200</v>
      </c>
      <c r="F1104" s="1">
        <v>96</v>
      </c>
      <c r="G1104" s="1">
        <v>6800</v>
      </c>
      <c r="H1104" s="1" t="str">
        <f>"96/06/28"</f>
        <v>96/06/28</v>
      </c>
      <c r="I1104" s="1" t="str">
        <f>"كيلوگرم"</f>
        <v>كيلوگرم</v>
      </c>
      <c r="J1104" s="1" t="str">
        <f>"0000000076"</f>
        <v>0000000076</v>
      </c>
      <c r="K1104" s="1" t="str">
        <f>"قير 60/70 - فله"</f>
        <v>قير 60/70 - فله</v>
      </c>
      <c r="L1104" s="1">
        <v>100</v>
      </c>
      <c r="M1104" s="1" t="str">
        <f>"مخازن قير اصفهان"</f>
        <v>مخازن قير اصفهان</v>
      </c>
      <c r="N1104" s="1">
        <v>8725</v>
      </c>
      <c r="O1104" s="1">
        <v>50036110</v>
      </c>
      <c r="P1104" s="1" t="str">
        <f>"  بازيافت وابنيه تهران"</f>
        <v xml:space="preserve">  بازيافت وابنيه تهران</v>
      </c>
      <c r="Q1104" s="1">
        <v>11</v>
      </c>
      <c r="R1104" s="1" t="str">
        <f>"فروش داخلي تهران - بورس"</f>
        <v>فروش داخلي تهران - بورس</v>
      </c>
      <c r="S1104" s="1" t="str">
        <f>"قرارداد فروش"</f>
        <v>قرارداد فروش</v>
      </c>
      <c r="T1104" s="1" t="str">
        <f>"ندارد"</f>
        <v>ندارد</v>
      </c>
      <c r="U1104" s="1" t="str">
        <f>"حاج صادقي باقر(1841027)"</f>
        <v>حاج صادقي باقر(1841027)</v>
      </c>
      <c r="V1104" s="1">
        <v>961100068</v>
      </c>
      <c r="W1104" s="1">
        <v>961100068</v>
      </c>
      <c r="X1104" s="1" t="str">
        <f>"1396513288"</f>
        <v>1396513288</v>
      </c>
      <c r="Y1104" s="1" t="str">
        <f>"96/06/28"</f>
        <v>96/06/28</v>
      </c>
      <c r="Z1104" s="1" t="str">
        <f>"6290"</f>
        <v>6290</v>
      </c>
      <c r="AA1104" s="1" t="str">
        <f>"راه سازي"</f>
        <v>راه سازي</v>
      </c>
      <c r="AB1104" s="1" t="str">
        <f>"96/06/19"</f>
        <v>96/06/19</v>
      </c>
      <c r="AC1104" s="1" t="str">
        <f>"استان تهران"</f>
        <v>استان تهران</v>
      </c>
      <c r="AD1104" s="1" t="str">
        <f>"96/06/28"</f>
        <v>96/06/28</v>
      </c>
      <c r="AE1104" s="1" t="str">
        <f>"اختتام"</f>
        <v>اختتام</v>
      </c>
      <c r="AF1104" s="1" t="str">
        <f>""</f>
        <v/>
      </c>
      <c r="AG1104" s="1" t="str">
        <f>""</f>
        <v/>
      </c>
      <c r="AH1104" s="1" t="str">
        <f>""</f>
        <v/>
      </c>
      <c r="AI1104" s="1" t="str">
        <f>""</f>
        <v/>
      </c>
      <c r="AJ1104" s="1" t="str">
        <f>""</f>
        <v/>
      </c>
      <c r="AK1104" s="1" t="str">
        <f>""</f>
        <v/>
      </c>
    </row>
    <row r="1105" spans="1:37">
      <c r="A1105" s="1">
        <v>250000</v>
      </c>
      <c r="B1105" s="1">
        <v>961700048</v>
      </c>
      <c r="C1105" s="1" t="str">
        <f>"تخليه -ايلام شهرستان مهران -صالح آباد-شركت ماداكتو"</f>
        <v>تخليه -ايلام شهرستان مهران -صالح آباد-شركت ماداكتو</v>
      </c>
      <c r="D1105" s="1">
        <v>9204</v>
      </c>
      <c r="E1105" s="1">
        <v>249220</v>
      </c>
      <c r="F1105" s="1">
        <v>96</v>
      </c>
      <c r="G1105" s="1">
        <v>780</v>
      </c>
      <c r="H1105" s="1" t="str">
        <f>"96/05/17"</f>
        <v>96/05/17</v>
      </c>
      <c r="I1105" s="1" t="str">
        <f>"كيلوگرم"</f>
        <v>كيلوگرم</v>
      </c>
      <c r="J1105" s="1" t="str">
        <f>"0000000092"</f>
        <v>0000000092</v>
      </c>
      <c r="K1105" s="1" t="str">
        <f>"قير  PG64-16"</f>
        <v>قير  PG64-16</v>
      </c>
      <c r="L1105" s="1">
        <v>100</v>
      </c>
      <c r="M1105" s="1" t="str">
        <f>"مخازن قير اصفهان"</f>
        <v>مخازن قير اصفهان</v>
      </c>
      <c r="N1105" s="1">
        <v>9237</v>
      </c>
      <c r="O1105" s="1">
        <v>50035566</v>
      </c>
      <c r="P1105" s="1" t="str">
        <f>"  ماداكتو"</f>
        <v xml:space="preserve">  ماداكتو</v>
      </c>
      <c r="Q1105" s="1">
        <v>17</v>
      </c>
      <c r="R1105" s="1" t="str">
        <f>"فروش داخلي تهران - وزارت راه - راه روستايي - روکش"</f>
        <v>فروش داخلي تهران - وزارت راه - راه روستايي - روکش</v>
      </c>
      <c r="S1105" s="1" t="str">
        <f>"قرارداد فروش"</f>
        <v>قرارداد فروش</v>
      </c>
      <c r="T1105" s="1" t="str">
        <f>"ندارد"</f>
        <v>ندارد</v>
      </c>
      <c r="U1105" s="1" t="str">
        <f>"عظيمي محمد(2842015)"</f>
        <v>عظيمي محمد(2842015)</v>
      </c>
      <c r="V1105" s="1">
        <v>961700048</v>
      </c>
      <c r="W1105" s="1">
        <v>961700048</v>
      </c>
      <c r="X1105" s="1" t="str">
        <f>"1396503549"</f>
        <v>1396503549</v>
      </c>
      <c r="Y1105" s="1" t="str">
        <f>"96/05/17"</f>
        <v>96/05/17</v>
      </c>
      <c r="Z1105" s="1" t="str">
        <f>"22121/710"</f>
        <v>22121/710</v>
      </c>
      <c r="AA1105" s="1" t="str">
        <f>"راه روستائي -روكش"</f>
        <v>راه روستائي -روكش</v>
      </c>
      <c r="AB1105" s="1" t="str">
        <f>"96/05/09"</f>
        <v>96/05/09</v>
      </c>
      <c r="AC1105" s="1" t="str">
        <f>"استان ايلام"</f>
        <v>استان ايلام</v>
      </c>
      <c r="AD1105" s="1" t="str">
        <f>"96/05/17"</f>
        <v>96/05/17</v>
      </c>
      <c r="AE1105" s="1" t="str">
        <f>"اختتام"</f>
        <v>اختتام</v>
      </c>
      <c r="AF1105" s="1" t="str">
        <f>""</f>
        <v/>
      </c>
      <c r="AG1105" s="1" t="str">
        <f>""</f>
        <v/>
      </c>
      <c r="AH1105" s="1" t="str">
        <f>""</f>
        <v/>
      </c>
      <c r="AI1105" s="1" t="str">
        <f>""</f>
        <v/>
      </c>
      <c r="AJ1105" s="1" t="str">
        <f>""</f>
        <v/>
      </c>
      <c r="AK1105" s="1" t="str">
        <f>""</f>
        <v/>
      </c>
    </row>
    <row r="1106" spans="1:37">
      <c r="A1106" s="1">
        <v>670000</v>
      </c>
      <c r="B1106" s="1">
        <v>961800063</v>
      </c>
      <c r="C1106" s="1" t="str">
        <f>"تخليه -خراسان جنوبي -محورنهبندان -زابل -كارخانه آسفالت شركت"</f>
        <v>تخليه -خراسان جنوبي -محورنهبندان -زابل -كارخانه آسفالت شركت</v>
      </c>
      <c r="D1106" s="1">
        <v>9716</v>
      </c>
      <c r="E1106" s="1">
        <v>669260</v>
      </c>
      <c r="F1106" s="1">
        <v>96</v>
      </c>
      <c r="G1106" s="1">
        <v>740</v>
      </c>
      <c r="H1106" s="1" t="str">
        <f>"96/07/17"</f>
        <v>96/07/17</v>
      </c>
      <c r="I1106" s="1" t="str">
        <f>"كيلوگرم"</f>
        <v>كيلوگرم</v>
      </c>
      <c r="J1106" s="1" t="str">
        <f>"0000000092"</f>
        <v>0000000092</v>
      </c>
      <c r="K1106" s="1" t="str">
        <f>"قير  PG64-16"</f>
        <v>قير  PG64-16</v>
      </c>
      <c r="L1106" s="1">
        <v>100</v>
      </c>
      <c r="M1106" s="1" t="str">
        <f>"مخازن قير اصفهان"</f>
        <v>مخازن قير اصفهان</v>
      </c>
      <c r="N1106" s="1">
        <v>8349</v>
      </c>
      <c r="O1106" s="1">
        <v>50036614</v>
      </c>
      <c r="P1106" s="1" t="str">
        <f>"  راه مكان ثامن"</f>
        <v xml:space="preserve">  راه مكان ثامن</v>
      </c>
      <c r="Q1106" s="1">
        <v>18</v>
      </c>
      <c r="R1106" s="1" t="str">
        <f>"فروش داخلي تهران - وزارت راه - شرکت ساخت و توسعه راهها"</f>
        <v>فروش داخلي تهران - وزارت راه - شرکت ساخت و توسعه راهها</v>
      </c>
      <c r="S1106" s="1" t="str">
        <f>"قرارداد فروش"</f>
        <v>قرارداد فروش</v>
      </c>
      <c r="T1106" s="1" t="str">
        <f>"ندارد"</f>
        <v>ندارد</v>
      </c>
      <c r="U1106" s="1" t="str">
        <f>"نظام دوست امين (1911102)"</f>
        <v>نظام دوست امين (1911102)</v>
      </c>
      <c r="V1106" s="1">
        <v>961800063</v>
      </c>
      <c r="W1106" s="1">
        <v>961800063</v>
      </c>
      <c r="X1106" s="1" t="str">
        <f>"1396517393"</f>
        <v>1396517393</v>
      </c>
      <c r="Y1106" s="1" t="str">
        <f>"96/07/17"</f>
        <v>96/07/17</v>
      </c>
      <c r="Z1106" s="1" t="str">
        <f>"34650/710"</f>
        <v>34650/710</v>
      </c>
      <c r="AA1106" s="1" t="str">
        <f>"شركت  ساخت وتوسعه راهها"</f>
        <v>شركت  ساخت وتوسعه راهها</v>
      </c>
      <c r="AB1106" s="1" t="str">
        <f>"96/07/15"</f>
        <v>96/07/15</v>
      </c>
      <c r="AC1106" s="1" t="str">
        <f>"خراسان جنوبي"</f>
        <v>خراسان جنوبي</v>
      </c>
      <c r="AD1106" s="1" t="str">
        <f>"96/07/17"</f>
        <v>96/07/17</v>
      </c>
      <c r="AE1106" s="1" t="str">
        <f>"اختتام"</f>
        <v>اختتام</v>
      </c>
      <c r="AF1106" s="1" t="str">
        <f>""</f>
        <v/>
      </c>
      <c r="AG1106" s="1" t="str">
        <f>""</f>
        <v/>
      </c>
      <c r="AH1106" s="1" t="str">
        <f>""</f>
        <v/>
      </c>
      <c r="AI1106" s="1" t="str">
        <f>""</f>
        <v/>
      </c>
      <c r="AJ1106" s="1" t="str">
        <f>""</f>
        <v/>
      </c>
      <c r="AK1106" s="1" t="str">
        <f>""</f>
        <v/>
      </c>
    </row>
    <row r="1107" spans="1:37">
      <c r="A1107" s="1">
        <v>44262</v>
      </c>
      <c r="B1107" s="1">
        <v>962000382</v>
      </c>
      <c r="C1107" s="1" t="str">
        <f>"تخليه -چهارمحال بختياري -شهرستان كوهرنگ بخش بازفت سنگ شكن جنب پل شرمك كارخانه آسفالت پارساكوشان زاگرس"</f>
        <v>تخليه -چهارمحال بختياري -شهرستان كوهرنگ بخش بازفت سنگ شكن جنب پل شرمك كارخانه آسفالت پارساكوشان زاگرس</v>
      </c>
      <c r="D1107" s="1">
        <v>12820</v>
      </c>
      <c r="E1107" s="1">
        <v>44262</v>
      </c>
      <c r="F1107" s="1">
        <v>96</v>
      </c>
      <c r="G1107" s="1">
        <v>0</v>
      </c>
      <c r="H1107" s="1" t="str">
        <f>"96/09/19"</f>
        <v>96/09/19</v>
      </c>
      <c r="I1107" s="1" t="str">
        <f>"كيلوگرم"</f>
        <v>كيلوگرم</v>
      </c>
      <c r="J1107" s="1" t="str">
        <f>"0000000076"</f>
        <v>0000000076</v>
      </c>
      <c r="K1107" s="1" t="str">
        <f>"قير 60/70 - فله"</f>
        <v>قير 60/70 - فله</v>
      </c>
      <c r="L1107" s="1">
        <v>100</v>
      </c>
      <c r="M1107" s="1" t="str">
        <f>"مخازن قير اصفهان"</f>
        <v>مخازن قير اصفهان</v>
      </c>
      <c r="N1107" s="1">
        <v>10872</v>
      </c>
      <c r="O1107" s="1">
        <v>50037705</v>
      </c>
      <c r="P1107" s="1" t="str">
        <f>"  شهرداري بازفت"</f>
        <v xml:space="preserve">  شهرداري بازفت</v>
      </c>
      <c r="Q1107" s="1">
        <v>20</v>
      </c>
      <c r="R1107" s="1" t="str">
        <f>"فروش داخلي - سازمان شهرداري ها و دهياري هاي كشور"</f>
        <v>فروش داخلي - سازمان شهرداري ها و دهياري هاي كشور</v>
      </c>
      <c r="S1107" s="1" t="str">
        <f>"قرارداد فروش"</f>
        <v>قرارداد فروش</v>
      </c>
      <c r="T1107" s="1" t="str">
        <f>"ندارد"</f>
        <v>ندارد</v>
      </c>
      <c r="U1107" s="1" t="str">
        <f>"تعاوني جم گستر (1001 ج 89)"</f>
        <v>تعاوني جم گستر (1001 ج 89)</v>
      </c>
      <c r="V1107" s="1">
        <v>962000382</v>
      </c>
      <c r="W1107" s="1">
        <v>962000382</v>
      </c>
      <c r="X1107" s="1" t="str">
        <f>"1396529711"</f>
        <v>1396529711</v>
      </c>
      <c r="Y1107" s="1" t="str">
        <f>"96/09/19"</f>
        <v>96/09/19</v>
      </c>
      <c r="Z1107" s="1" t="str">
        <f>"38533مرحله دوم"</f>
        <v>38533مرحله دوم</v>
      </c>
      <c r="AA1107" s="1" t="str">
        <f>"شهرداريها"</f>
        <v>شهرداريها</v>
      </c>
      <c r="AB1107" s="1" t="str">
        <f>"96/09/11"</f>
        <v>96/09/11</v>
      </c>
      <c r="AC1107" s="1" t="str">
        <f>"استان چهارمحال بختياري"</f>
        <v>استان چهارمحال بختياري</v>
      </c>
      <c r="AD1107" s="1" t="str">
        <f>"96/09/13"</f>
        <v>96/09/13</v>
      </c>
      <c r="AE1107" s="1" t="str">
        <f>"اختتام"</f>
        <v>اختتام</v>
      </c>
      <c r="AF1107" s="1" t="str">
        <f>""</f>
        <v/>
      </c>
      <c r="AG1107" s="1" t="str">
        <f>""</f>
        <v/>
      </c>
      <c r="AH1107" s="1" t="str">
        <f>""</f>
        <v/>
      </c>
      <c r="AI1107" s="1" t="str">
        <f>""</f>
        <v/>
      </c>
      <c r="AJ1107" s="1" t="str">
        <f>""</f>
        <v/>
      </c>
      <c r="AK1107" s="1" t="str">
        <f>""</f>
        <v/>
      </c>
    </row>
    <row r="1108" spans="1:37">
      <c r="A1108" s="1">
        <v>151000</v>
      </c>
      <c r="B1108" s="1">
        <v>966200695</v>
      </c>
      <c r="C1108" s="1" t="str">
        <f>"تخليه - گيلان-لوشان-ورودي شهرک صنعتي لوشان-کارخانه آسفالت باروساز شمال"</f>
        <v>تخليه - گيلان-لوشان-ورودي شهرک صنعتي لوشان-کارخانه آسفالت باروساز شمال</v>
      </c>
      <c r="D1108" s="1">
        <v>13600</v>
      </c>
      <c r="E1108" s="1">
        <v>151000</v>
      </c>
      <c r="F1108" s="1">
        <v>96</v>
      </c>
      <c r="G1108" s="1">
        <v>0</v>
      </c>
      <c r="H1108" s="1" t="str">
        <f>"96/12/23"</f>
        <v>96/12/23</v>
      </c>
      <c r="I1108" s="1" t="str">
        <f>"كيلوگرم"</f>
        <v>كيلوگرم</v>
      </c>
      <c r="J1108" s="1" t="str">
        <f>"0000000093"</f>
        <v>0000000093</v>
      </c>
      <c r="K1108" s="1" t="str">
        <f>"قير  PG64-10"</f>
        <v>قير  PG64-10</v>
      </c>
      <c r="L1108" s="1">
        <v>100</v>
      </c>
      <c r="M1108" s="1" t="str">
        <f>"مخازن قير اصفهان"</f>
        <v>مخازن قير اصفهان</v>
      </c>
      <c r="N1108" s="1">
        <v>11460</v>
      </c>
      <c r="O1108" s="1">
        <v>50038971</v>
      </c>
      <c r="P1108" s="1" t="str">
        <f>"  بارو ساز شمال"</f>
        <v xml:space="preserve">  بارو ساز شمال</v>
      </c>
      <c r="Q1108" s="1">
        <v>62</v>
      </c>
      <c r="R1108" s="1" t="str">
        <f>"فروش داخلي - سازمان بنيادمسكن انقلاب اسلامي"</f>
        <v>فروش داخلي - سازمان بنيادمسكن انقلاب اسلامي</v>
      </c>
      <c r="S1108" s="1" t="str">
        <f>"قرارداد فروش"</f>
        <v>قرارداد فروش</v>
      </c>
      <c r="T1108" s="1" t="str">
        <f>"ندارد"</f>
        <v>ندارد</v>
      </c>
      <c r="U1108" s="1" t="str">
        <f>"قره باغي مجيد(1871065)"</f>
        <v>قره باغي مجيد(1871065)</v>
      </c>
      <c r="V1108" s="1">
        <v>966200695</v>
      </c>
      <c r="W1108" s="1">
        <v>966200695</v>
      </c>
      <c r="X1108" s="1" t="str">
        <f>"1396554555"</f>
        <v>1396554555</v>
      </c>
      <c r="Y1108" s="1" t="str">
        <f>"96/12/23"</f>
        <v>96/12/23</v>
      </c>
      <c r="Z1108" s="1" t="str">
        <f>"58825/د"</f>
        <v>58825/د</v>
      </c>
      <c r="AA1108" s="1" t="str">
        <f>"بنيادمسكن انقلاب اسلامي"</f>
        <v>بنيادمسكن انقلاب اسلامي</v>
      </c>
      <c r="AB1108" s="1" t="str">
        <f>"96/12/22"</f>
        <v>96/12/22</v>
      </c>
      <c r="AC1108" s="1" t="str">
        <f>"استان گيلان"</f>
        <v>استان گيلان</v>
      </c>
      <c r="AD1108" s="1" t="str">
        <f>"96/12/22"</f>
        <v>96/12/22</v>
      </c>
      <c r="AE1108" s="1" t="str">
        <f>"اختتام"</f>
        <v>اختتام</v>
      </c>
      <c r="AF1108" s="1" t="str">
        <f>""</f>
        <v/>
      </c>
      <c r="AG1108" s="1" t="str">
        <f>""</f>
        <v/>
      </c>
      <c r="AH1108" s="1" t="str">
        <f>""</f>
        <v/>
      </c>
      <c r="AI1108" s="1" t="str">
        <f>""</f>
        <v/>
      </c>
      <c r="AJ1108" s="1" t="str">
        <f>""</f>
        <v/>
      </c>
      <c r="AK1108" s="1" t="str">
        <f>""</f>
        <v/>
      </c>
    </row>
    <row r="1109" spans="1:37">
      <c r="A1109" s="1">
        <v>20000</v>
      </c>
      <c r="B1109" s="1">
        <v>966200622</v>
      </c>
      <c r="C1109" s="1" t="str">
        <f>"تخليه-گيلان-لاهيجان-جاده ازيرم-جنب زندان لاهيجان"</f>
        <v>تخليه-گيلان-لاهيجان-جاده ازيرم-جنب زندان لاهيجان</v>
      </c>
      <c r="D1109" s="1">
        <v>13600</v>
      </c>
      <c r="E1109" s="1">
        <v>20000</v>
      </c>
      <c r="F1109" s="1">
        <v>96</v>
      </c>
      <c r="G1109" s="1">
        <v>0</v>
      </c>
      <c r="H1109" s="1" t="str">
        <f>"96/12/09"</f>
        <v>96/12/09</v>
      </c>
      <c r="I1109" s="1" t="str">
        <f>"كيلوگرم"</f>
        <v>كيلوگرم</v>
      </c>
      <c r="J1109" s="1" t="str">
        <f>"0000000093"</f>
        <v>0000000093</v>
      </c>
      <c r="K1109" s="1" t="str">
        <f>"قير  PG64-10"</f>
        <v>قير  PG64-10</v>
      </c>
      <c r="L1109" s="1">
        <v>100</v>
      </c>
      <c r="M1109" s="1" t="str">
        <f>"مخازن قير اصفهان"</f>
        <v>مخازن قير اصفهان</v>
      </c>
      <c r="N1109" s="1">
        <v>11541</v>
      </c>
      <c r="O1109" s="1">
        <v>50038683</v>
      </c>
      <c r="P1109" s="1" t="str">
        <f>"  گيتي سازان پويا"</f>
        <v xml:space="preserve">  گيتي سازان پويا</v>
      </c>
      <c r="Q1109" s="1">
        <v>62</v>
      </c>
      <c r="R1109" s="1" t="str">
        <f>"فروش داخلي - سازمان بنيادمسكن انقلاب اسلامي"</f>
        <v>فروش داخلي - سازمان بنيادمسكن انقلاب اسلامي</v>
      </c>
      <c r="S1109" s="1" t="str">
        <f>"قرارداد فروش"</f>
        <v>قرارداد فروش</v>
      </c>
      <c r="T1109" s="1" t="str">
        <f>"ندارد"</f>
        <v>ندارد</v>
      </c>
      <c r="U1109" s="1" t="str">
        <f>"هيزچي مرتضي(1841036)"</f>
        <v>هيزچي مرتضي(1841036)</v>
      </c>
      <c r="V1109" s="1">
        <v>966200622</v>
      </c>
      <c r="W1109" s="1">
        <v>966200622</v>
      </c>
      <c r="X1109" s="1" t="str">
        <f>"1396551612"</f>
        <v>1396551612</v>
      </c>
      <c r="Y1109" s="1" t="str">
        <f>"96/12/09"</f>
        <v>96/12/09</v>
      </c>
      <c r="Z1109" s="1" t="str">
        <f>"55732/د"</f>
        <v>55732/د</v>
      </c>
      <c r="AA1109" s="1" t="str">
        <f>"بنيادمسكن انقلاب اسلامي"</f>
        <v>بنيادمسكن انقلاب اسلامي</v>
      </c>
      <c r="AB1109" s="1" t="str">
        <f>"96/12/08"</f>
        <v>96/12/08</v>
      </c>
      <c r="AC1109" s="1" t="str">
        <f>"استان گيلان"</f>
        <v>استان گيلان</v>
      </c>
      <c r="AD1109" s="1" t="str">
        <f>"96/12/09"</f>
        <v>96/12/09</v>
      </c>
      <c r="AE1109" s="1" t="str">
        <f>"اختتام"</f>
        <v>اختتام</v>
      </c>
      <c r="AF1109" s="1" t="str">
        <f>""</f>
        <v/>
      </c>
      <c r="AG1109" s="1" t="str">
        <f>""</f>
        <v/>
      </c>
      <c r="AH1109" s="1" t="str">
        <f>""</f>
        <v/>
      </c>
      <c r="AI1109" s="1" t="str">
        <f>""</f>
        <v/>
      </c>
      <c r="AJ1109" s="1" t="str">
        <f>""</f>
        <v/>
      </c>
      <c r="AK1109" s="1" t="str">
        <f>""</f>
        <v/>
      </c>
    </row>
    <row r="1110" spans="1:37">
      <c r="A1110" s="1">
        <v>536000</v>
      </c>
      <c r="B1110" s="1">
        <v>961900035</v>
      </c>
      <c r="C1110" s="1" t="str">
        <f>"تخليه -سمنان -كيلومتر55محورگرمسار-سمنان -كارگاه شركت زرين سپاهان"</f>
        <v>تخليه -سمنان -كيلومتر55محورگرمسار-سمنان -كارگاه شركت زرين سپاهان</v>
      </c>
      <c r="D1110" s="1">
        <v>9654</v>
      </c>
      <c r="E1110" s="1">
        <v>535700</v>
      </c>
      <c r="F1110" s="1">
        <v>96</v>
      </c>
      <c r="G1110" s="1">
        <v>300</v>
      </c>
      <c r="H1110" s="1" t="str">
        <f>"96/01/16"</f>
        <v>96/01/16</v>
      </c>
      <c r="I1110" s="1" t="str">
        <f>"كيلوگرم"</f>
        <v>كيلوگرم</v>
      </c>
      <c r="J1110" s="1" t="str">
        <f>"0000000094"</f>
        <v>0000000094</v>
      </c>
      <c r="K1110" s="1" t="str">
        <f>"قير  PG70-10"</f>
        <v>قير  PG70-10</v>
      </c>
      <c r="L1110" s="1">
        <v>100</v>
      </c>
      <c r="M1110" s="1" t="str">
        <f>"مخازن قير اصفهان"</f>
        <v>مخازن قير اصفهان</v>
      </c>
      <c r="N1110" s="1">
        <v>7140</v>
      </c>
      <c r="O1110" s="1">
        <v>50034414</v>
      </c>
      <c r="P1110" s="1" t="str">
        <f>"  زرين سپاهان"</f>
        <v xml:space="preserve">  زرين سپاهان</v>
      </c>
      <c r="Q1110" s="1">
        <v>19</v>
      </c>
      <c r="R111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110" s="1" t="str">
        <f>"قرارداد فروش"</f>
        <v>قرارداد فروش</v>
      </c>
      <c r="T1110" s="1" t="str">
        <f>"ندارد"</f>
        <v>ندارد</v>
      </c>
      <c r="U1110" s="1" t="str">
        <f>"دهقانيان بيژن (4954038)"</f>
        <v>دهقانيان بيژن (4954038)</v>
      </c>
      <c r="V1110" s="1">
        <v>961900035</v>
      </c>
      <c r="W1110" s="1">
        <v>961900035</v>
      </c>
      <c r="X1110" s="1" t="str">
        <f>"1395471089"</f>
        <v>1395471089</v>
      </c>
      <c r="Y1110" s="1" t="str">
        <f>"96/01/16"</f>
        <v>96/01/16</v>
      </c>
      <c r="Z1110" s="1" t="str">
        <f>"66480/710"</f>
        <v>66480/710</v>
      </c>
      <c r="AA1110" s="1" t="str">
        <f>"سازمان راهداري وحمل نقل جاده اي"</f>
        <v>سازمان راهداري وحمل نقل جاده اي</v>
      </c>
      <c r="AB1110" s="1" t="str">
        <f>"95/12/24"</f>
        <v>95/12/24</v>
      </c>
      <c r="AC1110" s="1" t="str">
        <f>"استان سمنان"</f>
        <v>استان سمنان</v>
      </c>
      <c r="AD1110" s="1" t="str">
        <f>"95/12/28"</f>
        <v>95/12/28</v>
      </c>
      <c r="AE1110" s="1" t="str">
        <f>"اختتام"</f>
        <v>اختتام</v>
      </c>
      <c r="AF1110" s="1" t="str">
        <f>""</f>
        <v/>
      </c>
      <c r="AG1110" s="1" t="str">
        <f>""</f>
        <v/>
      </c>
      <c r="AH1110" s="1" t="str">
        <f>""</f>
        <v/>
      </c>
      <c r="AI1110" s="1" t="str">
        <f>""</f>
        <v/>
      </c>
      <c r="AJ1110" s="1" t="str">
        <f>""</f>
        <v/>
      </c>
      <c r="AK1110" s="1" t="str">
        <f>""</f>
        <v/>
      </c>
    </row>
    <row r="1111" spans="1:37">
      <c r="A1111" s="1">
        <v>184000</v>
      </c>
      <c r="B1111" s="1">
        <v>961700009</v>
      </c>
      <c r="C1111" s="1" t="str">
        <f>"تخليه ايلام شهرستان پهله كارخانه آسفالت پهله"</f>
        <v>تخليه ايلام شهرستان پهله كارخانه آسفالت پهله</v>
      </c>
      <c r="D1111" s="1">
        <v>9654</v>
      </c>
      <c r="E1111" s="1">
        <v>182780</v>
      </c>
      <c r="F1111" s="1">
        <v>96</v>
      </c>
      <c r="G1111" s="1">
        <v>1220</v>
      </c>
      <c r="H1111" s="1" t="str">
        <f>"96/01/16"</f>
        <v>96/01/16</v>
      </c>
      <c r="I1111" s="1" t="str">
        <f>"كيلوگرم"</f>
        <v>كيلوگرم</v>
      </c>
      <c r="J1111" s="1" t="str">
        <f>"0000000094"</f>
        <v>0000000094</v>
      </c>
      <c r="K1111" s="1" t="str">
        <f>"قير  PG70-10"</f>
        <v>قير  PG70-10</v>
      </c>
      <c r="L1111" s="1">
        <v>100</v>
      </c>
      <c r="M1111" s="1" t="str">
        <f>"مخازن قير اصفهان"</f>
        <v>مخازن قير اصفهان</v>
      </c>
      <c r="N1111" s="1">
        <v>8353</v>
      </c>
      <c r="O1111" s="1">
        <v>50034419</v>
      </c>
      <c r="P1111" s="1" t="str">
        <f>"  اداره كل راه و شهرسازي  ايلام"</f>
        <v xml:space="preserve">  اداره كل راه و شهرسازي  ايلام</v>
      </c>
      <c r="Q1111" s="1">
        <v>17</v>
      </c>
      <c r="R1111" s="1" t="str">
        <f>"فروش داخلي تهران - وزارت راه - راه روستايي - روکش"</f>
        <v>فروش داخلي تهران - وزارت راه - راه روستايي - روکش</v>
      </c>
      <c r="S1111" s="1" t="str">
        <f>"قرارداد فروش"</f>
        <v>قرارداد فروش</v>
      </c>
      <c r="T1111" s="1" t="str">
        <f>"ندارد"</f>
        <v>ندارد</v>
      </c>
      <c r="U1111" s="1" t="str">
        <f>"عظيمي محمد(2842015)"</f>
        <v>عظيمي محمد(2842015)</v>
      </c>
      <c r="V1111" s="1">
        <v>961700009</v>
      </c>
      <c r="W1111" s="1">
        <v>961700009</v>
      </c>
      <c r="X1111" s="1" t="str">
        <f>"1395471090"</f>
        <v>1395471090</v>
      </c>
      <c r="Y1111" s="1" t="str">
        <f>"96/01/16"</f>
        <v>96/01/16</v>
      </c>
      <c r="Z1111" s="1" t="str">
        <f>"62403/710"</f>
        <v>62403/710</v>
      </c>
      <c r="AA1111" s="1" t="str">
        <f>"راه روستائي -روكش"</f>
        <v>راه روستائي -روكش</v>
      </c>
      <c r="AB1111" s="1" t="str">
        <f>"95/12/09"</f>
        <v>95/12/09</v>
      </c>
      <c r="AC1111" s="1" t="str">
        <f>"استان ايلام"</f>
        <v>استان ايلام</v>
      </c>
      <c r="AD1111" s="1" t="str">
        <f>"95/12/28"</f>
        <v>95/12/28</v>
      </c>
      <c r="AE1111" s="1" t="str">
        <f>"اختتام"</f>
        <v>اختتام</v>
      </c>
      <c r="AF1111" s="1" t="str">
        <f>""</f>
        <v/>
      </c>
      <c r="AG1111" s="1" t="str">
        <f>""</f>
        <v/>
      </c>
      <c r="AH1111" s="1" t="str">
        <f>""</f>
        <v/>
      </c>
      <c r="AI1111" s="1" t="str">
        <f>""</f>
        <v/>
      </c>
      <c r="AJ1111" s="1" t="str">
        <f>""</f>
        <v/>
      </c>
      <c r="AK1111" s="1" t="str">
        <f>""</f>
        <v/>
      </c>
    </row>
    <row r="1112" spans="1:37">
      <c r="A1112" s="1">
        <v>44000</v>
      </c>
      <c r="B1112" s="1">
        <v>961100071</v>
      </c>
      <c r="C1112" s="1" t="str">
        <f>"تخليه -كرمانشاه -5كيلومترقبل ازكرندغرب -كارخانه آسفالت شركت مهندسي تارا"</f>
        <v>تخليه -كرمانشاه -5كيلومترقبل ازكرندغرب -كارخانه آسفالت شركت مهندسي تارا</v>
      </c>
      <c r="D1112" s="1">
        <v>9663</v>
      </c>
      <c r="E1112" s="1">
        <v>42520</v>
      </c>
      <c r="F1112" s="1">
        <v>96</v>
      </c>
      <c r="G1112" s="1">
        <v>1480</v>
      </c>
      <c r="H1112" s="1" t="str">
        <f>"96/07/04"</f>
        <v>96/07/04</v>
      </c>
      <c r="I1112" s="1" t="str">
        <f>"كيلوگرم"</f>
        <v>كيلوگرم</v>
      </c>
      <c r="J1112" s="1" t="str">
        <f>"0000000094"</f>
        <v>0000000094</v>
      </c>
      <c r="K1112" s="1" t="str">
        <f>"قير  PG70-10"</f>
        <v>قير  PG70-10</v>
      </c>
      <c r="L1112" s="1">
        <v>100</v>
      </c>
      <c r="M1112" s="1" t="str">
        <f>"مخازن قير اصفهان"</f>
        <v>مخازن قير اصفهان</v>
      </c>
      <c r="N1112" s="1">
        <v>9976</v>
      </c>
      <c r="O1112" s="1">
        <v>50036254</v>
      </c>
      <c r="P1112" s="1" t="str">
        <f>"  مهندسي تارا"</f>
        <v xml:space="preserve">  مهندسي تارا</v>
      </c>
      <c r="Q1112" s="1">
        <v>11</v>
      </c>
      <c r="R1112" s="1" t="str">
        <f>"فروش داخلي تهران - بورس"</f>
        <v>فروش داخلي تهران - بورس</v>
      </c>
      <c r="S1112" s="1" t="str">
        <f>"قرارداد فروش"</f>
        <v>قرارداد فروش</v>
      </c>
      <c r="T1112" s="1" t="str">
        <f>"ندارد"</f>
        <v>ندارد</v>
      </c>
      <c r="U1112" s="1" t="str">
        <f>"فتاح زاده سيداحمد(3843011)"</f>
        <v>فتاح زاده سيداحمد(3843011)</v>
      </c>
      <c r="V1112" s="1">
        <v>961100071</v>
      </c>
      <c r="W1112" s="1">
        <v>961100071</v>
      </c>
      <c r="X1112" s="1" t="str">
        <f>"1396514731"</f>
        <v>1396514731</v>
      </c>
      <c r="Y1112" s="1" t="str">
        <f>"96/07/04"</f>
        <v>96/07/04</v>
      </c>
      <c r="Z1112" s="1" t="str">
        <f>"96-1411"</f>
        <v>96-1411</v>
      </c>
      <c r="AA1112" s="1" t="str">
        <f>"وزارت راه و ترابري-استانها"</f>
        <v>وزارت راه و ترابري-استانها</v>
      </c>
      <c r="AB1112" s="1" t="str">
        <f>"96/07/03"</f>
        <v>96/07/03</v>
      </c>
      <c r="AC1112" s="1" t="str">
        <f>"استان كرمانشاه"</f>
        <v>استان كرمانشاه</v>
      </c>
      <c r="AD1112" s="1" t="str">
        <f>"96/07/04"</f>
        <v>96/07/04</v>
      </c>
      <c r="AE1112" s="1" t="str">
        <f>"اختتام"</f>
        <v>اختتام</v>
      </c>
      <c r="AF1112" s="1" t="str">
        <f>""</f>
        <v/>
      </c>
      <c r="AG1112" s="1" t="str">
        <f>""</f>
        <v/>
      </c>
      <c r="AH1112" s="1" t="str">
        <f>""</f>
        <v/>
      </c>
      <c r="AI1112" s="1" t="str">
        <f>""</f>
        <v/>
      </c>
      <c r="AJ1112" s="1" t="str">
        <f>""</f>
        <v/>
      </c>
      <c r="AK1112" s="1" t="str">
        <f>""</f>
        <v/>
      </c>
    </row>
    <row r="1113" spans="1:37">
      <c r="A1113" s="1">
        <v>56000</v>
      </c>
      <c r="B1113" s="1">
        <v>961700187</v>
      </c>
      <c r="C1113" s="1" t="str">
        <f>"تخليه - اصفهان -کارخانه شرکت گل راه نقش جهان"</f>
        <v>تخليه - اصفهان -کارخانه شرکت گل راه نقش جهان</v>
      </c>
      <c r="D1113" s="1">
        <v>14000</v>
      </c>
      <c r="E1113" s="1">
        <v>56000</v>
      </c>
      <c r="F1113" s="1">
        <v>96</v>
      </c>
      <c r="G1113" s="1">
        <v>0</v>
      </c>
      <c r="H1113" s="1" t="str">
        <f>"96/12/22"</f>
        <v>96/12/22</v>
      </c>
      <c r="I1113" s="1" t="str">
        <f>"كيلوگرم"</f>
        <v>كيلوگرم</v>
      </c>
      <c r="J1113" s="1" t="str">
        <f>"0000000092"</f>
        <v>0000000092</v>
      </c>
      <c r="K1113" s="1" t="str">
        <f>"قير  PG64-16"</f>
        <v>قير  PG64-16</v>
      </c>
      <c r="L1113" s="1">
        <v>100</v>
      </c>
      <c r="M1113" s="1" t="str">
        <f>"مخازن قير اصفهان"</f>
        <v>مخازن قير اصفهان</v>
      </c>
      <c r="N1113" s="1">
        <v>8091</v>
      </c>
      <c r="O1113" s="1">
        <v>50038912</v>
      </c>
      <c r="P1113" s="1" t="str">
        <f>"  اداره كل راه وشهرسازي اصفهان"</f>
        <v xml:space="preserve">  اداره كل راه وشهرسازي اصفهان</v>
      </c>
      <c r="Q1113" s="1">
        <v>17</v>
      </c>
      <c r="R1113" s="1" t="str">
        <f>"فروش داخلي تهران - وزارت راه - راه روستايي - روکش"</f>
        <v>فروش داخلي تهران - وزارت راه - راه روستايي - روکش</v>
      </c>
      <c r="S1113" s="1" t="str">
        <f>"قرارداد فروش"</f>
        <v>قرارداد فروش</v>
      </c>
      <c r="T1113" s="1" t="str">
        <f>"ندارد"</f>
        <v>ندارد</v>
      </c>
      <c r="U1113" s="1" t="str">
        <f>"علي عابدي ابوالقاسم(1003ج89)"</f>
        <v>علي عابدي ابوالقاسم(1003ج89)</v>
      </c>
      <c r="V1113" s="1">
        <v>961700187</v>
      </c>
      <c r="W1113" s="1">
        <v>961700187</v>
      </c>
      <c r="X1113" s="1" t="str">
        <f>"1396553913"</f>
        <v>1396553913</v>
      </c>
      <c r="Y1113" s="1" t="str">
        <f>"96/12/22"</f>
        <v>96/12/22</v>
      </c>
      <c r="Z1113" s="1" t="str">
        <f>"284276/710"</f>
        <v>284276/710</v>
      </c>
      <c r="AA1113" s="1" t="str">
        <f>"راه روستائي -روكش"</f>
        <v>راه روستائي -روكش</v>
      </c>
      <c r="AB1113" s="1" t="str">
        <f>"96/11/18"</f>
        <v>96/11/18</v>
      </c>
      <c r="AC1113" s="1" t="str">
        <f>"استان اصفهان"</f>
        <v>استان اصفهان</v>
      </c>
      <c r="AD1113" s="1" t="str">
        <f>"96/12/20"</f>
        <v>96/12/20</v>
      </c>
      <c r="AE1113" s="1" t="str">
        <f>"اختتام"</f>
        <v>اختتام</v>
      </c>
      <c r="AF1113" s="1" t="str">
        <f>""</f>
        <v/>
      </c>
      <c r="AG1113" s="1" t="str">
        <f>""</f>
        <v/>
      </c>
      <c r="AH1113" s="1" t="str">
        <f>""</f>
        <v/>
      </c>
      <c r="AI1113" s="1" t="str">
        <f>""</f>
        <v/>
      </c>
      <c r="AJ1113" s="1" t="str">
        <f>""</f>
        <v/>
      </c>
      <c r="AK1113" s="1" t="str">
        <f>""</f>
        <v/>
      </c>
    </row>
    <row r="1114" spans="1:37">
      <c r="A1114" s="1">
        <v>30000</v>
      </c>
      <c r="B1114" s="1">
        <v>961700243</v>
      </c>
      <c r="C1114" s="1" t="str">
        <f>"تخليه -اصفهان ميمه -كارخانه آسفالت شركت خاكپي"</f>
        <v>تخليه -اصفهان ميمه -كارخانه آسفالت شركت خاكپي</v>
      </c>
      <c r="D1114" s="1">
        <v>14000</v>
      </c>
      <c r="E1114" s="1">
        <v>30000</v>
      </c>
      <c r="F1114" s="1">
        <v>96</v>
      </c>
      <c r="G1114" s="1">
        <v>0</v>
      </c>
      <c r="H1114" s="1" t="str">
        <f>"96/12/24"</f>
        <v>96/12/24</v>
      </c>
      <c r="I1114" s="1" t="str">
        <f>"كيلوگرم"</f>
        <v>كيلوگرم</v>
      </c>
      <c r="J1114" s="1" t="str">
        <f>"0000000092"</f>
        <v>0000000092</v>
      </c>
      <c r="K1114" s="1" t="str">
        <f>"قير  PG64-16"</f>
        <v>قير  PG64-16</v>
      </c>
      <c r="L1114" s="1">
        <v>100</v>
      </c>
      <c r="M1114" s="1" t="str">
        <f>"مخازن قير اصفهان"</f>
        <v>مخازن قير اصفهان</v>
      </c>
      <c r="N1114" s="1">
        <v>8091</v>
      </c>
      <c r="O1114" s="1">
        <v>50039029</v>
      </c>
      <c r="P1114" s="1" t="str">
        <f>"  اداره كل راه وشهرسازي اصفهان"</f>
        <v xml:space="preserve">  اداره كل راه وشهرسازي اصفهان</v>
      </c>
      <c r="Q1114" s="1">
        <v>17</v>
      </c>
      <c r="R1114" s="1" t="str">
        <f>"فروش داخلي تهران - وزارت راه - راه روستايي - روکش"</f>
        <v>فروش داخلي تهران - وزارت راه - راه روستايي - روکش</v>
      </c>
      <c r="S1114" s="1" t="str">
        <f>"قرارداد فروش"</f>
        <v>قرارداد فروش</v>
      </c>
      <c r="T1114" s="1" t="str">
        <f>"ندارد"</f>
        <v>ندارد</v>
      </c>
      <c r="U1114" s="1" t="str">
        <f>"ريسماني حسن(1007ج89)"</f>
        <v>ريسماني حسن(1007ج89)</v>
      </c>
      <c r="V1114" s="1">
        <v>961700243</v>
      </c>
      <c r="W1114" s="1">
        <v>961700243</v>
      </c>
      <c r="X1114" s="1" t="str">
        <f>"1396553913"</f>
        <v>1396553913</v>
      </c>
      <c r="Y1114" s="1" t="str">
        <f>"96/12/24"</f>
        <v>96/12/24</v>
      </c>
      <c r="Z1114" s="1" t="str">
        <f>"287090/710"</f>
        <v>287090/710</v>
      </c>
      <c r="AA1114" s="1" t="str">
        <f>"راه روستائي -روكش"</f>
        <v>راه روستائي -روكش</v>
      </c>
      <c r="AB1114" s="1" t="str">
        <f>"96/11/25"</f>
        <v>96/11/25</v>
      </c>
      <c r="AC1114" s="1" t="str">
        <f>"استان اصفهان"</f>
        <v>استان اصفهان</v>
      </c>
      <c r="AD1114" s="1" t="str">
        <f>"96/12/20"</f>
        <v>96/12/20</v>
      </c>
      <c r="AE1114" s="1" t="str">
        <f>"اختتام"</f>
        <v>اختتام</v>
      </c>
      <c r="AF1114" s="1" t="str">
        <f>""</f>
        <v/>
      </c>
      <c r="AG1114" s="1" t="str">
        <f>""</f>
        <v/>
      </c>
      <c r="AH1114" s="1" t="str">
        <f>""</f>
        <v/>
      </c>
      <c r="AI1114" s="1" t="str">
        <f>""</f>
        <v/>
      </c>
      <c r="AJ1114" s="1" t="str">
        <f>""</f>
        <v/>
      </c>
      <c r="AK1114" s="1" t="str">
        <f>""</f>
        <v/>
      </c>
    </row>
    <row r="1115" spans="1:37">
      <c r="A1115" s="1">
        <v>95000</v>
      </c>
      <c r="B1115" s="1">
        <v>961700244</v>
      </c>
      <c r="C1115" s="1" t="str">
        <f>"تخليه-اصفهان-شرکت افق راه ماندگار"</f>
        <v>تخليه-اصفهان-شرکت افق راه ماندگار</v>
      </c>
      <c r="D1115" s="1">
        <v>14000</v>
      </c>
      <c r="E1115" s="1">
        <v>94440</v>
      </c>
      <c r="F1115" s="1">
        <v>96</v>
      </c>
      <c r="G1115" s="1">
        <v>560</v>
      </c>
      <c r="H1115" s="1" t="str">
        <f>"96/12/24"</f>
        <v>96/12/24</v>
      </c>
      <c r="I1115" s="1" t="str">
        <f>"كيلوگرم"</f>
        <v>كيلوگرم</v>
      </c>
      <c r="J1115" s="1" t="str">
        <f>"0000000092"</f>
        <v>0000000092</v>
      </c>
      <c r="K1115" s="1" t="str">
        <f>"قير  PG64-16"</f>
        <v>قير  PG64-16</v>
      </c>
      <c r="L1115" s="1">
        <v>100</v>
      </c>
      <c r="M1115" s="1" t="str">
        <f>"مخازن قير اصفهان"</f>
        <v>مخازن قير اصفهان</v>
      </c>
      <c r="N1115" s="1">
        <v>8091</v>
      </c>
      <c r="O1115" s="1">
        <v>50039030</v>
      </c>
      <c r="P1115" s="1" t="str">
        <f>"  اداره كل راه وشهرسازي اصفهان"</f>
        <v xml:space="preserve">  اداره كل راه وشهرسازي اصفهان</v>
      </c>
      <c r="Q1115" s="1">
        <v>17</v>
      </c>
      <c r="R1115" s="1" t="str">
        <f>"فروش داخلي تهران - وزارت راه - راه روستايي - روکش"</f>
        <v>فروش داخلي تهران - وزارت راه - راه روستايي - روکش</v>
      </c>
      <c r="S1115" s="1" t="str">
        <f>"قرارداد فروش"</f>
        <v>قرارداد فروش</v>
      </c>
      <c r="T1115" s="1" t="str">
        <f>"ندارد"</f>
        <v>ندارد</v>
      </c>
      <c r="U1115" s="1" t="str">
        <f>"شهبازي محمدرضا(1029ج89)"</f>
        <v>شهبازي محمدرضا(1029ج89)</v>
      </c>
      <c r="V1115" s="1">
        <v>961700244</v>
      </c>
      <c r="W1115" s="1">
        <v>961700244</v>
      </c>
      <c r="X1115" s="1" t="str">
        <f>"1396553913"</f>
        <v>1396553913</v>
      </c>
      <c r="Y1115" s="1" t="str">
        <f>"96/12/24"</f>
        <v>96/12/24</v>
      </c>
      <c r="Z1115" s="1" t="str">
        <f>"287105/710"</f>
        <v>287105/710</v>
      </c>
      <c r="AA1115" s="1" t="str">
        <f>"راه روستائي -روكش"</f>
        <v>راه روستائي -روكش</v>
      </c>
      <c r="AB1115" s="1" t="str">
        <f>"96/11/25"</f>
        <v>96/11/25</v>
      </c>
      <c r="AC1115" s="1" t="str">
        <f>"استان اصفهان"</f>
        <v>استان اصفهان</v>
      </c>
      <c r="AD1115" s="1" t="str">
        <f>"96/12/20"</f>
        <v>96/12/20</v>
      </c>
      <c r="AE1115" s="1" t="str">
        <f>"اختتام"</f>
        <v>اختتام</v>
      </c>
      <c r="AF1115" s="1" t="str">
        <f>""</f>
        <v/>
      </c>
      <c r="AG1115" s="1" t="str">
        <f>""</f>
        <v/>
      </c>
      <c r="AH1115" s="1" t="str">
        <f>""</f>
        <v/>
      </c>
      <c r="AI1115" s="1" t="str">
        <f>""</f>
        <v/>
      </c>
      <c r="AJ1115" s="1" t="str">
        <f>""</f>
        <v/>
      </c>
      <c r="AK1115" s="1" t="str">
        <f>""</f>
        <v/>
      </c>
    </row>
    <row r="1116" spans="1:37">
      <c r="A1116" s="1">
        <v>110000</v>
      </c>
      <c r="B1116" s="1">
        <v>961700245</v>
      </c>
      <c r="C1116" s="1" t="str">
        <f>"تخليه-اصفهان-شرکت افق راه ماندگار"</f>
        <v>تخليه-اصفهان-شرکت افق راه ماندگار</v>
      </c>
      <c r="D1116" s="1">
        <v>13100</v>
      </c>
      <c r="E1116" s="1">
        <v>110000</v>
      </c>
      <c r="F1116" s="1">
        <v>96</v>
      </c>
      <c r="G1116" s="1">
        <v>0</v>
      </c>
      <c r="H1116" s="1" t="str">
        <f>"96/12/24"</f>
        <v>96/12/24</v>
      </c>
      <c r="I1116" s="1" t="str">
        <f>"كيلوگرم"</f>
        <v>كيلوگرم</v>
      </c>
      <c r="J1116" s="1" t="str">
        <f>"0000000092"</f>
        <v>0000000092</v>
      </c>
      <c r="K1116" s="1" t="str">
        <f>"قير  PG64-16"</f>
        <v>قير  PG64-16</v>
      </c>
      <c r="L1116" s="1">
        <v>100</v>
      </c>
      <c r="M1116" s="1" t="str">
        <f>"مخازن قير اصفهان"</f>
        <v>مخازن قير اصفهان</v>
      </c>
      <c r="N1116" s="1">
        <v>8091</v>
      </c>
      <c r="O1116" s="1">
        <v>50039031</v>
      </c>
      <c r="P1116" s="1" t="str">
        <f>"  اداره كل راه وشهرسازي اصفهان"</f>
        <v xml:space="preserve">  اداره كل راه وشهرسازي اصفهان</v>
      </c>
      <c r="Q1116" s="1">
        <v>17</v>
      </c>
      <c r="R1116" s="1" t="str">
        <f>"فروش داخلي تهران - وزارت راه - راه روستايي - روکش"</f>
        <v>فروش داخلي تهران - وزارت راه - راه روستايي - روکش</v>
      </c>
      <c r="S1116" s="1" t="str">
        <f>"قرارداد فروش"</f>
        <v>قرارداد فروش</v>
      </c>
      <c r="T1116" s="1" t="str">
        <f>"ندارد"</f>
        <v>ندارد</v>
      </c>
      <c r="U1116" s="1" t="str">
        <f>"عزيزي صفر(1006ج 89)"</f>
        <v>عزيزي صفر(1006ج 89)</v>
      </c>
      <c r="V1116" s="1">
        <v>961700245</v>
      </c>
      <c r="W1116" s="1">
        <v>961700245</v>
      </c>
      <c r="X1116" s="1" t="str">
        <f>"1396553913"</f>
        <v>1396553913</v>
      </c>
      <c r="Y1116" s="1" t="str">
        <f>"96/12/24"</f>
        <v>96/12/24</v>
      </c>
      <c r="Z1116" s="1" t="str">
        <f>"287099/710"</f>
        <v>287099/710</v>
      </c>
      <c r="AA1116" s="1" t="str">
        <f>"راه روستائي -روكش"</f>
        <v>راه روستائي -روكش</v>
      </c>
      <c r="AB1116" s="1" t="str">
        <f>"96/11/25"</f>
        <v>96/11/25</v>
      </c>
      <c r="AC1116" s="1" t="str">
        <f>"استان اصفهان"</f>
        <v>استان اصفهان</v>
      </c>
      <c r="AD1116" s="1" t="str">
        <f>"96/12/20"</f>
        <v>96/12/20</v>
      </c>
      <c r="AE1116" s="1" t="str">
        <f>"اختتام"</f>
        <v>اختتام</v>
      </c>
      <c r="AF1116" s="1" t="str">
        <f>""</f>
        <v/>
      </c>
      <c r="AG1116" s="1" t="str">
        <f>""</f>
        <v/>
      </c>
      <c r="AH1116" s="1" t="str">
        <f>""</f>
        <v/>
      </c>
      <c r="AI1116" s="1" t="str">
        <f>""</f>
        <v/>
      </c>
      <c r="AJ1116" s="1" t="str">
        <f>""</f>
        <v/>
      </c>
      <c r="AK1116" s="1" t="str">
        <f>""</f>
        <v/>
      </c>
    </row>
    <row r="1117" spans="1:37">
      <c r="A1117" s="1">
        <v>100000</v>
      </c>
      <c r="B1117" s="1">
        <v>961700248</v>
      </c>
      <c r="C1117" s="1" t="str">
        <f>"تخليه - اصفهان- کارخانه آسفالت زينبيه"</f>
        <v>تخليه - اصفهان- کارخانه آسفالت زينبيه</v>
      </c>
      <c r="D1117" s="1">
        <v>14000</v>
      </c>
      <c r="E1117" s="1">
        <v>99380</v>
      </c>
      <c r="F1117" s="1">
        <v>96</v>
      </c>
      <c r="G1117" s="1">
        <v>620</v>
      </c>
      <c r="H1117" s="1" t="str">
        <f>"96/12/26"</f>
        <v>96/12/26</v>
      </c>
      <c r="I1117" s="1" t="str">
        <f>"كيلوگرم"</f>
        <v>كيلوگرم</v>
      </c>
      <c r="J1117" s="1" t="str">
        <f>"0000000092"</f>
        <v>0000000092</v>
      </c>
      <c r="K1117" s="1" t="str">
        <f>"قير  PG64-16"</f>
        <v>قير  PG64-16</v>
      </c>
      <c r="L1117" s="1">
        <v>100</v>
      </c>
      <c r="M1117" s="1" t="str">
        <f>"مخازن قير اصفهان"</f>
        <v>مخازن قير اصفهان</v>
      </c>
      <c r="N1117" s="1">
        <v>8091</v>
      </c>
      <c r="O1117" s="1">
        <v>50039045</v>
      </c>
      <c r="P1117" s="1" t="str">
        <f>"  اداره كل راه وشهرسازي اصفهان"</f>
        <v xml:space="preserve">  اداره كل راه وشهرسازي اصفهان</v>
      </c>
      <c r="Q1117" s="1">
        <v>17</v>
      </c>
      <c r="R1117" s="1" t="str">
        <f>"فروش داخلي تهران - وزارت راه - راه روستايي - روکش"</f>
        <v>فروش داخلي تهران - وزارت راه - راه روستايي - روکش</v>
      </c>
      <c r="S1117" s="1" t="str">
        <f>"قرارداد فروش"</f>
        <v>قرارداد فروش</v>
      </c>
      <c r="T1117" s="1" t="str">
        <f>"ندارد"</f>
        <v>ندارد</v>
      </c>
      <c r="U1117" s="1" t="str">
        <f>"شهبازي محمدرضا(1029ج89)"</f>
        <v>شهبازي محمدرضا(1029ج89)</v>
      </c>
      <c r="V1117" s="1">
        <v>961700248</v>
      </c>
      <c r="W1117" s="1">
        <v>961700248</v>
      </c>
      <c r="X1117" s="1" t="str">
        <f>"1396553913"</f>
        <v>1396553913</v>
      </c>
      <c r="Y1117" s="1" t="str">
        <f>"96/12/26"</f>
        <v>96/12/26</v>
      </c>
      <c r="Z1117" s="1" t="str">
        <f>"286933/710"</f>
        <v>286933/710</v>
      </c>
      <c r="AA1117" s="1" t="str">
        <f>"راه روستائي -روكش"</f>
        <v>راه روستائي -روكش</v>
      </c>
      <c r="AB1117" s="1" t="str">
        <f>"96/11/25"</f>
        <v>96/11/25</v>
      </c>
      <c r="AC1117" s="1" t="str">
        <f>"استان اصفهان"</f>
        <v>استان اصفهان</v>
      </c>
      <c r="AD1117" s="1" t="str">
        <f>"96/12/20"</f>
        <v>96/12/20</v>
      </c>
      <c r="AE1117" s="1" t="str">
        <f>"اختتام"</f>
        <v>اختتام</v>
      </c>
      <c r="AF1117" s="1" t="str">
        <f>""</f>
        <v/>
      </c>
      <c r="AG1117" s="1" t="str">
        <f>""</f>
        <v/>
      </c>
      <c r="AH1117" s="1" t="str">
        <f>""</f>
        <v/>
      </c>
      <c r="AI1117" s="1" t="str">
        <f>""</f>
        <v/>
      </c>
      <c r="AJ1117" s="1" t="str">
        <f>""</f>
        <v/>
      </c>
      <c r="AK1117" s="1" t="str">
        <f>""</f>
        <v/>
      </c>
    </row>
    <row r="1118" spans="1:37">
      <c r="A1118" s="1">
        <v>70000</v>
      </c>
      <c r="B1118" s="1">
        <v>961700055</v>
      </c>
      <c r="C1118" s="1" t="str">
        <f>"تخليه -ايلام -كيلومتر60محورايلام -دره شهرمخازن قيرشركت ايلام راه بان"</f>
        <v>تخليه -ايلام -كيلومتر60محورايلام -دره شهرمخازن قيرشركت ايلام راه بان</v>
      </c>
      <c r="D1118" s="1">
        <v>9363</v>
      </c>
      <c r="E1118" s="1">
        <v>69240</v>
      </c>
      <c r="F1118" s="1">
        <v>96</v>
      </c>
      <c r="G1118" s="1">
        <v>760</v>
      </c>
      <c r="H1118" s="1" t="str">
        <f>"96/05/23"</f>
        <v>96/05/23</v>
      </c>
      <c r="I1118" s="1" t="str">
        <f>"كيلوگرم"</f>
        <v>كيلوگرم</v>
      </c>
      <c r="J1118" s="1" t="str">
        <f>"0000000092"</f>
        <v>0000000092</v>
      </c>
      <c r="K1118" s="1" t="str">
        <f>"قير  PG64-16"</f>
        <v>قير  PG64-16</v>
      </c>
      <c r="L1118" s="1">
        <v>100</v>
      </c>
      <c r="M1118" s="1" t="str">
        <f>"مخازن قير اصفهان"</f>
        <v>مخازن قير اصفهان</v>
      </c>
      <c r="N1118" s="1">
        <v>9296</v>
      </c>
      <c r="O1118" s="1">
        <v>50035648</v>
      </c>
      <c r="P1118" s="1" t="str">
        <f>"  ايلام راه بان"</f>
        <v xml:space="preserve">  ايلام راه بان</v>
      </c>
      <c r="Q1118" s="1">
        <v>17</v>
      </c>
      <c r="R1118" s="1" t="str">
        <f>"فروش داخلي تهران - وزارت راه - راه روستايي - روکش"</f>
        <v>فروش داخلي تهران - وزارت راه - راه روستايي - روکش</v>
      </c>
      <c r="S1118" s="1" t="str">
        <f>"قرارداد فروش"</f>
        <v>قرارداد فروش</v>
      </c>
      <c r="T1118" s="1" t="str">
        <f>"ندارد"</f>
        <v>ندارد</v>
      </c>
      <c r="U1118" s="1" t="str">
        <f>"عظيمي محمد(2842015)"</f>
        <v>عظيمي محمد(2842015)</v>
      </c>
      <c r="V1118" s="1">
        <v>961700055</v>
      </c>
      <c r="W1118" s="1">
        <v>961700055</v>
      </c>
      <c r="X1118" s="1" t="str">
        <f>"1396505085"</f>
        <v>1396505085</v>
      </c>
      <c r="Y1118" s="1" t="str">
        <f>"96/05/23"</f>
        <v>96/05/23</v>
      </c>
      <c r="Z1118" s="1" t="str">
        <f>"23703/710"</f>
        <v>23703/710</v>
      </c>
      <c r="AA1118" s="1" t="str">
        <f>"راه روستائي -روكش"</f>
        <v>راه روستائي -روكش</v>
      </c>
      <c r="AB1118" s="1" t="str">
        <f>"96/05/18"</f>
        <v>96/05/18</v>
      </c>
      <c r="AC1118" s="1" t="str">
        <f>"استان ايلام"</f>
        <v>استان ايلام</v>
      </c>
      <c r="AD1118" s="1" t="str">
        <f>"96/05/23"</f>
        <v>96/05/23</v>
      </c>
      <c r="AE1118" s="1" t="str">
        <f>"اختتام"</f>
        <v>اختتام</v>
      </c>
      <c r="AF1118" s="1" t="str">
        <f>""</f>
        <v/>
      </c>
      <c r="AG1118" s="1" t="str">
        <f>""</f>
        <v/>
      </c>
      <c r="AH1118" s="1" t="str">
        <f>""</f>
        <v/>
      </c>
      <c r="AI1118" s="1" t="str">
        <f>""</f>
        <v/>
      </c>
      <c r="AJ1118" s="1" t="str">
        <f>""</f>
        <v/>
      </c>
      <c r="AK1118" s="1" t="str">
        <f>""</f>
        <v/>
      </c>
    </row>
    <row r="1119" spans="1:37">
      <c r="A1119" s="1">
        <v>129000</v>
      </c>
      <c r="B1119" s="1">
        <v>966200198</v>
      </c>
      <c r="C1119" s="1" t="str">
        <f>"تخليه-ايلام-جاده ايلام-بدره-کارخانه آسفالت شرکت ايلام راهبان"</f>
        <v>تخليه-ايلام-جاده ايلام-بدره-کارخانه آسفالت شرکت ايلام راهبان</v>
      </c>
      <c r="D1119" s="1">
        <v>8904</v>
      </c>
      <c r="E1119" s="1">
        <v>128500</v>
      </c>
      <c r="F1119" s="1">
        <v>96</v>
      </c>
      <c r="G1119" s="1">
        <v>500</v>
      </c>
      <c r="H1119" s="1" t="str">
        <f>"96/05/25"</f>
        <v>96/05/25</v>
      </c>
      <c r="I1119" s="1" t="str">
        <f>"كيلوگرم"</f>
        <v>كيلوگرم</v>
      </c>
      <c r="J1119" s="1" t="str">
        <f>"0000000092"</f>
        <v>0000000092</v>
      </c>
      <c r="K1119" s="1" t="str">
        <f>"قير  PG64-16"</f>
        <v>قير  PG64-16</v>
      </c>
      <c r="L1119" s="1">
        <v>100</v>
      </c>
      <c r="M1119" s="1" t="str">
        <f>"مخازن قير اصفهان"</f>
        <v>مخازن قير اصفهان</v>
      </c>
      <c r="N1119" s="1">
        <v>9296</v>
      </c>
      <c r="O1119" s="1">
        <v>50035688</v>
      </c>
      <c r="P1119" s="1" t="str">
        <f>"  ايلام راه بان"</f>
        <v xml:space="preserve">  ايلام راه بان</v>
      </c>
      <c r="Q1119" s="1">
        <v>62</v>
      </c>
      <c r="R1119" s="1" t="str">
        <f>"فروش داخلي - سازمان بنيادمسكن انقلاب اسلامي"</f>
        <v>فروش داخلي - سازمان بنيادمسكن انقلاب اسلامي</v>
      </c>
      <c r="S1119" s="1" t="str">
        <f>"قرارداد فروش"</f>
        <v>قرارداد فروش</v>
      </c>
      <c r="T1119" s="1" t="str">
        <f>"ندارد"</f>
        <v>ندارد</v>
      </c>
      <c r="U1119" s="1" t="str">
        <f>"عظيمي محمد(2842015)"</f>
        <v>عظيمي محمد(2842015)</v>
      </c>
      <c r="V1119" s="1">
        <v>966200198</v>
      </c>
      <c r="W1119" s="1">
        <v>966200198</v>
      </c>
      <c r="X1119" s="1" t="str">
        <f>"1396506153"</f>
        <v>1396506153</v>
      </c>
      <c r="Y1119" s="1" t="str">
        <f>"96/05/25"</f>
        <v>96/05/25</v>
      </c>
      <c r="Z1119" s="1" t="str">
        <f>"22064/د"</f>
        <v>22064/د</v>
      </c>
      <c r="AA1119" s="1" t="str">
        <f>"بنيادمسكن انقلاب اسلامي"</f>
        <v>بنيادمسكن انقلاب اسلامي</v>
      </c>
      <c r="AB1119" s="1" t="str">
        <f>"96/05/24"</f>
        <v>96/05/24</v>
      </c>
      <c r="AC1119" s="1" t="str">
        <f>"استان ايلام"</f>
        <v>استان ايلام</v>
      </c>
      <c r="AD1119" s="1" t="str">
        <f>"96/05/25"</f>
        <v>96/05/25</v>
      </c>
      <c r="AE1119" s="1" t="str">
        <f>"اختتام"</f>
        <v>اختتام</v>
      </c>
      <c r="AF1119" s="1" t="str">
        <f>""</f>
        <v/>
      </c>
      <c r="AG1119" s="1" t="str">
        <f>""</f>
        <v/>
      </c>
      <c r="AH1119" s="1" t="str">
        <f>""</f>
        <v/>
      </c>
      <c r="AI1119" s="1" t="str">
        <f>""</f>
        <v/>
      </c>
      <c r="AJ1119" s="1" t="str">
        <f>""</f>
        <v/>
      </c>
      <c r="AK1119" s="1" t="str">
        <f>""</f>
        <v/>
      </c>
    </row>
    <row r="1120" spans="1:37">
      <c r="A1120" s="1">
        <v>43066</v>
      </c>
      <c r="B1120" s="1">
        <v>962000343</v>
      </c>
      <c r="C1120" s="1" t="str">
        <f>"تخليه كرمان كيلومتر15جاده كرمان زرندكارخانه آسفالت نژادحسيني"</f>
        <v>تخليه كرمان كيلومتر15جاده كرمان زرندكارخانه آسفالت نژادحسيني</v>
      </c>
      <c r="D1120" s="1">
        <v>12820</v>
      </c>
      <c r="E1120" s="1">
        <v>43066</v>
      </c>
      <c r="F1120" s="1">
        <v>96</v>
      </c>
      <c r="G1120" s="1">
        <v>0</v>
      </c>
      <c r="H1120" s="1" t="str">
        <f>"96/09/18"</f>
        <v>96/09/18</v>
      </c>
      <c r="I1120" s="1" t="str">
        <f>"كيلوگرم"</f>
        <v>كيلوگرم</v>
      </c>
      <c r="J1120" s="1" t="str">
        <f>"0000000076"</f>
        <v>0000000076</v>
      </c>
      <c r="K1120" s="1" t="str">
        <f>"قير 60/70 - فله"</f>
        <v>قير 60/70 - فله</v>
      </c>
      <c r="L1120" s="1">
        <v>100</v>
      </c>
      <c r="M1120" s="1" t="str">
        <f>"مخازن قير اصفهان"</f>
        <v>مخازن قير اصفهان</v>
      </c>
      <c r="N1120" s="1">
        <v>10908</v>
      </c>
      <c r="O1120" s="1">
        <v>50037597</v>
      </c>
      <c r="P1120" s="1" t="str">
        <f>"  شهرداري هجدك"</f>
        <v xml:space="preserve">  شهرداري هجدك</v>
      </c>
      <c r="Q1120" s="1">
        <v>20</v>
      </c>
      <c r="R1120" s="1" t="str">
        <f>"فروش داخلي - سازمان شهرداري ها و دهياري هاي كشور"</f>
        <v>فروش داخلي - سازمان شهرداري ها و دهياري هاي كشور</v>
      </c>
      <c r="S1120" s="1" t="str">
        <f>"قرارداد فروش"</f>
        <v>قرارداد فروش</v>
      </c>
      <c r="T1120" s="1" t="str">
        <f>"ندارد"</f>
        <v>ندارد</v>
      </c>
      <c r="U1120" s="1" t="str">
        <f>"تعاوني جم گستر (1001 ج 89)"</f>
        <v>تعاوني جم گستر (1001 ج 89)</v>
      </c>
      <c r="V1120" s="1">
        <v>962000343</v>
      </c>
      <c r="W1120" s="1">
        <v>962000343</v>
      </c>
      <c r="X1120" s="1" t="str">
        <f>"1396529711"</f>
        <v>1396529711</v>
      </c>
      <c r="Y1120" s="1" t="str">
        <f>"96/09/18"</f>
        <v>96/09/18</v>
      </c>
      <c r="Z1120" s="1" t="str">
        <f>"38581مرحله دوم"</f>
        <v>38581مرحله دوم</v>
      </c>
      <c r="AA1120" s="1" t="str">
        <f>"شهرداريها"</f>
        <v>شهرداريها</v>
      </c>
      <c r="AB1120" s="1" t="str">
        <f>"96/09/11"</f>
        <v>96/09/11</v>
      </c>
      <c r="AC1120" s="1" t="str">
        <f>"استان كرمان"</f>
        <v>استان كرمان</v>
      </c>
      <c r="AD1120" s="1" t="str">
        <f>"96/09/13"</f>
        <v>96/09/13</v>
      </c>
      <c r="AE1120" s="1" t="str">
        <f>"تاييدشده"</f>
        <v>تاييدشده</v>
      </c>
      <c r="AF1120" s="1" t="str">
        <f>""</f>
        <v/>
      </c>
      <c r="AG1120" s="1" t="str">
        <f>""</f>
        <v/>
      </c>
      <c r="AH1120" s="1" t="str">
        <f>""</f>
        <v/>
      </c>
      <c r="AI1120" s="1" t="str">
        <f>""</f>
        <v/>
      </c>
      <c r="AJ1120" s="1" t="str">
        <f>""</f>
        <v/>
      </c>
      <c r="AK1120" s="1" t="str">
        <f>""</f>
        <v/>
      </c>
    </row>
    <row r="1121" spans="1:37">
      <c r="A1121" s="1">
        <v>51222</v>
      </c>
      <c r="B1121" s="1">
        <v>962000415</v>
      </c>
      <c r="C1121" s="1" t="str">
        <f>"تخليه اصفهان جاده حبيب آبادجاده آجرشالباف كارخانه آسفالت زينبيه"</f>
        <v>تخليه اصفهان جاده حبيب آبادجاده آجرشالباف كارخانه آسفالت زينبيه</v>
      </c>
      <c r="D1121" s="1">
        <v>12820</v>
      </c>
      <c r="E1121" s="1">
        <v>51222</v>
      </c>
      <c r="F1121" s="1">
        <v>96</v>
      </c>
      <c r="G1121" s="1">
        <v>0</v>
      </c>
      <c r="H1121" s="1" t="str">
        <f>"96/09/20"</f>
        <v>96/09/20</v>
      </c>
      <c r="I1121" s="1" t="str">
        <f>"كيلوگرم"</f>
        <v>كيلوگرم</v>
      </c>
      <c r="J1121" s="1" t="str">
        <f>"0000000076"</f>
        <v>0000000076</v>
      </c>
      <c r="K1121" s="1" t="str">
        <f>"قير 60/70 - فله"</f>
        <v>قير 60/70 - فله</v>
      </c>
      <c r="L1121" s="1">
        <v>100</v>
      </c>
      <c r="M1121" s="1" t="str">
        <f>"مخازن قير اصفهان"</f>
        <v>مخازن قير اصفهان</v>
      </c>
      <c r="N1121" s="1">
        <v>10958</v>
      </c>
      <c r="O1121" s="1">
        <v>50037728</v>
      </c>
      <c r="P1121" s="1" t="str">
        <f>"  شهرداري دولت آباد اصفهان"</f>
        <v xml:space="preserve">  شهرداري دولت آباد اصفهان</v>
      </c>
      <c r="Q1121" s="1">
        <v>20</v>
      </c>
      <c r="R1121" s="1" t="str">
        <f>"فروش داخلي - سازمان شهرداري ها و دهياري هاي كشور"</f>
        <v>فروش داخلي - سازمان شهرداري ها و دهياري هاي كشور</v>
      </c>
      <c r="S1121" s="1" t="str">
        <f>"قرارداد فروش"</f>
        <v>قرارداد فروش</v>
      </c>
      <c r="T1121" s="1" t="str">
        <f>"ندارد"</f>
        <v>ندارد</v>
      </c>
      <c r="U1121" s="1" t="str">
        <f>"تعاوني جم گستر (1001 ج 89)"</f>
        <v>تعاوني جم گستر (1001 ج 89)</v>
      </c>
      <c r="V1121" s="1">
        <v>962000415</v>
      </c>
      <c r="W1121" s="1">
        <v>962000415</v>
      </c>
      <c r="X1121" s="1" t="str">
        <f>"1396529711"</f>
        <v>1396529711</v>
      </c>
      <c r="Y1121" s="1" t="str">
        <f>"96/09/20"</f>
        <v>96/09/20</v>
      </c>
      <c r="Z1121" s="1" t="str">
        <f>"37136مرحله دوم"</f>
        <v>37136مرحله دوم</v>
      </c>
      <c r="AA1121" s="1" t="str">
        <f>"شهرداريها"</f>
        <v>شهرداريها</v>
      </c>
      <c r="AB1121" s="1" t="str">
        <f>"96/09/05"</f>
        <v>96/09/05</v>
      </c>
      <c r="AC1121" s="1" t="str">
        <f>"استان اصفهان"</f>
        <v>استان اصفهان</v>
      </c>
      <c r="AD1121" s="1" t="str">
        <f>"96/09/13"</f>
        <v>96/09/13</v>
      </c>
      <c r="AE1121" s="1" t="str">
        <f>"اختتام"</f>
        <v>اختتام</v>
      </c>
      <c r="AF1121" s="1" t="str">
        <f>""</f>
        <v/>
      </c>
      <c r="AG1121" s="1" t="str">
        <f>""</f>
        <v/>
      </c>
      <c r="AH1121" s="1" t="str">
        <f>""</f>
        <v/>
      </c>
      <c r="AI1121" s="1" t="str">
        <f>""</f>
        <v/>
      </c>
      <c r="AJ1121" s="1" t="str">
        <f>""</f>
        <v/>
      </c>
      <c r="AK1121" s="1" t="str">
        <f>""</f>
        <v/>
      </c>
    </row>
    <row r="1122" spans="1:37">
      <c r="A1122" s="1">
        <v>92000</v>
      </c>
      <c r="B1122" s="1">
        <v>966200008</v>
      </c>
      <c r="C1122" s="1" t="str">
        <f>"تخليه - کرمانشاه - سرپل ذهاب - دشت ذهاب - روستاي گرده نو-کارخانه آسفالت قدس"</f>
        <v>تخليه - کرمانشاه - سرپل ذهاب - دشت ذهاب - روستاي گرده نو-کارخانه آسفالت قدس</v>
      </c>
      <c r="D1122" s="1">
        <v>8198</v>
      </c>
      <c r="E1122" s="1">
        <v>92000</v>
      </c>
      <c r="F1122" s="1">
        <v>96</v>
      </c>
      <c r="G1122" s="1">
        <v>0</v>
      </c>
      <c r="H1122" s="1" t="str">
        <f>"96/01/21"</f>
        <v>96/01/21</v>
      </c>
      <c r="I1122" s="1" t="str">
        <f>"كيلوگرم"</f>
        <v>كيلوگرم</v>
      </c>
      <c r="J1122" s="1" t="str">
        <f>"0000000076"</f>
        <v>0000000076</v>
      </c>
      <c r="K1122" s="1" t="str">
        <f>"قير 60/70 - فله"</f>
        <v>قير 60/70 - فله</v>
      </c>
      <c r="L1122" s="1">
        <v>100</v>
      </c>
      <c r="M1122" s="1" t="str">
        <f>"مخازن قير اصفهان"</f>
        <v>مخازن قير اصفهان</v>
      </c>
      <c r="N1122" s="1">
        <v>10976</v>
      </c>
      <c r="O1122" s="1">
        <v>50034468</v>
      </c>
      <c r="P1122" s="1" t="str">
        <f>"  پي سازان كلهرزاگرس"</f>
        <v xml:space="preserve">  پي سازان كلهرزاگرس</v>
      </c>
      <c r="Q1122" s="1">
        <v>62</v>
      </c>
      <c r="R1122" s="1" t="str">
        <f>"فروش داخلي - سازمان بنيادمسكن انقلاب اسلامي"</f>
        <v>فروش داخلي - سازمان بنيادمسكن انقلاب اسلامي</v>
      </c>
      <c r="S1122" s="1" t="str">
        <f>"قرارداد فروش"</f>
        <v>قرارداد فروش</v>
      </c>
      <c r="T1122" s="1" t="str">
        <f>"ندارد"</f>
        <v>ندارد</v>
      </c>
      <c r="U1122" s="1" t="str">
        <f>"حاجيلوئي علي اصغر(2842019)"</f>
        <v>حاجيلوئي علي اصغر(2842019)</v>
      </c>
      <c r="V1122" s="1">
        <v>966200008</v>
      </c>
      <c r="W1122" s="1">
        <v>966200008</v>
      </c>
      <c r="X1122" s="1" t="str">
        <f>"1396472723"</f>
        <v>1396472723</v>
      </c>
      <c r="Y1122" s="1" t="str">
        <f>"96/01/21"</f>
        <v>96/01/21</v>
      </c>
      <c r="Z1122" s="1" t="str">
        <f>"994/د"</f>
        <v>994/د</v>
      </c>
      <c r="AA1122" s="1" t="str">
        <f>"بنيادمسكن انقلاب اسلامي"</f>
        <v>بنيادمسكن انقلاب اسلامي</v>
      </c>
      <c r="AB1122" s="1" t="str">
        <f>"96/01/19"</f>
        <v>96/01/19</v>
      </c>
      <c r="AC1122" s="1" t="str">
        <f>"استان كرمانشاه"</f>
        <v>استان كرمانشاه</v>
      </c>
      <c r="AD1122" s="1" t="str">
        <f>"96/01/20"</f>
        <v>96/01/20</v>
      </c>
      <c r="AE1122" s="1" t="str">
        <f>"اختتام"</f>
        <v>اختتام</v>
      </c>
      <c r="AF1122" s="1" t="str">
        <f>""</f>
        <v/>
      </c>
      <c r="AG1122" s="1" t="str">
        <f>""</f>
        <v/>
      </c>
      <c r="AH1122" s="1" t="str">
        <f>""</f>
        <v/>
      </c>
      <c r="AI1122" s="1" t="str">
        <f>""</f>
        <v/>
      </c>
      <c r="AJ1122" s="1" t="str">
        <f>""</f>
        <v/>
      </c>
      <c r="AK1122" s="1" t="str">
        <f>""</f>
        <v/>
      </c>
    </row>
    <row r="1123" spans="1:37">
      <c r="A1123" s="1">
        <v>113000</v>
      </c>
      <c r="B1123" s="1">
        <v>961700176</v>
      </c>
      <c r="C1123" s="1" t="str">
        <f>"تخليه - کرمان -رودبارجنوب کيلومتر 40 جاده اسلام آباد به سمت زهکلوت كارخانه آسفالت شركت برج راه كهنوج"</f>
        <v>تخليه - کرمان -رودبارجنوب کيلومتر 40 جاده اسلام آباد به سمت زهکلوت كارخانه آسفالت شركت برج راه كهنوج</v>
      </c>
      <c r="D1123" s="1">
        <v>13500</v>
      </c>
      <c r="E1123" s="1">
        <v>111540</v>
      </c>
      <c r="F1123" s="1">
        <v>96</v>
      </c>
      <c r="G1123" s="1">
        <v>1460</v>
      </c>
      <c r="H1123" s="1" t="str">
        <f>"96/12/16"</f>
        <v>96/12/16</v>
      </c>
      <c r="I1123" s="1" t="str">
        <f>"كيلوگرم"</f>
        <v>كيلوگرم</v>
      </c>
      <c r="J1123" s="1" t="str">
        <f>"0000000094"</f>
        <v>0000000094</v>
      </c>
      <c r="K1123" s="1" t="str">
        <f>"قير  PG70-10"</f>
        <v>قير  PG70-10</v>
      </c>
      <c r="L1123" s="1">
        <v>100</v>
      </c>
      <c r="M1123" s="1" t="str">
        <f>"مخازن قير اصفهان"</f>
        <v>مخازن قير اصفهان</v>
      </c>
      <c r="N1123" s="1">
        <v>10351</v>
      </c>
      <c r="O1123" s="1">
        <v>50038834</v>
      </c>
      <c r="P1123" s="1" t="str">
        <f>"   برج راه کهنوج"</f>
        <v xml:space="preserve">   برج راه کهنوج</v>
      </c>
      <c r="Q1123" s="1">
        <v>17</v>
      </c>
      <c r="R1123" s="1" t="str">
        <f>"فروش داخلي تهران - وزارت راه - راه روستايي - روکش"</f>
        <v>فروش داخلي تهران - وزارت راه - راه روستايي - روکش</v>
      </c>
      <c r="S1123" s="1" t="str">
        <f>"قرارداد فروش"</f>
        <v>قرارداد فروش</v>
      </c>
      <c r="T1123" s="1" t="str">
        <f>"ندارد"</f>
        <v>ندارد</v>
      </c>
      <c r="U1123" s="1" t="str">
        <f>"حاصليان ترابرجنوب مرتضي حاصلي (4844006)"</f>
        <v>حاصليان ترابرجنوب مرتضي حاصلي (4844006)</v>
      </c>
      <c r="V1123" s="1">
        <v>961700176</v>
      </c>
      <c r="W1123" s="1">
        <v>961700176</v>
      </c>
      <c r="X1123" s="1" t="str">
        <f>"1396553444"</f>
        <v>1396553444</v>
      </c>
      <c r="Y1123" s="1" t="str">
        <f>"96/12/16"</f>
        <v>96/12/16</v>
      </c>
      <c r="Z1123" s="1" t="str">
        <f>"295722/710"</f>
        <v>295722/710</v>
      </c>
      <c r="AA1123" s="1" t="str">
        <f>"راه روستائي -روكش"</f>
        <v>راه روستائي -روكش</v>
      </c>
      <c r="AB1123" s="1" t="str">
        <f>"96/12/14"</f>
        <v>96/12/14</v>
      </c>
      <c r="AC1123" s="1" t="str">
        <f>"جنوب کرمان"</f>
        <v>جنوب کرمان</v>
      </c>
      <c r="AD1123" s="1" t="str">
        <f>"96/12/16"</f>
        <v>96/12/16</v>
      </c>
      <c r="AE1123" s="1" t="str">
        <f>"اختتام"</f>
        <v>اختتام</v>
      </c>
      <c r="AF1123" s="1" t="str">
        <f>""</f>
        <v/>
      </c>
      <c r="AG1123" s="1" t="str">
        <f>""</f>
        <v/>
      </c>
      <c r="AH1123" s="1" t="str">
        <f>""</f>
        <v/>
      </c>
      <c r="AI1123" s="1" t="str">
        <f>""</f>
        <v/>
      </c>
      <c r="AJ1123" s="1" t="str">
        <f>""</f>
        <v/>
      </c>
      <c r="AK1123" s="1" t="str">
        <f>""</f>
        <v/>
      </c>
    </row>
    <row r="1124" spans="1:37">
      <c r="A1124" s="1">
        <v>1000000</v>
      </c>
      <c r="B1124" s="1">
        <v>961600003</v>
      </c>
      <c r="C1124" s="1" t="str">
        <f>"تخليه ايلام پروژه بهسازي صالح آباد-مهران موسسه وليعصرقرارگاه سازندگي خاتم الانبيا -ص"</f>
        <v>تخليه ايلام پروژه بهسازي صالح آباد-مهران موسسه وليعصرقرارگاه سازندگي خاتم الانبيا -ص</v>
      </c>
      <c r="D1124" s="1">
        <v>9654</v>
      </c>
      <c r="E1124" s="1">
        <v>999060</v>
      </c>
      <c r="F1124" s="1">
        <v>96</v>
      </c>
      <c r="G1124" s="1">
        <v>940</v>
      </c>
      <c r="H1124" s="1" t="str">
        <f>"96/01/21"</f>
        <v>96/01/21</v>
      </c>
      <c r="I1124" s="1" t="str">
        <f>"كيلوگرم"</f>
        <v>كيلوگرم</v>
      </c>
      <c r="J1124" s="1" t="str">
        <f>"0000000094"</f>
        <v>0000000094</v>
      </c>
      <c r="K1124" s="1" t="str">
        <f>"قير  PG70-10"</f>
        <v>قير  PG70-10</v>
      </c>
      <c r="L1124" s="1">
        <v>100</v>
      </c>
      <c r="M1124" s="1" t="str">
        <f>"مخازن قير اصفهان"</f>
        <v>مخازن قير اصفهان</v>
      </c>
      <c r="N1124" s="1">
        <v>11164</v>
      </c>
      <c r="O1124" s="1">
        <v>50034511</v>
      </c>
      <c r="P1124" s="1" t="str">
        <f>"  قرارگاه سازندگي خاتم الانبياء(ص )"</f>
        <v xml:space="preserve">  قرارگاه سازندگي خاتم الانبياء(ص )</v>
      </c>
      <c r="Q1124" s="1">
        <v>16</v>
      </c>
      <c r="R1124" s="1" t="str">
        <f>"فروش داخلي تهران - وزارت راه - معاونت اقتصاد"</f>
        <v>فروش داخلي تهران - وزارت راه - معاونت اقتصاد</v>
      </c>
      <c r="S1124" s="1" t="str">
        <f>"قرارداد فروش"</f>
        <v>قرارداد فروش</v>
      </c>
      <c r="T1124" s="1" t="str">
        <f>"ندارد"</f>
        <v>ندارد</v>
      </c>
      <c r="U1124" s="1" t="str">
        <f>"ميهن دوست عبداله(2842010)"</f>
        <v>ميهن دوست عبداله(2842010)</v>
      </c>
      <c r="V1124" s="1">
        <v>961600003</v>
      </c>
      <c r="W1124" s="1">
        <v>961600003</v>
      </c>
      <c r="X1124" s="1" t="str">
        <f>"1395471091"</f>
        <v>1395471091</v>
      </c>
      <c r="Y1124" s="1" t="str">
        <f>"96/01/21"</f>
        <v>96/01/21</v>
      </c>
      <c r="Z1124" s="1" t="str">
        <f>"66094/710"</f>
        <v>66094/710</v>
      </c>
      <c r="AA1124" s="1" t="str">
        <f>"معاونت اقتصادوزارت راه وشهرسازي"</f>
        <v>معاونت اقتصادوزارت راه وشهرسازي</v>
      </c>
      <c r="AB1124" s="1" t="str">
        <f>"95/12/23"</f>
        <v>95/12/23</v>
      </c>
      <c r="AC1124" s="1" t="str">
        <f>"استان ايلام"</f>
        <v>استان ايلام</v>
      </c>
      <c r="AD1124" s="1" t="str">
        <f>"95/12/28"</f>
        <v>95/12/28</v>
      </c>
      <c r="AE1124" s="1" t="str">
        <f>"اختتام"</f>
        <v>اختتام</v>
      </c>
      <c r="AF1124" s="1" t="str">
        <f>""</f>
        <v/>
      </c>
      <c r="AG1124" s="1" t="str">
        <f>""</f>
        <v/>
      </c>
      <c r="AH1124" s="1" t="str">
        <f>""</f>
        <v/>
      </c>
      <c r="AI1124" s="1" t="str">
        <f>""</f>
        <v/>
      </c>
      <c r="AJ1124" s="1" t="str">
        <f>""</f>
        <v/>
      </c>
      <c r="AK1124" s="1" t="str">
        <f>""</f>
        <v/>
      </c>
    </row>
    <row r="1125" spans="1:37">
      <c r="A1125" s="1">
        <v>900000</v>
      </c>
      <c r="B1125" s="1">
        <v>961800025</v>
      </c>
      <c r="C1125" s="1" t="str">
        <f>"ايلام مهران جاده مهران به دهلران كارخانه آسفالت هادي راسخ موسسه وليعصرقرارگاه سازندگي خاتم الانبياء"</f>
        <v>ايلام مهران جاده مهران به دهلران كارخانه آسفالت هادي راسخ موسسه وليعصرقرارگاه سازندگي خاتم الانبياء</v>
      </c>
      <c r="D1125" s="1">
        <v>9663</v>
      </c>
      <c r="E1125" s="1">
        <v>899340</v>
      </c>
      <c r="F1125" s="1">
        <v>96</v>
      </c>
      <c r="G1125" s="1">
        <v>660</v>
      </c>
      <c r="H1125" s="1" t="str">
        <f>"96/05/21"</f>
        <v>96/05/21</v>
      </c>
      <c r="I1125" s="1" t="str">
        <f>"كيلوگرم"</f>
        <v>كيلوگرم</v>
      </c>
      <c r="J1125" s="1" t="str">
        <f>"0000000094"</f>
        <v>0000000094</v>
      </c>
      <c r="K1125" s="1" t="str">
        <f>"قير  PG70-10"</f>
        <v>قير  PG70-10</v>
      </c>
      <c r="L1125" s="1">
        <v>100</v>
      </c>
      <c r="M1125" s="1" t="str">
        <f>"مخازن قير اصفهان"</f>
        <v>مخازن قير اصفهان</v>
      </c>
      <c r="N1125" s="1">
        <v>11164</v>
      </c>
      <c r="O1125" s="1">
        <v>50035607</v>
      </c>
      <c r="P1125" s="1" t="str">
        <f>"  قرارگاه سازندگي خاتم الانبياء(ص )"</f>
        <v xml:space="preserve">  قرارگاه سازندگي خاتم الانبياء(ص )</v>
      </c>
      <c r="Q1125" s="1">
        <v>18</v>
      </c>
      <c r="R1125" s="1" t="str">
        <f>"فروش داخلي تهران - وزارت راه - شرکت ساخت و توسعه راهها"</f>
        <v>فروش داخلي تهران - وزارت راه - شرکت ساخت و توسعه راهها</v>
      </c>
      <c r="S1125" s="1" t="str">
        <f>"قرارداد فروش"</f>
        <v>قرارداد فروش</v>
      </c>
      <c r="T1125" s="1" t="str">
        <f>"ندارد"</f>
        <v>ندارد</v>
      </c>
      <c r="U1125" s="1" t="str">
        <f>"ميهن دوست عبداله(2842010)"</f>
        <v>ميهن دوست عبداله(2842010)</v>
      </c>
      <c r="V1125" s="1">
        <v>961800025</v>
      </c>
      <c r="W1125" s="1">
        <v>961800025</v>
      </c>
      <c r="X1125" s="1" t="str">
        <f>"1396504614"</f>
        <v>1396504614</v>
      </c>
      <c r="Y1125" s="1" t="str">
        <f>"96/05/21"</f>
        <v>96/05/21</v>
      </c>
      <c r="Z1125" s="1" t="str">
        <f>"22148/710"</f>
        <v>22148/710</v>
      </c>
      <c r="AA1125" s="1" t="str">
        <f>"شركت  ساخت وتوسعه راهها"</f>
        <v>شركت  ساخت وتوسعه راهها</v>
      </c>
      <c r="AB1125" s="1" t="str">
        <f>"96/05/09"</f>
        <v>96/05/09</v>
      </c>
      <c r="AC1125" s="1" t="str">
        <f>"استان ايلام"</f>
        <v>استان ايلام</v>
      </c>
      <c r="AD1125" s="1" t="str">
        <f>"96/05/21"</f>
        <v>96/05/21</v>
      </c>
      <c r="AE1125" s="1" t="str">
        <f>"اختتام"</f>
        <v>اختتام</v>
      </c>
      <c r="AF1125" s="1" t="str">
        <f>""</f>
        <v/>
      </c>
      <c r="AG1125" s="1" t="str">
        <f>""</f>
        <v/>
      </c>
      <c r="AH1125" s="1" t="str">
        <f>""</f>
        <v/>
      </c>
      <c r="AI1125" s="1" t="str">
        <f>""</f>
        <v/>
      </c>
      <c r="AJ1125" s="1" t="str">
        <f>""</f>
        <v/>
      </c>
      <c r="AK1125" s="1" t="str">
        <f>""</f>
        <v/>
      </c>
    </row>
    <row r="1126" spans="1:37">
      <c r="A1126" s="1">
        <v>275000</v>
      </c>
      <c r="B1126" s="1">
        <v>966200454</v>
      </c>
      <c r="C1126" s="1" t="str">
        <f>"تخليه - سيستان و بلوچستان-هامون-شهرمحمدآباد -کارخانه آسفالت برادران طباطبايي"</f>
        <v>تخليه - سيستان و بلوچستان-هامون-شهرمحمدآباد -کارخانه آسفالت برادران طباطبايي</v>
      </c>
      <c r="D1126" s="1">
        <v>13270</v>
      </c>
      <c r="E1126" s="1">
        <v>268260</v>
      </c>
      <c r="F1126" s="1">
        <v>96</v>
      </c>
      <c r="G1126" s="1">
        <v>6740</v>
      </c>
      <c r="H1126" s="1" t="str">
        <f>"96/09/26"</f>
        <v>96/09/26</v>
      </c>
      <c r="I1126" s="1" t="str">
        <f>"كيلوگرم"</f>
        <v>كيلوگرم</v>
      </c>
      <c r="J1126" s="1" t="str">
        <f>"0000000094"</f>
        <v>0000000094</v>
      </c>
      <c r="K1126" s="1" t="str">
        <f>"قير  PG70-10"</f>
        <v>قير  PG70-10</v>
      </c>
      <c r="L1126" s="1">
        <v>100</v>
      </c>
      <c r="M1126" s="1" t="str">
        <f>"مخازن قير اصفهان"</f>
        <v>مخازن قير اصفهان</v>
      </c>
      <c r="N1126" s="1">
        <v>11360</v>
      </c>
      <c r="O1126" s="1">
        <v>50037884</v>
      </c>
      <c r="P1126" s="1" t="str">
        <f>"  پارت سازان هامون"</f>
        <v xml:space="preserve">  پارت سازان هامون</v>
      </c>
      <c r="Q1126" s="1">
        <v>62</v>
      </c>
      <c r="R1126" s="1" t="str">
        <f>"فروش داخلي - سازمان بنيادمسكن انقلاب اسلامي"</f>
        <v>فروش داخلي - سازمان بنيادمسكن انقلاب اسلامي</v>
      </c>
      <c r="S1126" s="1" t="str">
        <f>"قرارداد فروش"</f>
        <v>قرارداد فروش</v>
      </c>
      <c r="T1126" s="1" t="str">
        <f>"ندارد"</f>
        <v>ندارد</v>
      </c>
      <c r="U1126" s="1" t="str">
        <f>"قانعي محمدرضا(1011ج89)"</f>
        <v>قانعي محمدرضا(1011ج89)</v>
      </c>
      <c r="V1126" s="1">
        <v>966200454</v>
      </c>
      <c r="W1126" s="1">
        <v>966200454</v>
      </c>
      <c r="X1126" s="1" t="str">
        <f>"1396532939"</f>
        <v>1396532939</v>
      </c>
      <c r="Y1126" s="1" t="str">
        <f>"96/09/26"</f>
        <v>96/09/26</v>
      </c>
      <c r="Z1126" s="1" t="str">
        <f>"42290/د"</f>
        <v>42290/د</v>
      </c>
      <c r="AA1126" s="1" t="str">
        <f>"بنيادمسكن انقلاب اسلامي"</f>
        <v>بنيادمسكن انقلاب اسلامي</v>
      </c>
      <c r="AB1126" s="1" t="str">
        <f>"96/09/25"</f>
        <v>96/09/25</v>
      </c>
      <c r="AC1126" s="1" t="str">
        <f>"استان سيستان بلوچستان"</f>
        <v>استان سيستان بلوچستان</v>
      </c>
      <c r="AD1126" s="1" t="str">
        <f>"96/09/26"</f>
        <v>96/09/26</v>
      </c>
      <c r="AE1126" s="1" t="str">
        <f>"اختتام"</f>
        <v>اختتام</v>
      </c>
      <c r="AF1126" s="1" t="str">
        <f>""</f>
        <v/>
      </c>
      <c r="AG1126" s="1" t="str">
        <f>""</f>
        <v/>
      </c>
      <c r="AH1126" s="1" t="str">
        <f>""</f>
        <v/>
      </c>
      <c r="AI1126" s="1" t="str">
        <f>""</f>
        <v/>
      </c>
      <c r="AJ1126" s="1" t="str">
        <f>""</f>
        <v/>
      </c>
      <c r="AK1126" s="1" t="str">
        <f>""</f>
        <v/>
      </c>
    </row>
    <row r="1127" spans="1:37">
      <c r="A1127" s="1">
        <v>100000</v>
      </c>
      <c r="B1127" s="1">
        <v>961900120</v>
      </c>
      <c r="C1127" s="1" t="str">
        <f>"تخليه كرمانشاه جاده سراب نيلوفرسه راهي شاهين كارخانه آسفالت سازه آفرين كردستان"</f>
        <v>تخليه كرمانشاه جاده سراب نيلوفرسه راهي شاهين كارخانه آسفالت سازه آفرين كردستان</v>
      </c>
      <c r="D1127" s="1">
        <v>9504</v>
      </c>
      <c r="E1127" s="1">
        <v>98020</v>
      </c>
      <c r="F1127" s="1">
        <v>96</v>
      </c>
      <c r="G1127" s="1">
        <v>1980</v>
      </c>
      <c r="H1127" s="1" t="str">
        <f>"96/05/15"</f>
        <v>96/05/15</v>
      </c>
      <c r="I1127" s="1" t="str">
        <f>"كيلوگرم"</f>
        <v>كيلوگرم</v>
      </c>
      <c r="J1127" s="1" t="str">
        <f>"0000000094"</f>
        <v>0000000094</v>
      </c>
      <c r="K1127" s="1" t="str">
        <f>"قير  PG70-10"</f>
        <v>قير  PG70-10</v>
      </c>
      <c r="L1127" s="1">
        <v>100</v>
      </c>
      <c r="M1127" s="1" t="str">
        <f>"مخازن قير اصفهان"</f>
        <v>مخازن قير اصفهان</v>
      </c>
      <c r="N1127" s="1">
        <v>11387</v>
      </c>
      <c r="O1127" s="1">
        <v>50035536</v>
      </c>
      <c r="P1127" s="1" t="str">
        <f>"  لومارگسترغرب"</f>
        <v xml:space="preserve">  لومارگسترغرب</v>
      </c>
      <c r="Q1127" s="1">
        <v>19</v>
      </c>
      <c r="R112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127" s="1" t="str">
        <f>"قرارداد فروش"</f>
        <v>قرارداد فروش</v>
      </c>
      <c r="T1127" s="1" t="str">
        <f>"ندارد"</f>
        <v>ندارد</v>
      </c>
      <c r="U1127" s="1" t="str">
        <f>"ميهن دوست عبداله(2842010)"</f>
        <v>ميهن دوست عبداله(2842010)</v>
      </c>
      <c r="V1127" s="1">
        <v>961900120</v>
      </c>
      <c r="W1127" s="1">
        <v>961900120</v>
      </c>
      <c r="X1127" s="1" t="str">
        <f>"1396502841"</f>
        <v>1396502841</v>
      </c>
      <c r="Y1127" s="1" t="str">
        <f>"96/05/15"</f>
        <v>96/05/15</v>
      </c>
      <c r="Z1127" s="1" t="str">
        <f>"21904/710"</f>
        <v>21904/710</v>
      </c>
      <c r="AA1127" s="1" t="str">
        <f>"سازمان راهداري وحمل نقل جاده اي"</f>
        <v>سازمان راهداري وحمل نقل جاده اي</v>
      </c>
      <c r="AB1127" s="1" t="str">
        <f>"96/05/08"</f>
        <v>96/05/08</v>
      </c>
      <c r="AC1127" s="1" t="str">
        <f>"استان كرمانشاه"</f>
        <v>استان كرمانشاه</v>
      </c>
      <c r="AD1127" s="1" t="str">
        <f>"96/05/15"</f>
        <v>96/05/15</v>
      </c>
      <c r="AE1127" s="1" t="str">
        <f>"اختتام"</f>
        <v>اختتام</v>
      </c>
      <c r="AF1127" s="1" t="str">
        <f>""</f>
        <v/>
      </c>
      <c r="AG1127" s="1" t="str">
        <f>""</f>
        <v/>
      </c>
      <c r="AH1127" s="1" t="str">
        <f>""</f>
        <v/>
      </c>
      <c r="AI1127" s="1" t="str">
        <f>""</f>
        <v/>
      </c>
      <c r="AJ1127" s="1" t="str">
        <f>""</f>
        <v/>
      </c>
      <c r="AK1127" s="1" t="str">
        <f>""</f>
        <v/>
      </c>
    </row>
    <row r="1128" spans="1:37">
      <c r="A1128" s="1">
        <v>1000000</v>
      </c>
      <c r="B1128" s="1">
        <v>961800005</v>
      </c>
      <c r="C1128" s="1" t="str">
        <f>"تخليه -ساوه بعدازپليس راه ساوه -همدان كارخانه آسفالت ايران اپرون"</f>
        <v>تخليه -ساوه بعدازپليس راه ساوه -همدان كارخانه آسفالت ايران اپرون</v>
      </c>
      <c r="D1128" s="1">
        <v>8854</v>
      </c>
      <c r="E1128" s="1">
        <v>999800</v>
      </c>
      <c r="F1128" s="1">
        <v>96</v>
      </c>
      <c r="G1128" s="1">
        <v>200</v>
      </c>
      <c r="H1128" s="1" t="str">
        <f>"96/03/22"</f>
        <v>96/03/22</v>
      </c>
      <c r="I1128" s="1" t="str">
        <f>"كيلوگرم"</f>
        <v>كيلوگرم</v>
      </c>
      <c r="J1128" s="1" t="str">
        <f>"0000000092"</f>
        <v>0000000092</v>
      </c>
      <c r="K1128" s="1" t="str">
        <f>"قير  PG64-16"</f>
        <v>قير  PG64-16</v>
      </c>
      <c r="L1128" s="1">
        <v>100</v>
      </c>
      <c r="M1128" s="1" t="str">
        <f>"مخازن قير اصفهان"</f>
        <v>مخازن قير اصفهان</v>
      </c>
      <c r="N1128" s="1">
        <v>8102</v>
      </c>
      <c r="O1128" s="1">
        <v>50034992</v>
      </c>
      <c r="P1128" s="1" t="str">
        <f>"  ايران اپرون"</f>
        <v xml:space="preserve">  ايران اپرون</v>
      </c>
      <c r="Q1128" s="1">
        <v>18</v>
      </c>
      <c r="R1128" s="1" t="str">
        <f>"فروش داخلي تهران - وزارت راه - شرکت ساخت و توسعه راهها"</f>
        <v>فروش داخلي تهران - وزارت راه - شرکت ساخت و توسعه راهها</v>
      </c>
      <c r="S1128" s="1" t="str">
        <f>"قرارداد فروش"</f>
        <v>قرارداد فروش</v>
      </c>
      <c r="T1128" s="1" t="str">
        <f>"ندارد"</f>
        <v>ندارد</v>
      </c>
      <c r="U1128" s="1" t="str">
        <f>"معماريان سعيد(1004ج89)"</f>
        <v>معماريان سعيد(1004ج89)</v>
      </c>
      <c r="V1128" s="1">
        <v>961800005</v>
      </c>
      <c r="W1128" s="1">
        <v>961800005</v>
      </c>
      <c r="X1128" s="1" t="str">
        <f>"1396487039"</f>
        <v>1396487039</v>
      </c>
      <c r="Y1128" s="1" t="str">
        <f>"96/03/22"</f>
        <v>96/03/22</v>
      </c>
      <c r="Z1128" s="1" t="str">
        <f>"12662/710"</f>
        <v>12662/710</v>
      </c>
      <c r="AA1128" s="1" t="str">
        <f>"شركت  ساخت وتوسعه راهها"</f>
        <v>شركت  ساخت وتوسعه راهها</v>
      </c>
      <c r="AB1128" s="1" t="str">
        <f>"96/03/21"</f>
        <v>96/03/21</v>
      </c>
      <c r="AC1128" s="1" t="str">
        <f>"استان مركزي"</f>
        <v>استان مركزي</v>
      </c>
      <c r="AD1128" s="1" t="str">
        <f>"96/03/22"</f>
        <v>96/03/22</v>
      </c>
      <c r="AE1128" s="1" t="str">
        <f>"اختتام"</f>
        <v>اختتام</v>
      </c>
      <c r="AF1128" s="1" t="str">
        <f>""</f>
        <v/>
      </c>
      <c r="AG1128" s="1" t="str">
        <f>""</f>
        <v/>
      </c>
      <c r="AH1128" s="1" t="str">
        <f>""</f>
        <v/>
      </c>
      <c r="AI1128" s="1" t="str">
        <f>""</f>
        <v/>
      </c>
      <c r="AJ1128" s="1" t="str">
        <f>""</f>
        <v/>
      </c>
      <c r="AK1128" s="1" t="str">
        <f>""</f>
        <v/>
      </c>
    </row>
    <row r="1129" spans="1:37">
      <c r="A1129" s="1">
        <v>205000</v>
      </c>
      <c r="B1129" s="1">
        <v>961900154</v>
      </c>
      <c r="C1129" s="1" t="str">
        <f>"تخليه -لرستان -پل سيمره -هليلان نرسيده به شهرتوحيد-شركت آج راه غرب"</f>
        <v>تخليه -لرستان -پل سيمره -هليلان نرسيده به شهرتوحيد-شركت آج راه غرب</v>
      </c>
      <c r="D1129" s="1">
        <v>9363</v>
      </c>
      <c r="E1129" s="1">
        <v>204240</v>
      </c>
      <c r="F1129" s="1">
        <v>96</v>
      </c>
      <c r="G1129" s="1">
        <v>760</v>
      </c>
      <c r="H1129" s="1" t="str">
        <f>"96/07/06"</f>
        <v>96/07/06</v>
      </c>
      <c r="I1129" s="1" t="str">
        <f>"كيلوگرم"</f>
        <v>كيلوگرم</v>
      </c>
      <c r="J1129" s="1" t="str">
        <f>"0000000092"</f>
        <v>0000000092</v>
      </c>
      <c r="K1129" s="1" t="str">
        <f>"قير  PG64-16"</f>
        <v>قير  PG64-16</v>
      </c>
      <c r="L1129" s="1">
        <v>100</v>
      </c>
      <c r="M1129" s="1" t="str">
        <f>"مخازن قير اصفهان"</f>
        <v>مخازن قير اصفهان</v>
      </c>
      <c r="N1129" s="1">
        <v>8293</v>
      </c>
      <c r="O1129" s="1">
        <v>50036408</v>
      </c>
      <c r="P1129" s="1" t="str">
        <f>"  آج راه غرب"</f>
        <v xml:space="preserve">  آج راه غرب</v>
      </c>
      <c r="Q1129" s="1">
        <v>19</v>
      </c>
      <c r="R112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129" s="1" t="str">
        <f>"قرارداد فروش"</f>
        <v>قرارداد فروش</v>
      </c>
      <c r="T1129" s="1" t="str">
        <f>"ندارد"</f>
        <v>ندارد</v>
      </c>
      <c r="U1129" s="1" t="str">
        <f>"ريسماني حسن(1007ج89)"</f>
        <v>ريسماني حسن(1007ج89)</v>
      </c>
      <c r="V1129" s="1">
        <v>961900154</v>
      </c>
      <c r="W1129" s="1">
        <v>961900154</v>
      </c>
      <c r="X1129" s="1" t="str">
        <f>"1396514466"</f>
        <v>1396514466</v>
      </c>
      <c r="Y1129" s="1" t="str">
        <f>"96/07/06"</f>
        <v>96/07/06</v>
      </c>
      <c r="Z1129" s="1" t="str">
        <f>"31964/710"</f>
        <v>31964/710</v>
      </c>
      <c r="AA1129" s="1" t="str">
        <f>"سازمان راهداري وحمل نقل جاده اي"</f>
        <v>سازمان راهداري وحمل نقل جاده اي</v>
      </c>
      <c r="AB1129" s="1" t="str">
        <f>"96/06/28"</f>
        <v>96/06/28</v>
      </c>
      <c r="AC1129" s="1" t="str">
        <f>"لرستان"</f>
        <v>لرستان</v>
      </c>
      <c r="AD1129" s="1" t="str">
        <f>"96/07/03"</f>
        <v>96/07/03</v>
      </c>
      <c r="AE1129" s="1" t="str">
        <f>"اختتام"</f>
        <v>اختتام</v>
      </c>
      <c r="AF1129" s="1" t="str">
        <f>""</f>
        <v/>
      </c>
      <c r="AG1129" s="1" t="str">
        <f>""</f>
        <v/>
      </c>
      <c r="AH1129" s="1" t="str">
        <f>""</f>
        <v/>
      </c>
      <c r="AI1129" s="1" t="str">
        <f>""</f>
        <v/>
      </c>
      <c r="AJ1129" s="1" t="str">
        <f>""</f>
        <v/>
      </c>
      <c r="AK1129" s="1" t="str">
        <f>""</f>
        <v/>
      </c>
    </row>
    <row r="1130" spans="1:37">
      <c r="A1130" s="1">
        <v>870000</v>
      </c>
      <c r="B1130" s="1">
        <v>961700025</v>
      </c>
      <c r="C1130" s="1" t="str">
        <f>"تخليه - لرستان-خرم آباد-بخش ده پيرروستاي اسکين عليا-شرکت پرتو صنعت نور"</f>
        <v>تخليه - لرستان-خرم آباد-بخش ده پيرروستاي اسکين عليا-شرکت پرتو صنعت نور</v>
      </c>
      <c r="D1130" s="1">
        <v>8904</v>
      </c>
      <c r="E1130" s="1">
        <v>869340</v>
      </c>
      <c r="F1130" s="1">
        <v>96</v>
      </c>
      <c r="G1130" s="1">
        <v>660</v>
      </c>
      <c r="H1130" s="1" t="str">
        <f>"96/04/17"</f>
        <v>96/04/17</v>
      </c>
      <c r="I1130" s="1" t="str">
        <f>"كيلوگرم"</f>
        <v>كيلوگرم</v>
      </c>
      <c r="J1130" s="1" t="str">
        <f>"0000000092"</f>
        <v>0000000092</v>
      </c>
      <c r="K1130" s="1" t="str">
        <f>"قير  PG64-16"</f>
        <v>قير  PG64-16</v>
      </c>
      <c r="L1130" s="1">
        <v>100</v>
      </c>
      <c r="M1130" s="1" t="str">
        <f>"مخازن قير اصفهان"</f>
        <v>مخازن قير اصفهان</v>
      </c>
      <c r="N1130" s="1">
        <v>10010</v>
      </c>
      <c r="O1130" s="1">
        <v>50035125</v>
      </c>
      <c r="P1130" s="1" t="str">
        <f>"  پرتوصنعت نور"</f>
        <v xml:space="preserve">  پرتوصنعت نور</v>
      </c>
      <c r="Q1130" s="1">
        <v>17</v>
      </c>
      <c r="R1130" s="1" t="str">
        <f>"فروش داخلي تهران - وزارت راه - راه روستايي - روکش"</f>
        <v>فروش داخلي تهران - وزارت راه - راه روستايي - روکش</v>
      </c>
      <c r="S1130" s="1" t="str">
        <f>"قرارداد فروش"</f>
        <v>قرارداد فروش</v>
      </c>
      <c r="T1130" s="1" t="str">
        <f>"ندارد"</f>
        <v>ندارد</v>
      </c>
      <c r="U1130" s="1" t="str">
        <f>"ريسماني حسن(1007ج89)"</f>
        <v>ريسماني حسن(1007ج89)</v>
      </c>
      <c r="V1130" s="1">
        <v>961700025</v>
      </c>
      <c r="W1130" s="1">
        <v>961700025</v>
      </c>
      <c r="X1130" s="1" t="str">
        <f>"1396494231"</f>
        <v>1396494231</v>
      </c>
      <c r="Y1130" s="1" t="str">
        <f>"96/04/17"</f>
        <v>96/04/17</v>
      </c>
      <c r="Z1130" s="1" t="str">
        <f>"16354/710"</f>
        <v>16354/710</v>
      </c>
      <c r="AA1130" s="1" t="str">
        <f>"راه روستائي -روكش"</f>
        <v>راه روستائي -روكش</v>
      </c>
      <c r="AB1130" s="1" t="str">
        <f>"96/04/12"</f>
        <v>96/04/12</v>
      </c>
      <c r="AC1130" s="1" t="str">
        <f>"لرستان"</f>
        <v>لرستان</v>
      </c>
      <c r="AD1130" s="1" t="str">
        <f>"96/04/17"</f>
        <v>96/04/17</v>
      </c>
      <c r="AE1130" s="1" t="str">
        <f>"اختتام"</f>
        <v>اختتام</v>
      </c>
      <c r="AF1130" s="1" t="str">
        <f>""</f>
        <v/>
      </c>
      <c r="AG1130" s="1" t="str">
        <f>""</f>
        <v/>
      </c>
      <c r="AH1130" s="1" t="str">
        <f>""</f>
        <v/>
      </c>
      <c r="AI1130" s="1" t="str">
        <f>""</f>
        <v/>
      </c>
      <c r="AJ1130" s="1" t="str">
        <f>""</f>
        <v/>
      </c>
      <c r="AK1130" s="1" t="str">
        <f>""</f>
        <v/>
      </c>
    </row>
    <row r="1131" spans="1:37">
      <c r="A1131" s="1">
        <v>775000</v>
      </c>
      <c r="B1131" s="1">
        <v>961600032</v>
      </c>
      <c r="C1131" s="1" t="str">
        <f>"تخليه كاشان كيلومتر20جاده قديم كاشان قم كارخانه آسفالت شركت درم"</f>
        <v>تخليه كاشان كيلومتر20جاده قديم كاشان قم كارخانه آسفالت شركت درم</v>
      </c>
      <c r="D1131" s="1">
        <v>15810</v>
      </c>
      <c r="E1131" s="1">
        <v>774780</v>
      </c>
      <c r="F1131" s="1">
        <v>96</v>
      </c>
      <c r="G1131" s="1">
        <v>220</v>
      </c>
      <c r="H1131" s="1" t="str">
        <f>"96/12/27"</f>
        <v>96/12/27</v>
      </c>
      <c r="I1131" s="1" t="str">
        <f>"كيلوگرم"</f>
        <v>كيلوگرم</v>
      </c>
      <c r="J1131" s="1" t="str">
        <f>"0000000092"</f>
        <v>0000000092</v>
      </c>
      <c r="K1131" s="1" t="str">
        <f>"قير  PG64-16"</f>
        <v>قير  PG64-16</v>
      </c>
      <c r="L1131" s="1">
        <v>100</v>
      </c>
      <c r="M1131" s="1" t="str">
        <f>"مخازن قير اصفهان"</f>
        <v>مخازن قير اصفهان</v>
      </c>
      <c r="N1131" s="1">
        <v>10138</v>
      </c>
      <c r="O1131" s="1">
        <v>50039146</v>
      </c>
      <c r="P1131" s="1" t="str">
        <f>"  تدبير راه صفاهان"</f>
        <v xml:space="preserve">  تدبير راه صفاهان</v>
      </c>
      <c r="Q1131" s="1">
        <v>16</v>
      </c>
      <c r="R1131" s="1" t="str">
        <f>"فروش داخلي تهران - وزارت راه - معاونت اقتصاد"</f>
        <v>فروش داخلي تهران - وزارت راه - معاونت اقتصاد</v>
      </c>
      <c r="S1131" s="1" t="str">
        <f>"قرارداد فروش"</f>
        <v>قرارداد فروش</v>
      </c>
      <c r="T1131" s="1" t="str">
        <f>"ندارد"</f>
        <v>ندارد</v>
      </c>
      <c r="U1131" s="1" t="str">
        <f>"علي عابدي ابوالقاسم(1003ج89)"</f>
        <v>علي عابدي ابوالقاسم(1003ج89)</v>
      </c>
      <c r="V1131" s="1">
        <v>961600032</v>
      </c>
      <c r="W1131" s="1">
        <v>961600032</v>
      </c>
      <c r="X1131" s="1" t="str">
        <f>"1396555508"</f>
        <v>1396555508</v>
      </c>
      <c r="Y1131" s="1" t="str">
        <f>"96/12/27"</f>
        <v>96/12/27</v>
      </c>
      <c r="Z1131" s="1" t="str">
        <f>"301980/870"</f>
        <v>301980/870</v>
      </c>
      <c r="AA1131" s="1" t="str">
        <f>"معاونت اقتصادوزارت راه وشهرسازي"</f>
        <v>معاونت اقتصادوزارت راه وشهرسازي</v>
      </c>
      <c r="AB1131" s="1" t="str">
        <f>"96/12/27"</f>
        <v>96/12/27</v>
      </c>
      <c r="AC1131" s="1" t="str">
        <f>"استان اصفهان"</f>
        <v>استان اصفهان</v>
      </c>
      <c r="AD1131" s="1" t="str">
        <f>"96/12/27"</f>
        <v>96/12/27</v>
      </c>
      <c r="AE1131" s="1" t="str">
        <f>"اختتام"</f>
        <v>اختتام</v>
      </c>
      <c r="AF1131" s="1" t="str">
        <f>""</f>
        <v/>
      </c>
      <c r="AG1131" s="1" t="str">
        <f>""</f>
        <v/>
      </c>
      <c r="AH1131" s="1" t="str">
        <f>""</f>
        <v/>
      </c>
      <c r="AI1131" s="1" t="str">
        <f>""</f>
        <v/>
      </c>
      <c r="AJ1131" s="1" t="str">
        <f>""</f>
        <v/>
      </c>
      <c r="AK1131" s="1" t="str">
        <f>""</f>
        <v/>
      </c>
    </row>
    <row r="1132" spans="1:37">
      <c r="A1132" s="1">
        <v>2000000</v>
      </c>
      <c r="B1132" s="1">
        <v>961800022</v>
      </c>
      <c r="C1132" s="1" t="str">
        <f>"تخليه -اصفهان كنار گذر غربي كيلومتر 15كارگاه سيمين سپاهان"</f>
        <v>تخليه -اصفهان كنار گذر غربي كيلومتر 15كارگاه سيمين سپاهان</v>
      </c>
      <c r="D1132" s="1">
        <v>9204</v>
      </c>
      <c r="E1132" s="1">
        <v>1999540</v>
      </c>
      <c r="F1132" s="1">
        <v>96</v>
      </c>
      <c r="G1132" s="1">
        <v>460</v>
      </c>
      <c r="H1132" s="1" t="str">
        <f>"96/05/09"</f>
        <v>96/05/09</v>
      </c>
      <c r="I1132" s="1" t="str">
        <f>"كيلوگرم"</f>
        <v>كيلوگرم</v>
      </c>
      <c r="J1132" s="1" t="str">
        <f>"0000000092"</f>
        <v>0000000092</v>
      </c>
      <c r="K1132" s="1" t="str">
        <f>"قير  PG64-16"</f>
        <v>قير  PG64-16</v>
      </c>
      <c r="L1132" s="1">
        <v>100</v>
      </c>
      <c r="M1132" s="1" t="str">
        <f>"مخازن قير اصفهان"</f>
        <v>مخازن قير اصفهان</v>
      </c>
      <c r="N1132" s="1">
        <v>7079</v>
      </c>
      <c r="O1132" s="1">
        <v>50035418</v>
      </c>
      <c r="P1132" s="1" t="str">
        <f>"  ساختماني سيمين سپاهان"</f>
        <v xml:space="preserve">  ساختماني سيمين سپاهان</v>
      </c>
      <c r="Q1132" s="1">
        <v>18</v>
      </c>
      <c r="R1132" s="1" t="str">
        <f>"فروش داخلي تهران - وزارت راه - شرکت ساخت و توسعه راهها"</f>
        <v>فروش داخلي تهران - وزارت راه - شرکت ساخت و توسعه راهها</v>
      </c>
      <c r="S1132" s="1" t="str">
        <f>"قرارداد فروش"</f>
        <v>قرارداد فروش</v>
      </c>
      <c r="T1132" s="1" t="str">
        <f>"ندارد"</f>
        <v>ندارد</v>
      </c>
      <c r="U1132" s="1" t="str">
        <f>"عزيزي صفر(1006ج 89)"</f>
        <v>عزيزي صفر(1006ج 89)</v>
      </c>
      <c r="V1132" s="1">
        <v>961800022</v>
      </c>
      <c r="W1132" s="1">
        <v>961800022</v>
      </c>
      <c r="X1132" s="1" t="str">
        <f>"1396501180"</f>
        <v>1396501180</v>
      </c>
      <c r="Y1132" s="1" t="str">
        <f>"96/05/09"</f>
        <v>96/05/09</v>
      </c>
      <c r="Z1132" s="1" t="str">
        <f>"21103/710"</f>
        <v>21103/710</v>
      </c>
      <c r="AA1132" s="1" t="str">
        <f>"شركت  ساخت وتوسعه راهها"</f>
        <v>شركت  ساخت وتوسعه راهها</v>
      </c>
      <c r="AB1132" s="1" t="str">
        <f>"96/05/04"</f>
        <v>96/05/04</v>
      </c>
      <c r="AC1132" s="1" t="str">
        <f>"استان اصفهان"</f>
        <v>استان اصفهان</v>
      </c>
      <c r="AD1132" s="1" t="str">
        <f>"96/05/09"</f>
        <v>96/05/09</v>
      </c>
      <c r="AE1132" s="1" t="str">
        <f>"اختتام"</f>
        <v>اختتام</v>
      </c>
      <c r="AF1132" s="1" t="str">
        <f>""</f>
        <v/>
      </c>
      <c r="AG1132" s="1" t="str">
        <f>""</f>
        <v/>
      </c>
      <c r="AH1132" s="1" t="str">
        <f>""</f>
        <v/>
      </c>
      <c r="AI1132" s="1" t="str">
        <f>""</f>
        <v/>
      </c>
      <c r="AJ1132" s="1" t="str">
        <f>""</f>
        <v/>
      </c>
      <c r="AK1132" s="1" t="str">
        <f>""</f>
        <v/>
      </c>
    </row>
    <row r="1133" spans="1:37">
      <c r="A1133" s="1">
        <v>72000</v>
      </c>
      <c r="B1133" s="1">
        <v>966200291</v>
      </c>
      <c r="C1133" s="1" t="str">
        <f>"تخليه -ايلام سرابله سه راهي كارزان كارخانه سيمان -كارخانه آسفالت شركت خردادراه ساز"</f>
        <v>تخليه -ايلام سرابله سه راهي كارزان كارخانه سيمان -كارخانه آسفالت شركت خردادراه ساز</v>
      </c>
      <c r="D1133" s="1">
        <v>9363</v>
      </c>
      <c r="E1133" s="1">
        <v>72000</v>
      </c>
      <c r="F1133" s="1">
        <v>96</v>
      </c>
      <c r="G1133" s="1">
        <v>0</v>
      </c>
      <c r="H1133" s="1" t="str">
        <f>"96/07/12"</f>
        <v>96/07/12</v>
      </c>
      <c r="I1133" s="1" t="str">
        <f>"كيلوگرم"</f>
        <v>كيلوگرم</v>
      </c>
      <c r="J1133" s="1" t="str">
        <f>"0000000092"</f>
        <v>0000000092</v>
      </c>
      <c r="K1133" s="1" t="str">
        <f>"قير  PG64-16"</f>
        <v>قير  PG64-16</v>
      </c>
      <c r="L1133" s="1">
        <v>100</v>
      </c>
      <c r="M1133" s="1" t="str">
        <f>"مخازن قير اصفهان"</f>
        <v>مخازن قير اصفهان</v>
      </c>
      <c r="N1133" s="1">
        <v>8597</v>
      </c>
      <c r="O1133" s="1">
        <v>50036536</v>
      </c>
      <c r="P1133" s="1" t="str">
        <f>"  خرداد راه ساز ايلام"</f>
        <v xml:space="preserve">  خرداد راه ساز ايلام</v>
      </c>
      <c r="Q1133" s="1">
        <v>62</v>
      </c>
      <c r="R1133" s="1" t="str">
        <f>"فروش داخلي - سازمان بنيادمسكن انقلاب اسلامي"</f>
        <v>فروش داخلي - سازمان بنيادمسكن انقلاب اسلامي</v>
      </c>
      <c r="S1133" s="1" t="str">
        <f>"قرارداد فروش"</f>
        <v>قرارداد فروش</v>
      </c>
      <c r="T1133" s="1" t="str">
        <f>"ندارد"</f>
        <v>ندارد</v>
      </c>
      <c r="U1133" s="1" t="str">
        <f>"عظيمي محمد(2842015)"</f>
        <v>عظيمي محمد(2842015)</v>
      </c>
      <c r="V1133" s="1">
        <v>966200291</v>
      </c>
      <c r="W1133" s="1">
        <v>966200291</v>
      </c>
      <c r="X1133" s="1" t="str">
        <f>"1396516805"</f>
        <v>1396516805</v>
      </c>
      <c r="Y1133" s="1" t="str">
        <f>"96/07/12"</f>
        <v>96/07/12</v>
      </c>
      <c r="Z1133" s="1" t="str">
        <f>"30480/د"</f>
        <v>30480/د</v>
      </c>
      <c r="AA1133" s="1" t="str">
        <f>"بنيادمسكن انقلاب اسلامي"</f>
        <v>بنيادمسكن انقلاب اسلامي</v>
      </c>
      <c r="AB1133" s="1" t="str">
        <f>"96/07/11"</f>
        <v>96/07/11</v>
      </c>
      <c r="AC1133" s="1" t="str">
        <f>"استان ايلام"</f>
        <v>استان ايلام</v>
      </c>
      <c r="AD1133" s="1" t="str">
        <f>"96/07/12"</f>
        <v>96/07/12</v>
      </c>
      <c r="AE1133" s="1" t="str">
        <f>"اختتام"</f>
        <v>اختتام</v>
      </c>
      <c r="AF1133" s="1" t="str">
        <f>""</f>
        <v/>
      </c>
      <c r="AG1133" s="1" t="str">
        <f>""</f>
        <v/>
      </c>
      <c r="AH1133" s="1" t="str">
        <f>""</f>
        <v/>
      </c>
      <c r="AI1133" s="1" t="str">
        <f>""</f>
        <v/>
      </c>
      <c r="AJ1133" s="1" t="str">
        <f>""</f>
        <v/>
      </c>
      <c r="AK1133" s="1" t="str">
        <f>""</f>
        <v/>
      </c>
    </row>
    <row r="1134" spans="1:37">
      <c r="A1134" s="1">
        <v>500000</v>
      </c>
      <c r="B1134" s="1">
        <v>961900006</v>
      </c>
      <c r="C1134" s="1" t="str">
        <f>"تخليه ايلام مخازن قيرشركت سي يول ارگ"</f>
        <v>تخليه ايلام مخازن قيرشركت سي يول ارگ</v>
      </c>
      <c r="D1134" s="1">
        <v>9068</v>
      </c>
      <c r="E1134" s="1">
        <v>498800</v>
      </c>
      <c r="F1134" s="1">
        <v>96</v>
      </c>
      <c r="G1134" s="1">
        <v>1200</v>
      </c>
      <c r="H1134" s="1" t="str">
        <f>"96/01/15"</f>
        <v>96/01/15</v>
      </c>
      <c r="I1134" s="1" t="str">
        <f>"كيلوگرم"</f>
        <v>كيلوگرم</v>
      </c>
      <c r="J1134" s="1" t="str">
        <f>"0000000092"</f>
        <v>0000000092</v>
      </c>
      <c r="K1134" s="1" t="str">
        <f>"قير  PG64-16"</f>
        <v>قير  PG64-16</v>
      </c>
      <c r="L1134" s="1">
        <v>100</v>
      </c>
      <c r="M1134" s="1" t="str">
        <f>"مخازن قير اصفهان"</f>
        <v>مخازن قير اصفهان</v>
      </c>
      <c r="N1134" s="1">
        <v>10303</v>
      </c>
      <c r="O1134" s="1">
        <v>50034363</v>
      </c>
      <c r="P1134" s="1" t="str">
        <f>"  سي يول ارگ"</f>
        <v xml:space="preserve">  سي يول ارگ</v>
      </c>
      <c r="Q1134" s="1">
        <v>19</v>
      </c>
      <c r="R113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134" s="1" t="str">
        <f>"قرارداد فروش"</f>
        <v>قرارداد فروش</v>
      </c>
      <c r="T1134" s="1" t="str">
        <f>"ندارد"</f>
        <v>ندارد</v>
      </c>
      <c r="U1134" s="1" t="str">
        <f>"عظيمي محمد(2842015)"</f>
        <v>عظيمي محمد(2842015)</v>
      </c>
      <c r="V1134" s="1">
        <v>961900006</v>
      </c>
      <c r="W1134" s="1">
        <v>961900006</v>
      </c>
      <c r="X1134" s="1" t="str">
        <f>"1395471092"</f>
        <v>1395471092</v>
      </c>
      <c r="Y1134" s="1" t="str">
        <f>"96/01/15"</f>
        <v>96/01/15</v>
      </c>
      <c r="Z1134" s="1" t="str">
        <f>"66008/710"</f>
        <v>66008/710</v>
      </c>
      <c r="AA1134" s="1" t="str">
        <f>"سازمان راهداري وحمل نقل جاده اي"</f>
        <v>سازمان راهداري وحمل نقل جاده اي</v>
      </c>
      <c r="AB1134" s="1" t="str">
        <f>"95/12/23"</f>
        <v>95/12/23</v>
      </c>
      <c r="AC1134" s="1" t="str">
        <f>"استان ايلام"</f>
        <v>استان ايلام</v>
      </c>
      <c r="AD1134" s="1" t="str">
        <f>"95/12/28"</f>
        <v>95/12/28</v>
      </c>
      <c r="AE1134" s="1" t="str">
        <f>"اختتام"</f>
        <v>اختتام</v>
      </c>
      <c r="AF1134" s="1" t="str">
        <f>""</f>
        <v/>
      </c>
      <c r="AG1134" s="1" t="str">
        <f>""</f>
        <v/>
      </c>
      <c r="AH1134" s="1" t="str">
        <f>""</f>
        <v/>
      </c>
      <c r="AI1134" s="1" t="str">
        <f>""</f>
        <v/>
      </c>
      <c r="AJ1134" s="1" t="str">
        <f>""</f>
        <v/>
      </c>
      <c r="AK1134" s="1" t="str">
        <f>""</f>
        <v/>
      </c>
    </row>
    <row r="1135" spans="1:37">
      <c r="A1135" s="1">
        <v>250000</v>
      </c>
      <c r="B1135" s="1">
        <v>966100008</v>
      </c>
      <c r="C1135" s="1" t="str">
        <f>"تخليه -اصفهان -جاده نيك آباد-حسن آباد-كارخانه آسفالت شركت ثمين راه صفاهان"</f>
        <v>تخليه -اصفهان -جاده نيك آباد-حسن آباد-كارخانه آسفالت شركت ثمين راه صفاهان</v>
      </c>
      <c r="D1135" s="1">
        <v>9363</v>
      </c>
      <c r="E1135" s="1">
        <v>250000</v>
      </c>
      <c r="F1135" s="1">
        <v>96</v>
      </c>
      <c r="G1135" s="1">
        <v>0</v>
      </c>
      <c r="H1135" s="1" t="str">
        <f>"96/06/07"</f>
        <v>96/06/07</v>
      </c>
      <c r="I1135" s="1" t="str">
        <f>"كيلوگرم"</f>
        <v>كيلوگرم</v>
      </c>
      <c r="J1135" s="1" t="str">
        <f>"0000000092"</f>
        <v>0000000092</v>
      </c>
      <c r="K1135" s="1" t="str">
        <f>"قير  PG64-16"</f>
        <v>قير  PG64-16</v>
      </c>
      <c r="L1135" s="1">
        <v>100</v>
      </c>
      <c r="M1135" s="1" t="str">
        <f>"مخازن قير اصفهان"</f>
        <v>مخازن قير اصفهان</v>
      </c>
      <c r="N1135" s="1">
        <v>8091</v>
      </c>
      <c r="O1135" s="1">
        <v>50035857</v>
      </c>
      <c r="P1135" s="1" t="str">
        <f>"  اداره كل راه وشهرسازي اصفهان"</f>
        <v xml:space="preserve">  اداره كل راه وشهرسازي اصفهان</v>
      </c>
      <c r="Q1135" s="1">
        <v>61</v>
      </c>
      <c r="R1135" s="1" t="str">
        <f>"فروش داخلي - وزارت راه - مسكن مهر"</f>
        <v>فروش داخلي - وزارت راه - مسكن مهر</v>
      </c>
      <c r="S1135" s="1" t="str">
        <f>"قرارداد فروش"</f>
        <v>قرارداد فروش</v>
      </c>
      <c r="T1135" s="1" t="str">
        <f>"ندارد"</f>
        <v>ندارد</v>
      </c>
      <c r="U1135" s="1" t="str">
        <f>"سيفي پور عبدالمجيد(1009ج89)"</f>
        <v>سيفي پور عبدالمجيد(1009ج89)</v>
      </c>
      <c r="V1135" s="1">
        <v>966100008</v>
      </c>
      <c r="W1135" s="1">
        <v>966100008</v>
      </c>
      <c r="X1135" s="1" t="str">
        <f>"1396508614"</f>
        <v>1396508614</v>
      </c>
      <c r="Y1135" s="1" t="str">
        <f>"96/06/07"</f>
        <v>96/06/07</v>
      </c>
      <c r="Z1135" s="1" t="str">
        <f>"27615/710"</f>
        <v>27615/710</v>
      </c>
      <c r="AA1135" s="1" t="str">
        <f>"مسكن مهر-وزارت راه"</f>
        <v>مسكن مهر-وزارت راه</v>
      </c>
      <c r="AB1135" s="1" t="str">
        <f>"96/06/06"</f>
        <v>96/06/06</v>
      </c>
      <c r="AC1135" s="1" t="str">
        <f>"استان اصفهان"</f>
        <v>استان اصفهان</v>
      </c>
      <c r="AD1135" s="1" t="str">
        <f>"96/06/07"</f>
        <v>96/06/07</v>
      </c>
      <c r="AE1135" s="1" t="str">
        <f>"اختتام"</f>
        <v>اختتام</v>
      </c>
      <c r="AF1135" s="1" t="str">
        <f>""</f>
        <v/>
      </c>
      <c r="AG1135" s="1" t="str">
        <f>""</f>
        <v/>
      </c>
      <c r="AH1135" s="1" t="str">
        <f>""</f>
        <v/>
      </c>
      <c r="AI1135" s="1" t="str">
        <f>""</f>
        <v/>
      </c>
      <c r="AJ1135" s="1" t="str">
        <f>""</f>
        <v/>
      </c>
      <c r="AK1135" s="1" t="str">
        <f>""</f>
        <v/>
      </c>
    </row>
    <row r="1136" spans="1:37">
      <c r="A1136" s="1">
        <v>50000</v>
      </c>
      <c r="B1136" s="1">
        <v>966100015</v>
      </c>
      <c r="C1136" s="1" t="str">
        <f>"تخليه -اصفهان ارغوانيه گردنه زينل بعدازكودآلي سمت راست كارخانه آسفالت كاشمر"</f>
        <v>تخليه -اصفهان ارغوانيه گردنه زينل بعدازكودآلي سمت راست كارخانه آسفالت كاشمر</v>
      </c>
      <c r="D1136" s="1">
        <v>9204</v>
      </c>
      <c r="E1136" s="1">
        <v>49400</v>
      </c>
      <c r="F1136" s="1">
        <v>96</v>
      </c>
      <c r="G1136" s="1">
        <v>600</v>
      </c>
      <c r="H1136" s="1" t="str">
        <f>"96/06/07"</f>
        <v>96/06/07</v>
      </c>
      <c r="I1136" s="1" t="str">
        <f>"كيلوگرم"</f>
        <v>كيلوگرم</v>
      </c>
      <c r="J1136" s="1" t="str">
        <f>"0000000092"</f>
        <v>0000000092</v>
      </c>
      <c r="K1136" s="1" t="str">
        <f>"قير  PG64-16"</f>
        <v>قير  PG64-16</v>
      </c>
      <c r="L1136" s="1">
        <v>100</v>
      </c>
      <c r="M1136" s="1" t="str">
        <f>"مخازن قير اصفهان"</f>
        <v>مخازن قير اصفهان</v>
      </c>
      <c r="N1136" s="1">
        <v>8091</v>
      </c>
      <c r="O1136" s="1">
        <v>50035864</v>
      </c>
      <c r="P1136" s="1" t="str">
        <f>"  اداره كل راه وشهرسازي اصفهان"</f>
        <v xml:space="preserve">  اداره كل راه وشهرسازي اصفهان</v>
      </c>
      <c r="Q1136" s="1">
        <v>61</v>
      </c>
      <c r="R1136" s="1" t="str">
        <f>"فروش داخلي - وزارت راه - مسكن مهر"</f>
        <v>فروش داخلي - وزارت راه - مسكن مهر</v>
      </c>
      <c r="S1136" s="1" t="str">
        <f>"قرارداد فروش"</f>
        <v>قرارداد فروش</v>
      </c>
      <c r="T1136" s="1" t="str">
        <f>"ندارد"</f>
        <v>ندارد</v>
      </c>
      <c r="U1136" s="1" t="str">
        <f>"معماريان سعيد(1004ج89)"</f>
        <v>معماريان سعيد(1004ج89)</v>
      </c>
      <c r="V1136" s="1">
        <v>966100015</v>
      </c>
      <c r="W1136" s="1">
        <v>966100015</v>
      </c>
      <c r="X1136" s="1" t="str">
        <f>"1396508614"</f>
        <v>1396508614</v>
      </c>
      <c r="Y1136" s="1" t="str">
        <f>"96/06/07"</f>
        <v>96/06/07</v>
      </c>
      <c r="Z1136" s="1" t="str">
        <f>"27664/710"</f>
        <v>27664/710</v>
      </c>
      <c r="AA1136" s="1" t="str">
        <f>"مسكن مهر-وزارت راه"</f>
        <v>مسكن مهر-وزارت راه</v>
      </c>
      <c r="AB1136" s="1" t="str">
        <f>"96/06/06"</f>
        <v>96/06/06</v>
      </c>
      <c r="AC1136" s="1" t="str">
        <f>"استان اصفهان"</f>
        <v>استان اصفهان</v>
      </c>
      <c r="AD1136" s="1" t="str">
        <f>"96/06/07"</f>
        <v>96/06/07</v>
      </c>
      <c r="AE1136" s="1" t="str">
        <f>"اختتام"</f>
        <v>اختتام</v>
      </c>
      <c r="AF1136" s="1" t="str">
        <f>""</f>
        <v/>
      </c>
      <c r="AG1136" s="1" t="str">
        <f>""</f>
        <v/>
      </c>
      <c r="AH1136" s="1" t="str">
        <f>""</f>
        <v/>
      </c>
      <c r="AI1136" s="1" t="str">
        <f>""</f>
        <v/>
      </c>
      <c r="AJ1136" s="1" t="str">
        <f>""</f>
        <v/>
      </c>
      <c r="AK1136" s="1" t="str">
        <f>""</f>
        <v/>
      </c>
    </row>
    <row r="1137" spans="1:37">
      <c r="A1137" s="1">
        <v>287000</v>
      </c>
      <c r="B1137" s="1">
        <v>961700190</v>
      </c>
      <c r="C1137" s="1" t="str">
        <f>"تخليه - اصفهان -کارخانه شرکت گل راه نقش جهان"</f>
        <v>تخليه - اصفهان -کارخانه شرکت گل راه نقش جهان</v>
      </c>
      <c r="D1137" s="1">
        <v>14000</v>
      </c>
      <c r="E1137" s="1">
        <v>287000</v>
      </c>
      <c r="F1137" s="1">
        <v>96</v>
      </c>
      <c r="G1137" s="1">
        <v>0</v>
      </c>
      <c r="H1137" s="1" t="str">
        <f>"96/12/22"</f>
        <v>96/12/22</v>
      </c>
      <c r="I1137" s="1" t="str">
        <f>"كيلوگرم"</f>
        <v>كيلوگرم</v>
      </c>
      <c r="J1137" s="1" t="str">
        <f>"0000000092"</f>
        <v>0000000092</v>
      </c>
      <c r="K1137" s="1" t="str">
        <f>"قير  PG64-16"</f>
        <v>قير  PG64-16</v>
      </c>
      <c r="L1137" s="1">
        <v>100</v>
      </c>
      <c r="M1137" s="1" t="str">
        <f>"مخازن قير اصفهان"</f>
        <v>مخازن قير اصفهان</v>
      </c>
      <c r="N1137" s="1">
        <v>8091</v>
      </c>
      <c r="O1137" s="1">
        <v>50038921</v>
      </c>
      <c r="P1137" s="1" t="str">
        <f>"  اداره كل راه وشهرسازي اصفهان"</f>
        <v xml:space="preserve">  اداره كل راه وشهرسازي اصفهان</v>
      </c>
      <c r="Q1137" s="1">
        <v>17</v>
      </c>
      <c r="R1137" s="1" t="str">
        <f>"فروش داخلي تهران - وزارت راه - راه روستايي - روکش"</f>
        <v>فروش داخلي تهران - وزارت راه - راه روستايي - روکش</v>
      </c>
      <c r="S1137" s="1" t="str">
        <f>"قرارداد فروش"</f>
        <v>قرارداد فروش</v>
      </c>
      <c r="T1137" s="1" t="str">
        <f>"ندارد"</f>
        <v>ندارد</v>
      </c>
      <c r="U1137" s="1" t="str">
        <f>"علي عابدي ابوالقاسم(1003ج89)"</f>
        <v>علي عابدي ابوالقاسم(1003ج89)</v>
      </c>
      <c r="V1137" s="1">
        <v>961700190</v>
      </c>
      <c r="W1137" s="1">
        <v>961700190</v>
      </c>
      <c r="X1137" s="1" t="str">
        <f>"1396553913"</f>
        <v>1396553913</v>
      </c>
      <c r="Y1137" s="1" t="str">
        <f>"96/12/22"</f>
        <v>96/12/22</v>
      </c>
      <c r="Z1137" s="1" t="str">
        <f>"284689/710"</f>
        <v>284689/710</v>
      </c>
      <c r="AA1137" s="1" t="str">
        <f>"راه روستائي -روكش"</f>
        <v>راه روستائي -روكش</v>
      </c>
      <c r="AB1137" s="1" t="str">
        <f>"96/11/18"</f>
        <v>96/11/18</v>
      </c>
      <c r="AC1137" s="1" t="str">
        <f>"استان اصفهان"</f>
        <v>استان اصفهان</v>
      </c>
      <c r="AD1137" s="1" t="str">
        <f>"96/12/20"</f>
        <v>96/12/20</v>
      </c>
      <c r="AE1137" s="1" t="str">
        <f>"اختتام"</f>
        <v>اختتام</v>
      </c>
      <c r="AF1137" s="1" t="str">
        <f>""</f>
        <v/>
      </c>
      <c r="AG1137" s="1" t="str">
        <f>""</f>
        <v/>
      </c>
      <c r="AH1137" s="1" t="str">
        <f>""</f>
        <v/>
      </c>
      <c r="AI1137" s="1" t="str">
        <f>""</f>
        <v/>
      </c>
      <c r="AJ1137" s="1" t="str">
        <f>""</f>
        <v/>
      </c>
      <c r="AK1137" s="1" t="str">
        <f>""</f>
        <v/>
      </c>
    </row>
    <row r="1138" spans="1:37">
      <c r="A1138" s="1">
        <v>150000</v>
      </c>
      <c r="B1138" s="1">
        <v>961700249</v>
      </c>
      <c r="C1138" s="1" t="str">
        <f>"تخليه -اصفهان- بعد از شهرک صنعتي مبارکه جاده پلي اکريل جنب کارخانه پلي اکريل کارخانه آسفالت شرکت اصفهان بتن راه"</f>
        <v>تخليه -اصفهان- بعد از شهرک صنعتي مبارکه جاده پلي اکريل جنب کارخانه پلي اکريل کارخانه آسفالت شرکت اصفهان بتن راه</v>
      </c>
      <c r="D1138" s="1">
        <v>14000</v>
      </c>
      <c r="E1138" s="1">
        <v>150000</v>
      </c>
      <c r="F1138" s="1">
        <v>96</v>
      </c>
      <c r="G1138" s="1">
        <v>0</v>
      </c>
      <c r="H1138" s="1" t="str">
        <f>"96/12/26"</f>
        <v>96/12/26</v>
      </c>
      <c r="I1138" s="1" t="str">
        <f>"كيلوگرم"</f>
        <v>كيلوگرم</v>
      </c>
      <c r="J1138" s="1" t="str">
        <f>"0000000092"</f>
        <v>0000000092</v>
      </c>
      <c r="K1138" s="1" t="str">
        <f>"قير  PG64-16"</f>
        <v>قير  PG64-16</v>
      </c>
      <c r="L1138" s="1">
        <v>100</v>
      </c>
      <c r="M1138" s="1" t="str">
        <f>"مخازن قير اصفهان"</f>
        <v>مخازن قير اصفهان</v>
      </c>
      <c r="N1138" s="1">
        <v>8091</v>
      </c>
      <c r="O1138" s="1">
        <v>50039046</v>
      </c>
      <c r="P1138" s="1" t="str">
        <f>"  اداره كل راه وشهرسازي اصفهان"</f>
        <v xml:space="preserve">  اداره كل راه وشهرسازي اصفهان</v>
      </c>
      <c r="Q1138" s="1">
        <v>17</v>
      </c>
      <c r="R1138" s="1" t="str">
        <f>"فروش داخلي تهران - وزارت راه - راه روستايي - روکش"</f>
        <v>فروش داخلي تهران - وزارت راه - راه روستايي - روکش</v>
      </c>
      <c r="S1138" s="1" t="str">
        <f>"قرارداد فروش"</f>
        <v>قرارداد فروش</v>
      </c>
      <c r="T1138" s="1" t="str">
        <f>"ندارد"</f>
        <v>ندارد</v>
      </c>
      <c r="U1138" s="1" t="str">
        <f>"ريسماني حسن(1007ج89)"</f>
        <v>ريسماني حسن(1007ج89)</v>
      </c>
      <c r="V1138" s="1">
        <v>961700249</v>
      </c>
      <c r="W1138" s="1">
        <v>961700249</v>
      </c>
      <c r="X1138" s="1" t="str">
        <f>"1396553913"</f>
        <v>1396553913</v>
      </c>
      <c r="Y1138" s="1" t="str">
        <f>"96/12/26"</f>
        <v>96/12/26</v>
      </c>
      <c r="Z1138" s="1" t="str">
        <f>"286629/710"</f>
        <v>286629/710</v>
      </c>
      <c r="AA1138" s="1" t="str">
        <f>"راه روستائي -روكش"</f>
        <v>راه روستائي -روكش</v>
      </c>
      <c r="AB1138" s="1" t="str">
        <f>"96/11/25"</f>
        <v>96/11/25</v>
      </c>
      <c r="AC1138" s="1" t="str">
        <f>"استان اصفهان"</f>
        <v>استان اصفهان</v>
      </c>
      <c r="AD1138" s="1" t="str">
        <f>"96/12/20"</f>
        <v>96/12/20</v>
      </c>
      <c r="AE1138" s="1" t="str">
        <f>"اختتام"</f>
        <v>اختتام</v>
      </c>
      <c r="AF1138" s="1" t="str">
        <f>""</f>
        <v/>
      </c>
      <c r="AG1138" s="1" t="str">
        <f>""</f>
        <v/>
      </c>
      <c r="AH1138" s="1" t="str">
        <f>""</f>
        <v/>
      </c>
      <c r="AI1138" s="1" t="str">
        <f>""</f>
        <v/>
      </c>
      <c r="AJ1138" s="1" t="str">
        <f>""</f>
        <v/>
      </c>
      <c r="AK1138" s="1" t="str">
        <f>""</f>
        <v/>
      </c>
    </row>
    <row r="1139" spans="1:37">
      <c r="A1139" s="1">
        <v>135000</v>
      </c>
      <c r="B1139" s="1">
        <v>966200152</v>
      </c>
      <c r="C1139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1139" s="1">
        <v>8704</v>
      </c>
      <c r="E1139" s="1">
        <v>121520</v>
      </c>
      <c r="F1139" s="1">
        <v>96</v>
      </c>
      <c r="G1139" s="1">
        <v>13480</v>
      </c>
      <c r="H1139" s="1" t="str">
        <f>"96/05/08"</f>
        <v>96/05/08</v>
      </c>
      <c r="I1139" s="1" t="str">
        <f>"كيلوگرم"</f>
        <v>كيلوگرم</v>
      </c>
      <c r="J1139" s="1" t="str">
        <f>"0000000076"</f>
        <v>0000000076</v>
      </c>
      <c r="K1139" s="1" t="str">
        <f>"قير 60/70 - فله"</f>
        <v>قير 60/70 - فله</v>
      </c>
      <c r="L1139" s="1">
        <v>100</v>
      </c>
      <c r="M1139" s="1" t="str">
        <f>"مخازن قير اصفهان"</f>
        <v>مخازن قير اصفهان</v>
      </c>
      <c r="N1139" s="1">
        <v>11001</v>
      </c>
      <c r="O1139" s="1">
        <v>50035388</v>
      </c>
      <c r="P1139" s="1" t="str">
        <f>"  بنياد مسکن انقلاب اسلامي نجف آباد"</f>
        <v xml:space="preserve">  بنياد مسکن انقلاب اسلامي نجف آباد</v>
      </c>
      <c r="Q1139" s="1">
        <v>62</v>
      </c>
      <c r="R1139" s="1" t="str">
        <f>"فروش داخلي - سازمان بنيادمسكن انقلاب اسلامي"</f>
        <v>فروش داخلي - سازمان بنيادمسكن انقلاب اسلامي</v>
      </c>
      <c r="S1139" s="1" t="str">
        <f>"قرارداد فروش"</f>
        <v>قرارداد فروش</v>
      </c>
      <c r="T1139" s="1" t="str">
        <f>"ندارد"</f>
        <v>ندارد</v>
      </c>
      <c r="U1139" s="1" t="str">
        <f>"سيفي پور عبدالمجيد(1009ج89)"</f>
        <v>سيفي پور عبدالمجيد(1009ج89)</v>
      </c>
      <c r="V1139" s="1">
        <v>966200152</v>
      </c>
      <c r="W1139" s="1">
        <v>966200152</v>
      </c>
      <c r="X1139" s="1" t="str">
        <f>"1396500984"</f>
        <v>1396500984</v>
      </c>
      <c r="Y1139" s="1" t="str">
        <f>"96/05/08"</f>
        <v>96/05/08</v>
      </c>
      <c r="Z1139" s="1" t="str">
        <f>"18658/د"</f>
        <v>18658/د</v>
      </c>
      <c r="AA1139" s="1" t="str">
        <f>"بنيادمسكن انقلاب اسلامي"</f>
        <v>بنيادمسكن انقلاب اسلامي</v>
      </c>
      <c r="AB1139" s="1" t="str">
        <f>"96/05/07"</f>
        <v>96/05/07</v>
      </c>
      <c r="AC1139" s="1" t="str">
        <f>"استان اصفهان"</f>
        <v>استان اصفهان</v>
      </c>
      <c r="AD1139" s="1" t="str">
        <f>"96/05/08"</f>
        <v>96/05/08</v>
      </c>
      <c r="AE1139" s="1" t="str">
        <f>"اختتام"</f>
        <v>اختتام</v>
      </c>
      <c r="AF1139" s="1" t="str">
        <f>""</f>
        <v/>
      </c>
      <c r="AG1139" s="1" t="str">
        <f>""</f>
        <v/>
      </c>
      <c r="AH1139" s="1" t="str">
        <f>""</f>
        <v/>
      </c>
      <c r="AI1139" s="1" t="str">
        <f>""</f>
        <v/>
      </c>
      <c r="AJ1139" s="1" t="str">
        <f>""</f>
        <v/>
      </c>
      <c r="AK1139" s="1" t="str">
        <f>""</f>
        <v/>
      </c>
    </row>
    <row r="1140" spans="1:37">
      <c r="A1140" s="1">
        <v>250000</v>
      </c>
      <c r="B1140" s="1">
        <v>966200388</v>
      </c>
      <c r="C1140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1140" s="1">
        <v>12820</v>
      </c>
      <c r="E1140" s="1">
        <v>250000</v>
      </c>
      <c r="F1140" s="1">
        <v>96</v>
      </c>
      <c r="G1140" s="1">
        <v>0</v>
      </c>
      <c r="H1140" s="1" t="str">
        <f>"96/09/08"</f>
        <v>96/09/08</v>
      </c>
      <c r="I1140" s="1" t="str">
        <f>"كيلوگرم"</f>
        <v>كيلوگرم</v>
      </c>
      <c r="J1140" s="1" t="str">
        <f>"0000000076"</f>
        <v>0000000076</v>
      </c>
      <c r="K1140" s="1" t="str">
        <f>"قير 60/70 - فله"</f>
        <v>قير 60/70 - فله</v>
      </c>
      <c r="L1140" s="1">
        <v>100</v>
      </c>
      <c r="M1140" s="1" t="str">
        <f>"مخازن قير اصفهان"</f>
        <v>مخازن قير اصفهان</v>
      </c>
      <c r="N1140" s="1">
        <v>11001</v>
      </c>
      <c r="O1140" s="1">
        <v>50037336</v>
      </c>
      <c r="P1140" s="1" t="str">
        <f>"  بنياد مسکن انقلاب اسلامي نجف آباد"</f>
        <v xml:space="preserve">  بنياد مسکن انقلاب اسلامي نجف آباد</v>
      </c>
      <c r="Q1140" s="1">
        <v>62</v>
      </c>
      <c r="R1140" s="1" t="str">
        <f>"فروش داخلي - سازمان بنيادمسكن انقلاب اسلامي"</f>
        <v>فروش داخلي - سازمان بنيادمسكن انقلاب اسلامي</v>
      </c>
      <c r="S1140" s="1" t="str">
        <f>"قرارداد فروش"</f>
        <v>قرارداد فروش</v>
      </c>
      <c r="T1140" s="1" t="str">
        <f>"ندارد"</f>
        <v>ندارد</v>
      </c>
      <c r="U1140" s="1" t="str">
        <f>"سيفي پور عبدالمجيد(1009ج89)"</f>
        <v>سيفي پور عبدالمجيد(1009ج89)</v>
      </c>
      <c r="V1140" s="1">
        <v>966200388</v>
      </c>
      <c r="W1140" s="1">
        <v>966200388</v>
      </c>
      <c r="X1140" s="1" t="str">
        <f>"1396529172"</f>
        <v>1396529172</v>
      </c>
      <c r="Y1140" s="1" t="str">
        <f>"96/09/08"</f>
        <v>96/09/08</v>
      </c>
      <c r="Z1140" s="1" t="str">
        <f>"37295/د"</f>
        <v>37295/د</v>
      </c>
      <c r="AA1140" s="1" t="str">
        <f>"بنيادمسكن انقلاب اسلامي"</f>
        <v>بنيادمسكن انقلاب اسلامي</v>
      </c>
      <c r="AB1140" s="1" t="str">
        <f>"96/08/21"</f>
        <v>96/08/21</v>
      </c>
      <c r="AC1140" s="1" t="str">
        <f>"استان اصفهان"</f>
        <v>استان اصفهان</v>
      </c>
      <c r="AD1140" s="1" t="str">
        <f>"96/09/08"</f>
        <v>96/09/08</v>
      </c>
      <c r="AE1140" s="1" t="str">
        <f>"اختتام"</f>
        <v>اختتام</v>
      </c>
      <c r="AF1140" s="1" t="str">
        <f>""</f>
        <v/>
      </c>
      <c r="AG1140" s="1" t="str">
        <f>""</f>
        <v/>
      </c>
      <c r="AH1140" s="1" t="str">
        <f>""</f>
        <v/>
      </c>
      <c r="AI1140" s="1" t="str">
        <f>""</f>
        <v/>
      </c>
      <c r="AJ1140" s="1" t="str">
        <f>""</f>
        <v/>
      </c>
      <c r="AK1140" s="1" t="str">
        <f>""</f>
        <v/>
      </c>
    </row>
    <row r="1141" spans="1:37">
      <c r="A1141" s="1">
        <v>75000</v>
      </c>
      <c r="B1141" s="1">
        <v>966200411</v>
      </c>
      <c r="C1141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1141" s="1">
        <v>12820</v>
      </c>
      <c r="E1141" s="1">
        <v>74340</v>
      </c>
      <c r="F1141" s="1">
        <v>96</v>
      </c>
      <c r="G1141" s="1">
        <v>660</v>
      </c>
      <c r="H1141" s="1" t="str">
        <f>"96/09/12"</f>
        <v>96/09/12</v>
      </c>
      <c r="I1141" s="1" t="str">
        <f>"كيلوگرم"</f>
        <v>كيلوگرم</v>
      </c>
      <c r="J1141" s="1" t="str">
        <f>"0000000076"</f>
        <v>0000000076</v>
      </c>
      <c r="K1141" s="1" t="str">
        <f>"قير 60/70 - فله"</f>
        <v>قير 60/70 - فله</v>
      </c>
      <c r="L1141" s="1">
        <v>100</v>
      </c>
      <c r="M1141" s="1" t="str">
        <f>"مخازن قير اصفهان"</f>
        <v>مخازن قير اصفهان</v>
      </c>
      <c r="N1141" s="1">
        <v>11001</v>
      </c>
      <c r="O1141" s="1">
        <v>50037421</v>
      </c>
      <c r="P1141" s="1" t="str">
        <f>"  بنياد مسکن انقلاب اسلامي نجف آباد"</f>
        <v xml:space="preserve">  بنياد مسکن انقلاب اسلامي نجف آباد</v>
      </c>
      <c r="Q1141" s="1">
        <v>62</v>
      </c>
      <c r="R1141" s="1" t="str">
        <f>"فروش داخلي - سازمان بنيادمسكن انقلاب اسلامي"</f>
        <v>فروش داخلي - سازمان بنيادمسكن انقلاب اسلامي</v>
      </c>
      <c r="S1141" s="1" t="str">
        <f>"قرارداد فروش"</f>
        <v>قرارداد فروش</v>
      </c>
      <c r="T1141" s="1" t="str">
        <f>"ندارد"</f>
        <v>ندارد</v>
      </c>
      <c r="U1141" s="1" t="str">
        <f>"سيفي پور عبدالمجيد(1009ج89)"</f>
        <v>سيفي پور عبدالمجيد(1009ج89)</v>
      </c>
      <c r="V1141" s="1">
        <v>966200411</v>
      </c>
      <c r="W1141" s="1">
        <v>966200411</v>
      </c>
      <c r="X1141" s="1" t="str">
        <f>"1396529573"</f>
        <v>1396529573</v>
      </c>
      <c r="Y1141" s="1" t="str">
        <f>"96/09/12"</f>
        <v>96/09/12</v>
      </c>
      <c r="Z1141" s="1" t="str">
        <f>"40059/د"</f>
        <v>40059/د</v>
      </c>
      <c r="AA1141" s="1" t="str">
        <f>"بنيادمسكن انقلاب اسلامي"</f>
        <v>بنيادمسكن انقلاب اسلامي</v>
      </c>
      <c r="AB1141" s="1" t="str">
        <f>"96/09/11"</f>
        <v>96/09/11</v>
      </c>
      <c r="AC1141" s="1" t="str">
        <f>"استان اصفهان"</f>
        <v>استان اصفهان</v>
      </c>
      <c r="AD1141" s="1" t="str">
        <f>"96/09/12"</f>
        <v>96/09/12</v>
      </c>
      <c r="AE1141" s="1" t="str">
        <f>"اختتام"</f>
        <v>اختتام</v>
      </c>
      <c r="AF1141" s="1" t="str">
        <f>""</f>
        <v/>
      </c>
      <c r="AG1141" s="1" t="str">
        <f>""</f>
        <v/>
      </c>
      <c r="AH1141" s="1" t="str">
        <f>""</f>
        <v/>
      </c>
      <c r="AI1141" s="1" t="str">
        <f>""</f>
        <v/>
      </c>
      <c r="AJ1141" s="1" t="str">
        <f>""</f>
        <v/>
      </c>
      <c r="AK1141" s="1" t="str">
        <f>""</f>
        <v/>
      </c>
    </row>
    <row r="1142" spans="1:37">
      <c r="A1142" s="1">
        <v>110000</v>
      </c>
      <c r="B1142" s="1">
        <v>961100018</v>
      </c>
      <c r="C1142" s="1" t="str">
        <f>"تخليه-جاده علويجه-کيلومتر12 شرکت افق راه ماندگار"</f>
        <v>تخليه-جاده علويجه-کيلومتر12 شرکت افق راه ماندگار</v>
      </c>
      <c r="D1142" s="1">
        <v>8918</v>
      </c>
      <c r="E1142" s="1">
        <v>110000</v>
      </c>
      <c r="F1142" s="1">
        <v>96</v>
      </c>
      <c r="G1142" s="1">
        <v>0</v>
      </c>
      <c r="H1142" s="1" t="str">
        <f>"96/02/26"</f>
        <v>96/02/26</v>
      </c>
      <c r="I1142" s="1" t="str">
        <f>"كيلوگرم"</f>
        <v>كيلوگرم</v>
      </c>
      <c r="J1142" s="1" t="str">
        <f>"0000000076"</f>
        <v>0000000076</v>
      </c>
      <c r="K1142" s="1" t="str">
        <f>"قير 60/70 - فله"</f>
        <v>قير 60/70 - فله</v>
      </c>
      <c r="L1142" s="1">
        <v>100</v>
      </c>
      <c r="M1142" s="1" t="str">
        <f>"مخازن قير اصفهان"</f>
        <v>مخازن قير اصفهان</v>
      </c>
      <c r="N1142" s="1">
        <v>11008</v>
      </c>
      <c r="O1142" s="1">
        <v>50034838</v>
      </c>
      <c r="P1142" s="1" t="str">
        <f>"  افق راه ماندگار"</f>
        <v xml:space="preserve">  افق راه ماندگار</v>
      </c>
      <c r="Q1142" s="1">
        <v>11</v>
      </c>
      <c r="R1142" s="1" t="str">
        <f>"فروش داخلي تهران - بورس"</f>
        <v>فروش داخلي تهران - بورس</v>
      </c>
      <c r="S1142" s="1" t="str">
        <f>"قرارداد فروش"</f>
        <v>قرارداد فروش</v>
      </c>
      <c r="T1142" s="1" t="str">
        <f>"ندارد"</f>
        <v>ندارد</v>
      </c>
      <c r="U1142" s="1" t="str">
        <f>"عزيزي صفر(1006ج 89)"</f>
        <v>عزيزي صفر(1006ج 89)</v>
      </c>
      <c r="V1142" s="1">
        <v>961100018</v>
      </c>
      <c r="W1142" s="1">
        <v>961100018</v>
      </c>
      <c r="X1142" s="1" t="str">
        <f>"1396479257"</f>
        <v>1396479257</v>
      </c>
      <c r="Y1142" s="1" t="str">
        <f>"96/02/25"</f>
        <v>96/02/25</v>
      </c>
      <c r="Z1142" s="1" t="str">
        <f>"96-35479"</f>
        <v>96-35479</v>
      </c>
      <c r="AA1142" s="1" t="str">
        <f>"راه سازي"</f>
        <v>راه سازي</v>
      </c>
      <c r="AB1142" s="1" t="str">
        <f>"96/02/25"</f>
        <v>96/02/25</v>
      </c>
      <c r="AC1142" s="1" t="str">
        <f>"استان اصفهان"</f>
        <v>استان اصفهان</v>
      </c>
      <c r="AD1142" s="1" t="str">
        <f>"96/02/18"</f>
        <v>96/02/18</v>
      </c>
      <c r="AE1142" s="1" t="str">
        <f>"اختتام"</f>
        <v>اختتام</v>
      </c>
      <c r="AF1142" s="1" t="str">
        <f>""</f>
        <v/>
      </c>
      <c r="AG1142" s="1" t="str">
        <f>""</f>
        <v/>
      </c>
      <c r="AH1142" s="1" t="str">
        <f>""</f>
        <v/>
      </c>
      <c r="AI1142" s="1" t="str">
        <f>""</f>
        <v/>
      </c>
      <c r="AJ1142" s="1" t="str">
        <f>""</f>
        <v/>
      </c>
      <c r="AK1142" s="1" t="str">
        <f>""</f>
        <v/>
      </c>
    </row>
    <row r="1143" spans="1:37">
      <c r="A1143" s="1">
        <v>165000</v>
      </c>
      <c r="B1143" s="1">
        <v>961700046</v>
      </c>
      <c r="C1143" s="1" t="str">
        <f>"تخليه -ايلام شهرستان مهران -صالح آباد-شركت ماداكتو"</f>
        <v>تخليه -ايلام شهرستان مهران -صالح آباد-شركت ماداكتو</v>
      </c>
      <c r="D1143" s="1">
        <v>8904</v>
      </c>
      <c r="E1143" s="1">
        <v>165000</v>
      </c>
      <c r="F1143" s="1">
        <v>96</v>
      </c>
      <c r="G1143" s="1">
        <v>0</v>
      </c>
      <c r="H1143" s="1" t="str">
        <f>"96/05/17"</f>
        <v>96/05/17</v>
      </c>
      <c r="I1143" s="1" t="str">
        <f>"كيلوگرم"</f>
        <v>كيلوگرم</v>
      </c>
      <c r="J1143" s="1" t="str">
        <f>"0000000092"</f>
        <v>0000000092</v>
      </c>
      <c r="K1143" s="1" t="str">
        <f>"قير  PG64-16"</f>
        <v>قير  PG64-16</v>
      </c>
      <c r="L1143" s="1">
        <v>100</v>
      </c>
      <c r="M1143" s="1" t="str">
        <f>"مخازن قير اصفهان"</f>
        <v>مخازن قير اصفهان</v>
      </c>
      <c r="N1143" s="1">
        <v>9237</v>
      </c>
      <c r="O1143" s="1">
        <v>50035564</v>
      </c>
      <c r="P1143" s="1" t="str">
        <f>"  ماداكتو"</f>
        <v xml:space="preserve">  ماداكتو</v>
      </c>
      <c r="Q1143" s="1">
        <v>17</v>
      </c>
      <c r="R1143" s="1" t="str">
        <f>"فروش داخلي تهران - وزارت راه - راه روستايي - روکش"</f>
        <v>فروش داخلي تهران - وزارت راه - راه روستايي - روکش</v>
      </c>
      <c r="S1143" s="1" t="str">
        <f>"قرارداد فروش"</f>
        <v>قرارداد فروش</v>
      </c>
      <c r="T1143" s="1" t="str">
        <f>"ندارد"</f>
        <v>ندارد</v>
      </c>
      <c r="U1143" s="1" t="str">
        <f>"عظيمي محمد(2842015)"</f>
        <v>عظيمي محمد(2842015)</v>
      </c>
      <c r="V1143" s="1">
        <v>961700046</v>
      </c>
      <c r="W1143" s="1">
        <v>961700046</v>
      </c>
      <c r="X1143" s="1" t="str">
        <f>"1396503549"</f>
        <v>1396503549</v>
      </c>
      <c r="Y1143" s="1" t="str">
        <f>"96/05/17"</f>
        <v>96/05/17</v>
      </c>
      <c r="Z1143" s="1" t="str">
        <f>"22147/710"</f>
        <v>22147/710</v>
      </c>
      <c r="AA1143" s="1" t="str">
        <f>"راه روستائي -روكش"</f>
        <v>راه روستائي -روكش</v>
      </c>
      <c r="AB1143" s="1" t="str">
        <f>"96/05/09"</f>
        <v>96/05/09</v>
      </c>
      <c r="AC1143" s="1" t="str">
        <f>"استان ايلام"</f>
        <v>استان ايلام</v>
      </c>
      <c r="AD1143" s="1" t="str">
        <f>"96/05/17"</f>
        <v>96/05/17</v>
      </c>
      <c r="AE1143" s="1" t="str">
        <f>"اختتام"</f>
        <v>اختتام</v>
      </c>
      <c r="AF1143" s="1" t="str">
        <f>""</f>
        <v/>
      </c>
      <c r="AG1143" s="1" t="str">
        <f>""</f>
        <v/>
      </c>
      <c r="AH1143" s="1" t="str">
        <f>""</f>
        <v/>
      </c>
      <c r="AI1143" s="1" t="str">
        <f>""</f>
        <v/>
      </c>
      <c r="AJ1143" s="1" t="str">
        <f>""</f>
        <v/>
      </c>
      <c r="AK1143" s="1" t="str">
        <f>""</f>
        <v/>
      </c>
    </row>
    <row r="1144" spans="1:37">
      <c r="A1144" s="1">
        <v>430000</v>
      </c>
      <c r="B1144" s="1">
        <v>961800011</v>
      </c>
      <c r="C1144" s="1" t="str">
        <f>"تخليه -ايلام -كيلومتر60محورايلام -دره شهرمخازن قيرشركت ايلام راه بان"</f>
        <v>تخليه -ايلام -كيلومتر60محورايلام -دره شهرمخازن قيرشركت ايلام راه بان</v>
      </c>
      <c r="D1144" s="1">
        <v>8904</v>
      </c>
      <c r="E1144" s="1">
        <v>426760</v>
      </c>
      <c r="F1144" s="1">
        <v>96</v>
      </c>
      <c r="G1144" s="1">
        <v>3240</v>
      </c>
      <c r="H1144" s="1" t="str">
        <f>"96/04/20"</f>
        <v>96/04/20</v>
      </c>
      <c r="I1144" s="1" t="str">
        <f>"كيلوگرم"</f>
        <v>كيلوگرم</v>
      </c>
      <c r="J1144" s="1" t="str">
        <f>"0000000092"</f>
        <v>0000000092</v>
      </c>
      <c r="K1144" s="1" t="str">
        <f>"قير  PG64-16"</f>
        <v>قير  PG64-16</v>
      </c>
      <c r="L1144" s="1">
        <v>100</v>
      </c>
      <c r="M1144" s="1" t="str">
        <f>"مخازن قير اصفهان"</f>
        <v>مخازن قير اصفهان</v>
      </c>
      <c r="N1144" s="1">
        <v>9296</v>
      </c>
      <c r="O1144" s="1">
        <v>50035171</v>
      </c>
      <c r="P1144" s="1" t="str">
        <f>"  ايلام راه بان"</f>
        <v xml:space="preserve">  ايلام راه بان</v>
      </c>
      <c r="Q1144" s="1">
        <v>18</v>
      </c>
      <c r="R1144" s="1" t="str">
        <f>"فروش داخلي تهران - وزارت راه - شرکت ساخت و توسعه راهها"</f>
        <v>فروش داخلي تهران - وزارت راه - شرکت ساخت و توسعه راهها</v>
      </c>
      <c r="S1144" s="1" t="str">
        <f>"قرارداد فروش"</f>
        <v>قرارداد فروش</v>
      </c>
      <c r="T1144" s="1" t="str">
        <f>"ندارد"</f>
        <v>ندارد</v>
      </c>
      <c r="U1144" s="1" t="str">
        <f>"عظيمي محمد(2842015)"</f>
        <v>عظيمي محمد(2842015)</v>
      </c>
      <c r="V1144" s="1">
        <v>961800011</v>
      </c>
      <c r="W1144" s="1">
        <v>961800011</v>
      </c>
      <c r="X1144" s="1" t="str">
        <f>"1396495476"</f>
        <v>1396495476</v>
      </c>
      <c r="Y1144" s="1" t="str">
        <f>"96/04/20"</f>
        <v>96/04/20</v>
      </c>
      <c r="Z1144" s="1" t="str">
        <f>"16955/710"</f>
        <v>16955/710</v>
      </c>
      <c r="AA1144" s="1" t="str">
        <f>"شركت  ساخت وتوسعه راهها"</f>
        <v>شركت  ساخت وتوسعه راهها</v>
      </c>
      <c r="AB1144" s="1" t="str">
        <f>"96/04/17"</f>
        <v>96/04/17</v>
      </c>
      <c r="AC1144" s="1" t="str">
        <f>"استان ايلام"</f>
        <v>استان ايلام</v>
      </c>
      <c r="AD1144" s="1" t="str">
        <f>"96/04/20"</f>
        <v>96/04/20</v>
      </c>
      <c r="AE1144" s="1" t="str">
        <f>"اختتام"</f>
        <v>اختتام</v>
      </c>
      <c r="AF1144" s="1" t="str">
        <f>""</f>
        <v/>
      </c>
      <c r="AG1144" s="1" t="str">
        <f>""</f>
        <v/>
      </c>
      <c r="AH1144" s="1" t="str">
        <f>""</f>
        <v/>
      </c>
      <c r="AI1144" s="1" t="str">
        <f>""</f>
        <v/>
      </c>
      <c r="AJ1144" s="1" t="str">
        <f>""</f>
        <v/>
      </c>
      <c r="AK1144" s="1" t="str">
        <f>""</f>
        <v/>
      </c>
    </row>
    <row r="1145" spans="1:37">
      <c r="A1145" s="1">
        <v>75000</v>
      </c>
      <c r="B1145" s="1">
        <v>966200739</v>
      </c>
      <c r="C1145" s="1" t="str">
        <f>"تخليه - کهگيلويه و بويراحمد-ياسوج-کمربندي ياسوج کارخانه آسفالت زارع"</f>
        <v>تخليه - کهگيلويه و بويراحمد-ياسوج-کمربندي ياسوج کارخانه آسفالت زارع</v>
      </c>
      <c r="D1145" s="1">
        <v>13350</v>
      </c>
      <c r="E1145" s="1">
        <v>75000</v>
      </c>
      <c r="F1145" s="1">
        <v>96</v>
      </c>
      <c r="G1145" s="1">
        <v>0</v>
      </c>
      <c r="H1145" s="1" t="str">
        <f>"96/12/26"</f>
        <v>96/12/26</v>
      </c>
      <c r="I1145" s="1" t="str">
        <f>"كيلوگرم"</f>
        <v>كيلوگرم</v>
      </c>
      <c r="J1145" s="1" t="str">
        <f>"0000000076"</f>
        <v>0000000076</v>
      </c>
      <c r="K1145" s="1" t="str">
        <f>"قير 60/70 - فله"</f>
        <v>قير 60/70 - فله</v>
      </c>
      <c r="L1145" s="1">
        <v>100</v>
      </c>
      <c r="M1145" s="1" t="str">
        <f>"مخازن قير اصفهان"</f>
        <v>مخازن قير اصفهان</v>
      </c>
      <c r="N1145" s="1">
        <v>11043</v>
      </c>
      <c r="O1145" s="1">
        <v>50039100</v>
      </c>
      <c r="P1145" s="1" t="str">
        <f>"  كاوه كاركوهستان"</f>
        <v xml:space="preserve">  كاوه كاركوهستان</v>
      </c>
      <c r="Q1145" s="1">
        <v>62</v>
      </c>
      <c r="R1145" s="1" t="str">
        <f>"فروش داخلي - سازمان بنيادمسكن انقلاب اسلامي"</f>
        <v>فروش داخلي - سازمان بنيادمسكن انقلاب اسلامي</v>
      </c>
      <c r="S1145" s="1" t="str">
        <f>"قرارداد فروش"</f>
        <v>قرارداد فروش</v>
      </c>
      <c r="T1145" s="1" t="str">
        <f>"ندارد"</f>
        <v>ندارد</v>
      </c>
      <c r="U1145" s="1" t="str">
        <f>"غلام نجفي سيامك‌‌‌‌‌‌(1881082)"</f>
        <v>غلام نجفي سيامك‌‌‌‌‌‌(1881082)</v>
      </c>
      <c r="V1145" s="1">
        <v>966200739</v>
      </c>
      <c r="W1145" s="1">
        <v>966200739</v>
      </c>
      <c r="X1145" s="1" t="str">
        <f>"1396555422"</f>
        <v>1396555422</v>
      </c>
      <c r="Y1145" s="1" t="str">
        <f>"96/12/26"</f>
        <v>96/12/26</v>
      </c>
      <c r="Z1145" s="1" t="str">
        <f>"59451/د"</f>
        <v>59451/د</v>
      </c>
      <c r="AA1145" s="1" t="str">
        <f>"بنيادمسكن انقلاب اسلامي"</f>
        <v>بنيادمسكن انقلاب اسلامي</v>
      </c>
      <c r="AB1145" s="1" t="str">
        <f>"96/12/23"</f>
        <v>96/12/23</v>
      </c>
      <c r="AC1145" s="1" t="str">
        <f>"كهكيلويه و بوير احمد"</f>
        <v>كهكيلويه و بوير احمد</v>
      </c>
      <c r="AD1145" s="1" t="str">
        <f>"96/12/26"</f>
        <v>96/12/26</v>
      </c>
      <c r="AE1145" s="1" t="str">
        <f>"اختتام"</f>
        <v>اختتام</v>
      </c>
      <c r="AF1145" s="1" t="str">
        <f>""</f>
        <v/>
      </c>
      <c r="AG1145" s="1" t="str">
        <f>""</f>
        <v/>
      </c>
      <c r="AH1145" s="1" t="str">
        <f>""</f>
        <v/>
      </c>
      <c r="AI1145" s="1" t="str">
        <f>""</f>
        <v/>
      </c>
      <c r="AJ1145" s="1" t="str">
        <f>""</f>
        <v/>
      </c>
      <c r="AK1145" s="1" t="str">
        <f>""</f>
        <v/>
      </c>
    </row>
    <row r="1146" spans="1:37">
      <c r="A1146" s="1">
        <v>120000</v>
      </c>
      <c r="B1146" s="1">
        <v>966200478</v>
      </c>
      <c r="C1146" s="1" t="str">
        <f>"تخليه-ياسوج- پليس راه ياسوج اصفهان-کارخانه آسفالت زارع"</f>
        <v>تخليه-ياسوج- پليس راه ياسوج اصفهان-کارخانه آسفالت زارع</v>
      </c>
      <c r="D1146" s="1">
        <v>12820</v>
      </c>
      <c r="E1146" s="1">
        <v>118160</v>
      </c>
      <c r="F1146" s="1">
        <v>96</v>
      </c>
      <c r="G1146" s="1">
        <v>1840</v>
      </c>
      <c r="H1146" s="1" t="str">
        <f>"96/09/27"</f>
        <v>96/09/27</v>
      </c>
      <c r="I1146" s="1" t="str">
        <f>"كيلوگرم"</f>
        <v>كيلوگرم</v>
      </c>
      <c r="J1146" s="1" t="str">
        <f>"0000000076"</f>
        <v>0000000076</v>
      </c>
      <c r="K1146" s="1" t="str">
        <f>"قير 60/70 - فله"</f>
        <v>قير 60/70 - فله</v>
      </c>
      <c r="L1146" s="1">
        <v>100</v>
      </c>
      <c r="M1146" s="1" t="str">
        <f>"مخازن قير اصفهان"</f>
        <v>مخازن قير اصفهان</v>
      </c>
      <c r="N1146" s="1">
        <v>11045</v>
      </c>
      <c r="O1146" s="1">
        <v>50037923</v>
      </c>
      <c r="P1146" s="1" t="str">
        <f>"  شاه کوه مارگون"</f>
        <v xml:space="preserve">  شاه کوه مارگون</v>
      </c>
      <c r="Q1146" s="1">
        <v>62</v>
      </c>
      <c r="R1146" s="1" t="str">
        <f>"فروش داخلي - سازمان بنيادمسكن انقلاب اسلامي"</f>
        <v>فروش داخلي - سازمان بنيادمسكن انقلاب اسلامي</v>
      </c>
      <c r="S1146" s="1" t="str">
        <f>"قرارداد فروش"</f>
        <v>قرارداد فروش</v>
      </c>
      <c r="T1146" s="1" t="str">
        <f>"ندارد"</f>
        <v>ندارد</v>
      </c>
      <c r="U1146" s="1" t="str">
        <f>"غلام نجفي سيامك‌‌‌‌‌‌(1881082)"</f>
        <v>غلام نجفي سيامك‌‌‌‌‌‌(1881082)</v>
      </c>
      <c r="V1146" s="1">
        <v>966200478</v>
      </c>
      <c r="W1146" s="1">
        <v>966200478</v>
      </c>
      <c r="X1146" s="1" t="str">
        <f>"1396533043"</f>
        <v>1396533043</v>
      </c>
      <c r="Y1146" s="1" t="str">
        <f>"96/09/27"</f>
        <v>96/09/27</v>
      </c>
      <c r="Z1146" s="1" t="str">
        <f>"42440/د"</f>
        <v>42440/د</v>
      </c>
      <c r="AA1146" s="1" t="str">
        <f>"بنيادمسكن انقلاب اسلامي"</f>
        <v>بنيادمسكن انقلاب اسلامي</v>
      </c>
      <c r="AB1146" s="1" t="str">
        <f>"96/09/26"</f>
        <v>96/09/26</v>
      </c>
      <c r="AC1146" s="1" t="str">
        <f>"كهكيلويه و بوير احمد"</f>
        <v>كهكيلويه و بوير احمد</v>
      </c>
      <c r="AD1146" s="1" t="str">
        <f>"96/09/27"</f>
        <v>96/09/27</v>
      </c>
      <c r="AE1146" s="1" t="str">
        <f>"اختتام"</f>
        <v>اختتام</v>
      </c>
      <c r="AF1146" s="1" t="str">
        <f>""</f>
        <v/>
      </c>
      <c r="AG1146" s="1" t="str">
        <f>""</f>
        <v/>
      </c>
      <c r="AH1146" s="1" t="str">
        <f>""</f>
        <v/>
      </c>
      <c r="AI1146" s="1" t="str">
        <f>""</f>
        <v/>
      </c>
      <c r="AJ1146" s="1" t="str">
        <f>""</f>
        <v/>
      </c>
      <c r="AK1146" s="1" t="str">
        <f>""</f>
        <v/>
      </c>
    </row>
    <row r="1147" spans="1:37">
      <c r="A1147" s="1">
        <v>270000</v>
      </c>
      <c r="B1147" s="1">
        <v>966200713</v>
      </c>
      <c r="C1147" s="1" t="str">
        <f>"تخليه - کهگيلويه و بويراحمد-ياسوج-پليس راه ياسوج اصفهان -کارخانه آسفالت داريوش جوکار"</f>
        <v>تخليه - کهگيلويه و بويراحمد-ياسوج-پليس راه ياسوج اصفهان -کارخانه آسفالت داريوش جوکار</v>
      </c>
      <c r="D1147" s="1">
        <v>13350</v>
      </c>
      <c r="E1147" s="1">
        <v>268860</v>
      </c>
      <c r="F1147" s="1">
        <v>96</v>
      </c>
      <c r="G1147" s="1">
        <v>1140</v>
      </c>
      <c r="H1147" s="1" t="str">
        <f>"96/12/26"</f>
        <v>96/12/26</v>
      </c>
      <c r="I1147" s="1" t="str">
        <f>"كيلوگرم"</f>
        <v>كيلوگرم</v>
      </c>
      <c r="J1147" s="1" t="str">
        <f>"0000000076"</f>
        <v>0000000076</v>
      </c>
      <c r="K1147" s="1" t="str">
        <f>"قير 60/70 - فله"</f>
        <v>قير 60/70 - فله</v>
      </c>
      <c r="L1147" s="1">
        <v>100</v>
      </c>
      <c r="M1147" s="1" t="str">
        <f>"مخازن قير اصفهان"</f>
        <v>مخازن قير اصفهان</v>
      </c>
      <c r="N1147" s="1">
        <v>11046</v>
      </c>
      <c r="O1147" s="1">
        <v>50039072</v>
      </c>
      <c r="P1147" s="1" t="str">
        <f>"  آذين بام مشايخ"</f>
        <v xml:space="preserve">  آذين بام مشايخ</v>
      </c>
      <c r="Q1147" s="1">
        <v>62</v>
      </c>
      <c r="R1147" s="1" t="str">
        <f>"فروش داخلي - سازمان بنيادمسكن انقلاب اسلامي"</f>
        <v>فروش داخلي - سازمان بنيادمسكن انقلاب اسلامي</v>
      </c>
      <c r="S1147" s="1" t="str">
        <f>"قرارداد فروش"</f>
        <v>قرارداد فروش</v>
      </c>
      <c r="T1147" s="1" t="str">
        <f>"ندارد"</f>
        <v>ندارد</v>
      </c>
      <c r="U1147" s="1" t="str">
        <f>"غلام نجفي سيامك‌‌‌‌‌‌(1881082)"</f>
        <v>غلام نجفي سيامك‌‌‌‌‌‌(1881082)</v>
      </c>
      <c r="V1147" s="1">
        <v>966200713</v>
      </c>
      <c r="W1147" s="1">
        <v>966200713</v>
      </c>
      <c r="X1147" s="1" t="str">
        <f>"1396555371"</f>
        <v>1396555371</v>
      </c>
      <c r="Y1147" s="1" t="str">
        <f>"96/12/26"</f>
        <v>96/12/26</v>
      </c>
      <c r="Z1147" s="1" t="str">
        <f>"59461/د"</f>
        <v>59461/د</v>
      </c>
      <c r="AA1147" s="1" t="str">
        <f>"بنيادمسكن انقلاب اسلامي"</f>
        <v>بنيادمسكن انقلاب اسلامي</v>
      </c>
      <c r="AB1147" s="1" t="str">
        <f>"96/12/23"</f>
        <v>96/12/23</v>
      </c>
      <c r="AC1147" s="1" t="str">
        <f>"كهكيلويه و بوير احمد"</f>
        <v>كهكيلويه و بوير احمد</v>
      </c>
      <c r="AD1147" s="1" t="str">
        <f>"96/12/26"</f>
        <v>96/12/26</v>
      </c>
      <c r="AE1147" s="1" t="str">
        <f>"اختتام"</f>
        <v>اختتام</v>
      </c>
      <c r="AF1147" s="1" t="str">
        <f>""</f>
        <v/>
      </c>
      <c r="AG1147" s="1" t="str">
        <f>""</f>
        <v/>
      </c>
      <c r="AH1147" s="1" t="str">
        <f>""</f>
        <v/>
      </c>
      <c r="AI1147" s="1" t="str">
        <f>""</f>
        <v/>
      </c>
      <c r="AJ1147" s="1" t="str">
        <f>""</f>
        <v/>
      </c>
      <c r="AK1147" s="1" t="str">
        <f>""</f>
        <v/>
      </c>
    </row>
    <row r="1148" spans="1:37">
      <c r="A1148" s="1">
        <v>15000</v>
      </c>
      <c r="B1148" s="1">
        <v>966200601</v>
      </c>
      <c r="C1148" s="1" t="str">
        <f>"تخليه - کهگيلويه و بويراحمد-ياسوج-پليس راه ياسوج اصفهان-کارخانه آسفالت زارع"</f>
        <v>تخليه - کهگيلويه و بويراحمد-ياسوج-پليس راه ياسوج اصفهان-کارخانه آسفالت زارع</v>
      </c>
      <c r="D1148" s="1">
        <v>13350</v>
      </c>
      <c r="E1148" s="1">
        <v>15000</v>
      </c>
      <c r="F1148" s="1">
        <v>96</v>
      </c>
      <c r="G1148" s="1">
        <v>0</v>
      </c>
      <c r="H1148" s="1" t="str">
        <f>"96/12/09"</f>
        <v>96/12/09</v>
      </c>
      <c r="I1148" s="1" t="str">
        <f>"كيلوگرم"</f>
        <v>كيلوگرم</v>
      </c>
      <c r="J1148" s="1" t="str">
        <f>"0000000076"</f>
        <v>0000000076</v>
      </c>
      <c r="K1148" s="1" t="str">
        <f>"قير 60/70 - فله"</f>
        <v>قير 60/70 - فله</v>
      </c>
      <c r="L1148" s="1">
        <v>100</v>
      </c>
      <c r="M1148" s="1" t="str">
        <f>"مخازن قير اصفهان"</f>
        <v>مخازن قير اصفهان</v>
      </c>
      <c r="N1148" s="1">
        <v>11055</v>
      </c>
      <c r="O1148" s="1">
        <v>50038660</v>
      </c>
      <c r="P1148" s="1" t="str">
        <f>"  بکتاش سازه زاگرس"</f>
        <v xml:space="preserve">  بکتاش سازه زاگرس</v>
      </c>
      <c r="Q1148" s="1">
        <v>62</v>
      </c>
      <c r="R1148" s="1" t="str">
        <f>"فروش داخلي - سازمان بنيادمسكن انقلاب اسلامي"</f>
        <v>فروش داخلي - سازمان بنيادمسكن انقلاب اسلامي</v>
      </c>
      <c r="S1148" s="1" t="str">
        <f>"قرارداد فروش"</f>
        <v>قرارداد فروش</v>
      </c>
      <c r="T1148" s="1" t="str">
        <f>"ندارد"</f>
        <v>ندارد</v>
      </c>
      <c r="U1148" s="1" t="str">
        <f>"غلام نجفي سيامك‌‌‌‌‌‌(1881082)"</f>
        <v>غلام نجفي سيامك‌‌‌‌‌‌(1881082)</v>
      </c>
      <c r="V1148" s="1">
        <v>966200601</v>
      </c>
      <c r="W1148" s="1">
        <v>966200601</v>
      </c>
      <c r="X1148" s="1" t="str">
        <f>"1396551611"</f>
        <v>1396551611</v>
      </c>
      <c r="Y1148" s="1" t="str">
        <f>"96/12/09"</f>
        <v>96/12/09</v>
      </c>
      <c r="Z1148" s="1" t="str">
        <f>"55673/د"</f>
        <v>55673/د</v>
      </c>
      <c r="AA1148" s="1" t="str">
        <f>"بنيادمسكن انقلاب اسلامي"</f>
        <v>بنيادمسكن انقلاب اسلامي</v>
      </c>
      <c r="AB1148" s="1" t="str">
        <f>"96/12/08"</f>
        <v>96/12/08</v>
      </c>
      <c r="AC1148" s="1" t="str">
        <f>"كهكيلويه و بوير احمد"</f>
        <v>كهكيلويه و بوير احمد</v>
      </c>
      <c r="AD1148" s="1" t="str">
        <f>"96/12/09"</f>
        <v>96/12/09</v>
      </c>
      <c r="AE1148" s="1" t="str">
        <f>"اختتام"</f>
        <v>اختتام</v>
      </c>
      <c r="AF1148" s="1" t="str">
        <f>""</f>
        <v/>
      </c>
      <c r="AG1148" s="1" t="str">
        <f>""</f>
        <v/>
      </c>
      <c r="AH1148" s="1" t="str">
        <f>""</f>
        <v/>
      </c>
      <c r="AI1148" s="1" t="str">
        <f>""</f>
        <v/>
      </c>
      <c r="AJ1148" s="1" t="str">
        <f>""</f>
        <v/>
      </c>
      <c r="AK1148" s="1" t="str">
        <f>""</f>
        <v/>
      </c>
    </row>
    <row r="1149" spans="1:37">
      <c r="A1149" s="1">
        <v>42000</v>
      </c>
      <c r="B1149" s="1">
        <v>966200466</v>
      </c>
      <c r="C1149" s="1" t="str">
        <f>"تخليه-ياسوج-روستاي دارشاهي-آسفالت شکوهي"</f>
        <v>تخليه-ياسوج-روستاي دارشاهي-آسفالت شکوهي</v>
      </c>
      <c r="D1149" s="1">
        <v>12820</v>
      </c>
      <c r="E1149" s="1">
        <v>41640</v>
      </c>
      <c r="F1149" s="1">
        <v>96</v>
      </c>
      <c r="G1149" s="1">
        <v>360</v>
      </c>
      <c r="H1149" s="1" t="str">
        <f>"96/09/27"</f>
        <v>96/09/27</v>
      </c>
      <c r="I1149" s="1" t="str">
        <f>"كيلوگرم"</f>
        <v>كيلوگرم</v>
      </c>
      <c r="J1149" s="1" t="str">
        <f>"0000000076"</f>
        <v>0000000076</v>
      </c>
      <c r="K1149" s="1" t="str">
        <f>"قير 60/70 - فله"</f>
        <v>قير 60/70 - فله</v>
      </c>
      <c r="L1149" s="1">
        <v>100</v>
      </c>
      <c r="M1149" s="1" t="str">
        <f>"مخازن قير اصفهان"</f>
        <v>مخازن قير اصفهان</v>
      </c>
      <c r="N1149" s="1">
        <v>11057</v>
      </c>
      <c r="O1149" s="1">
        <v>50037906</v>
      </c>
      <c r="P1149" s="1" t="str">
        <f>"  شهين كوه زاگرس"</f>
        <v xml:space="preserve">  شهين كوه زاگرس</v>
      </c>
      <c r="Q1149" s="1">
        <v>62</v>
      </c>
      <c r="R1149" s="1" t="str">
        <f>"فروش داخلي - سازمان بنيادمسكن انقلاب اسلامي"</f>
        <v>فروش داخلي - سازمان بنيادمسكن انقلاب اسلامي</v>
      </c>
      <c r="S1149" s="1" t="str">
        <f>"قرارداد فروش"</f>
        <v>قرارداد فروش</v>
      </c>
      <c r="T1149" s="1" t="str">
        <f>"ندارد"</f>
        <v>ندارد</v>
      </c>
      <c r="U1149" s="1" t="str">
        <f>"غلام نجفي سيامك‌‌‌‌‌‌(1881082)"</f>
        <v>غلام نجفي سيامك‌‌‌‌‌‌(1881082)</v>
      </c>
      <c r="V1149" s="1">
        <v>966200466</v>
      </c>
      <c r="W1149" s="1">
        <v>966200466</v>
      </c>
      <c r="X1149" s="1" t="str">
        <f>"1396533043"</f>
        <v>1396533043</v>
      </c>
      <c r="Y1149" s="1" t="str">
        <f>"96/09/27"</f>
        <v>96/09/27</v>
      </c>
      <c r="Z1149" s="1" t="str">
        <f>"42429/د"</f>
        <v>42429/د</v>
      </c>
      <c r="AA1149" s="1" t="str">
        <f>"بنيادمسكن انقلاب اسلامي"</f>
        <v>بنيادمسكن انقلاب اسلامي</v>
      </c>
      <c r="AB1149" s="1" t="str">
        <f>"96/09/26"</f>
        <v>96/09/26</v>
      </c>
      <c r="AC1149" s="1" t="str">
        <f>"كهكيلويه و بوير احمد"</f>
        <v>كهكيلويه و بوير احمد</v>
      </c>
      <c r="AD1149" s="1" t="str">
        <f>"96/09/27"</f>
        <v>96/09/27</v>
      </c>
      <c r="AE1149" s="1" t="str">
        <f>"اختتام"</f>
        <v>اختتام</v>
      </c>
      <c r="AF1149" s="1" t="str">
        <f>""</f>
        <v/>
      </c>
      <c r="AG1149" s="1" t="str">
        <f>""</f>
        <v/>
      </c>
      <c r="AH1149" s="1" t="str">
        <f>""</f>
        <v/>
      </c>
      <c r="AI1149" s="1" t="str">
        <f>""</f>
        <v/>
      </c>
      <c r="AJ1149" s="1" t="str">
        <f>""</f>
        <v/>
      </c>
      <c r="AK1149" s="1" t="str">
        <f>""</f>
        <v/>
      </c>
    </row>
    <row r="1150" spans="1:37">
      <c r="A1150" s="1">
        <v>75000</v>
      </c>
      <c r="B1150" s="1">
        <v>966200752</v>
      </c>
      <c r="C1150" s="1" t="str">
        <f>"تخليه-ياسوج-روستاي دارشاهي-آسفالت شکوهي"</f>
        <v>تخليه-ياسوج-روستاي دارشاهي-آسفالت شکوهي</v>
      </c>
      <c r="D1150" s="1">
        <v>13350</v>
      </c>
      <c r="E1150" s="1">
        <v>75000</v>
      </c>
      <c r="F1150" s="1">
        <v>96</v>
      </c>
      <c r="G1150" s="1">
        <v>0</v>
      </c>
      <c r="H1150" s="1" t="str">
        <f>"96/12/26"</f>
        <v>96/12/26</v>
      </c>
      <c r="I1150" s="1" t="str">
        <f>"كيلوگرم"</f>
        <v>كيلوگرم</v>
      </c>
      <c r="J1150" s="1" t="str">
        <f>"0000000076"</f>
        <v>0000000076</v>
      </c>
      <c r="K1150" s="1" t="str">
        <f>"قير 60/70 - فله"</f>
        <v>قير 60/70 - فله</v>
      </c>
      <c r="L1150" s="1">
        <v>100</v>
      </c>
      <c r="M1150" s="1" t="str">
        <f>"مخازن قير اصفهان"</f>
        <v>مخازن قير اصفهان</v>
      </c>
      <c r="N1150" s="1">
        <v>11057</v>
      </c>
      <c r="O1150" s="1">
        <v>50039113</v>
      </c>
      <c r="P1150" s="1" t="str">
        <f>"  شهين كوه زاگرس"</f>
        <v xml:space="preserve">  شهين كوه زاگرس</v>
      </c>
      <c r="Q1150" s="1">
        <v>62</v>
      </c>
      <c r="R1150" s="1" t="str">
        <f>"فروش داخلي - سازمان بنيادمسكن انقلاب اسلامي"</f>
        <v>فروش داخلي - سازمان بنيادمسكن انقلاب اسلامي</v>
      </c>
      <c r="S1150" s="1" t="str">
        <f>"قرارداد فروش"</f>
        <v>قرارداد فروش</v>
      </c>
      <c r="T1150" s="1" t="str">
        <f>"ندارد"</f>
        <v>ندارد</v>
      </c>
      <c r="U1150" s="1" t="str">
        <f>"غلام نجفي سيامك‌‌‌‌‌‌(1881082)"</f>
        <v>غلام نجفي سيامك‌‌‌‌‌‌(1881082)</v>
      </c>
      <c r="V1150" s="1">
        <v>966200752</v>
      </c>
      <c r="W1150" s="1">
        <v>966200752</v>
      </c>
      <c r="X1150" s="1" t="str">
        <f>"1396555371"</f>
        <v>1396555371</v>
      </c>
      <c r="Y1150" s="1" t="str">
        <f>"96/12/26"</f>
        <v>96/12/26</v>
      </c>
      <c r="Z1150" s="1" t="str">
        <f>"59456/د"</f>
        <v>59456/د</v>
      </c>
      <c r="AA1150" s="1" t="str">
        <f>"بنيادمسكن انقلاب اسلامي"</f>
        <v>بنيادمسكن انقلاب اسلامي</v>
      </c>
      <c r="AB1150" s="1" t="str">
        <f>"96/12/23"</f>
        <v>96/12/23</v>
      </c>
      <c r="AC1150" s="1" t="str">
        <f>"كهكيلويه و بوير احمد"</f>
        <v>كهكيلويه و بوير احمد</v>
      </c>
      <c r="AD1150" s="1" t="str">
        <f>"96/12/26"</f>
        <v>96/12/26</v>
      </c>
      <c r="AE1150" s="1" t="str">
        <f>"اختتام"</f>
        <v>اختتام</v>
      </c>
      <c r="AF1150" s="1" t="str">
        <f>""</f>
        <v/>
      </c>
      <c r="AG1150" s="1" t="str">
        <f>""</f>
        <v/>
      </c>
      <c r="AH1150" s="1" t="str">
        <f>""</f>
        <v/>
      </c>
      <c r="AI1150" s="1" t="str">
        <f>""</f>
        <v/>
      </c>
      <c r="AJ1150" s="1" t="str">
        <f>""</f>
        <v/>
      </c>
      <c r="AK1150" s="1" t="str">
        <f>""</f>
        <v/>
      </c>
    </row>
    <row r="1151" spans="1:37">
      <c r="A1151" s="1">
        <v>1800000</v>
      </c>
      <c r="B1151" s="1">
        <v>961700022</v>
      </c>
      <c r="C1151" s="1" t="str">
        <f>"تخليه -هرمزگان -محوررودان -كهنوج -كارخانه آسفالت شركت پي وپل جنوب"</f>
        <v>تخليه -هرمزگان -محوررودان -كهنوج -كارخانه آسفالت شركت پي وپل جنوب</v>
      </c>
      <c r="D1151" s="1">
        <v>8854</v>
      </c>
      <c r="E1151" s="1">
        <v>1800000</v>
      </c>
      <c r="F1151" s="1">
        <v>96</v>
      </c>
      <c r="G1151" s="1">
        <v>0</v>
      </c>
      <c r="H1151" s="1" t="str">
        <f>"96/04/11"</f>
        <v>96/04/11</v>
      </c>
      <c r="I1151" s="1" t="str">
        <f>"كيلوگرم"</f>
        <v>كيلوگرم</v>
      </c>
      <c r="J1151" s="1" t="str">
        <f>"0000000092"</f>
        <v>0000000092</v>
      </c>
      <c r="K1151" s="1" t="str">
        <f>"قير  PG64-16"</f>
        <v>قير  PG64-16</v>
      </c>
      <c r="L1151" s="1">
        <v>100</v>
      </c>
      <c r="M1151" s="1" t="str">
        <f>"مخازن قير اصفهان"</f>
        <v>مخازن قير اصفهان</v>
      </c>
      <c r="N1151" s="1">
        <v>10547</v>
      </c>
      <c r="O1151" s="1">
        <v>50035074</v>
      </c>
      <c r="P1151" s="1" t="str">
        <f>"  پي و پل جنوب"</f>
        <v xml:space="preserve">  پي و پل جنوب</v>
      </c>
      <c r="Q1151" s="1">
        <v>17</v>
      </c>
      <c r="R1151" s="1" t="str">
        <f>"فروش داخلي تهران - وزارت راه - راه روستايي - روکش"</f>
        <v>فروش داخلي تهران - وزارت راه - راه روستايي - روکش</v>
      </c>
      <c r="S1151" s="1" t="str">
        <f>"قرارداد فروش"</f>
        <v>قرارداد فروش</v>
      </c>
      <c r="T1151" s="1" t="str">
        <f>"ندارد"</f>
        <v>ندارد</v>
      </c>
      <c r="U1151" s="1" t="str">
        <f>"قره باغي مجيد(1871065)"</f>
        <v>قره باغي مجيد(1871065)</v>
      </c>
      <c r="V1151" s="1">
        <v>961700022</v>
      </c>
      <c r="W1151" s="1">
        <v>961700022</v>
      </c>
      <c r="X1151" s="1" t="str">
        <f>"1396492347"</f>
        <v>1396492347</v>
      </c>
      <c r="Y1151" s="1" t="str">
        <f>"96/04/11"</f>
        <v>96/04/11</v>
      </c>
      <c r="Z1151" s="1" t="str">
        <f>"14926/710"</f>
        <v>14926/710</v>
      </c>
      <c r="AA1151" s="1" t="str">
        <f>"راه روستائي -روكش"</f>
        <v>راه روستائي -روكش</v>
      </c>
      <c r="AB1151" s="1" t="str">
        <f>"96/04/03"</f>
        <v>96/04/03</v>
      </c>
      <c r="AC1151" s="1" t="str">
        <f>"استان هرمزگان"</f>
        <v>استان هرمزگان</v>
      </c>
      <c r="AD1151" s="1" t="str">
        <f>"96/04/11"</f>
        <v>96/04/11</v>
      </c>
      <c r="AE1151" s="1" t="str">
        <f>"اختتام"</f>
        <v>اختتام</v>
      </c>
      <c r="AF1151" s="1" t="str">
        <f>""</f>
        <v/>
      </c>
      <c r="AG1151" s="1" t="str">
        <f>""</f>
        <v/>
      </c>
      <c r="AH1151" s="1" t="str">
        <f>""</f>
        <v/>
      </c>
      <c r="AI1151" s="1" t="str">
        <f>""</f>
        <v/>
      </c>
      <c r="AJ1151" s="1" t="str">
        <f>""</f>
        <v/>
      </c>
      <c r="AK1151" s="1" t="str">
        <f>""</f>
        <v/>
      </c>
    </row>
    <row r="1152" spans="1:37">
      <c r="A1152" s="1">
        <v>30000</v>
      </c>
      <c r="B1152" s="1">
        <v>961700117</v>
      </c>
      <c r="C1152" s="1" t="str">
        <f>"تخليه -جنوب كرمان -محوررودان -كهنوج -كارخانه آسفالت شركت پي وپل جنوب"</f>
        <v>تخليه -جنوب كرمان -محوررودان -كهنوج -كارخانه آسفالت شركت پي وپل جنوب</v>
      </c>
      <c r="D1152" s="1">
        <v>9363</v>
      </c>
      <c r="E1152" s="1">
        <v>30000</v>
      </c>
      <c r="F1152" s="1">
        <v>96</v>
      </c>
      <c r="G1152" s="1">
        <v>0</v>
      </c>
      <c r="H1152" s="1" t="str">
        <f>"96/07/17"</f>
        <v>96/07/17</v>
      </c>
      <c r="I1152" s="1" t="str">
        <f>"كيلوگرم"</f>
        <v>كيلوگرم</v>
      </c>
      <c r="J1152" s="1" t="str">
        <f>"0000000092"</f>
        <v>0000000092</v>
      </c>
      <c r="K1152" s="1" t="str">
        <f>"قير  PG64-16"</f>
        <v>قير  PG64-16</v>
      </c>
      <c r="L1152" s="1">
        <v>100</v>
      </c>
      <c r="M1152" s="1" t="str">
        <f>"مخازن قير اصفهان"</f>
        <v>مخازن قير اصفهان</v>
      </c>
      <c r="N1152" s="1">
        <v>10547</v>
      </c>
      <c r="O1152" s="1">
        <v>50036624</v>
      </c>
      <c r="P1152" s="1" t="str">
        <f>"  پي و پل جنوب"</f>
        <v xml:space="preserve">  پي و پل جنوب</v>
      </c>
      <c r="Q1152" s="1">
        <v>17</v>
      </c>
      <c r="R1152" s="1" t="str">
        <f>"فروش داخلي تهران - وزارت راه - راه روستايي - روکش"</f>
        <v>فروش داخلي تهران - وزارت راه - راه روستايي - روکش</v>
      </c>
      <c r="S1152" s="1" t="str">
        <f>"قرارداد فروش"</f>
        <v>قرارداد فروش</v>
      </c>
      <c r="T1152" s="1" t="str">
        <f>"ندارد"</f>
        <v>ندارد</v>
      </c>
      <c r="U1152" s="1" t="str">
        <f>"قره باغي مجيد(1871065)"</f>
        <v>قره باغي مجيد(1871065)</v>
      </c>
      <c r="V1152" s="1">
        <v>961700117</v>
      </c>
      <c r="W1152" s="1">
        <v>961700117</v>
      </c>
      <c r="X1152" s="1" t="str">
        <f>"1396517387"</f>
        <v>1396517387</v>
      </c>
      <c r="Y1152" s="1" t="str">
        <f>"96/07/17"</f>
        <v>96/07/17</v>
      </c>
      <c r="Z1152" s="1" t="str">
        <f>"34612/710"</f>
        <v>34612/710</v>
      </c>
      <c r="AA1152" s="1" t="str">
        <f>"راه روستائي -روكش"</f>
        <v>راه روستائي -روكش</v>
      </c>
      <c r="AB1152" s="1" t="str">
        <f>"96/07/15"</f>
        <v>96/07/15</v>
      </c>
      <c r="AC1152" s="1" t="str">
        <f>"جنوب کرمان"</f>
        <v>جنوب کرمان</v>
      </c>
      <c r="AD1152" s="1" t="str">
        <f>"96/07/17"</f>
        <v>96/07/17</v>
      </c>
      <c r="AE1152" s="1" t="str">
        <f>"اختتام"</f>
        <v>اختتام</v>
      </c>
      <c r="AF1152" s="1" t="str">
        <f>""</f>
        <v/>
      </c>
      <c r="AG1152" s="1" t="str">
        <f>""</f>
        <v/>
      </c>
      <c r="AH1152" s="1" t="str">
        <f>""</f>
        <v/>
      </c>
      <c r="AI1152" s="1" t="str">
        <f>""</f>
        <v/>
      </c>
      <c r="AJ1152" s="1" t="str">
        <f>""</f>
        <v/>
      </c>
      <c r="AK1152" s="1" t="str">
        <f>""</f>
        <v/>
      </c>
    </row>
    <row r="1153" spans="1:37">
      <c r="A1153" s="1">
        <v>52000</v>
      </c>
      <c r="B1153" s="1">
        <v>961700121</v>
      </c>
      <c r="C1153" s="1" t="str">
        <f>"تخليه -جنوب كرمان -محوررودان -كهنوج -كارخانه آسفالت شركت پي وپل جنوب"</f>
        <v>تخليه -جنوب كرمان -محوررودان -كهنوج -كارخانه آسفالت شركت پي وپل جنوب</v>
      </c>
      <c r="D1153" s="1">
        <v>9363</v>
      </c>
      <c r="E1153" s="1">
        <v>52000</v>
      </c>
      <c r="F1153" s="1">
        <v>96</v>
      </c>
      <c r="G1153" s="1">
        <v>0</v>
      </c>
      <c r="H1153" s="1" t="str">
        <f>"96/07/17"</f>
        <v>96/07/17</v>
      </c>
      <c r="I1153" s="1" t="str">
        <f>"كيلوگرم"</f>
        <v>كيلوگرم</v>
      </c>
      <c r="J1153" s="1" t="str">
        <f>"0000000092"</f>
        <v>0000000092</v>
      </c>
      <c r="K1153" s="1" t="str">
        <f>"قير  PG64-16"</f>
        <v>قير  PG64-16</v>
      </c>
      <c r="L1153" s="1">
        <v>100</v>
      </c>
      <c r="M1153" s="1" t="str">
        <f>"مخازن قير اصفهان"</f>
        <v>مخازن قير اصفهان</v>
      </c>
      <c r="N1153" s="1">
        <v>10547</v>
      </c>
      <c r="O1153" s="1">
        <v>50036630</v>
      </c>
      <c r="P1153" s="1" t="str">
        <f>"  پي و پل جنوب"</f>
        <v xml:space="preserve">  پي و پل جنوب</v>
      </c>
      <c r="Q1153" s="1">
        <v>17</v>
      </c>
      <c r="R1153" s="1" t="str">
        <f>"فروش داخلي تهران - وزارت راه - راه روستايي - روکش"</f>
        <v>فروش داخلي تهران - وزارت راه - راه روستايي - روکش</v>
      </c>
      <c r="S1153" s="1" t="str">
        <f>"قرارداد فروش"</f>
        <v>قرارداد فروش</v>
      </c>
      <c r="T1153" s="1" t="str">
        <f>"ندارد"</f>
        <v>ندارد</v>
      </c>
      <c r="U1153" s="1" t="str">
        <f>"قره باغي مجيد(1871065)"</f>
        <v>قره باغي مجيد(1871065)</v>
      </c>
      <c r="V1153" s="1">
        <v>961700121</v>
      </c>
      <c r="W1153" s="1">
        <v>961700121</v>
      </c>
      <c r="X1153" s="1" t="str">
        <f>"1396517387"</f>
        <v>1396517387</v>
      </c>
      <c r="Y1153" s="1" t="str">
        <f>"96/07/17"</f>
        <v>96/07/17</v>
      </c>
      <c r="Z1153" s="1" t="str">
        <f>"34799/710"</f>
        <v>34799/710</v>
      </c>
      <c r="AA1153" s="1" t="str">
        <f>"راه روستائي -روكش"</f>
        <v>راه روستائي -روكش</v>
      </c>
      <c r="AB1153" s="1" t="str">
        <f>"96/07/16"</f>
        <v>96/07/16</v>
      </c>
      <c r="AC1153" s="1" t="str">
        <f>"جنوب کرمان"</f>
        <v>جنوب کرمان</v>
      </c>
      <c r="AD1153" s="1" t="str">
        <f>"96/07/17"</f>
        <v>96/07/17</v>
      </c>
      <c r="AE1153" s="1" t="str">
        <f>"اختتام"</f>
        <v>اختتام</v>
      </c>
      <c r="AF1153" s="1" t="str">
        <f>""</f>
        <v/>
      </c>
      <c r="AG1153" s="1" t="str">
        <f>""</f>
        <v/>
      </c>
      <c r="AH1153" s="1" t="str">
        <f>""</f>
        <v/>
      </c>
      <c r="AI1153" s="1" t="str">
        <f>""</f>
        <v/>
      </c>
      <c r="AJ1153" s="1" t="str">
        <f>""</f>
        <v/>
      </c>
      <c r="AK1153" s="1" t="str">
        <f>""</f>
        <v/>
      </c>
    </row>
    <row r="1154" spans="1:37">
      <c r="A1154" s="1">
        <v>1000000</v>
      </c>
      <c r="B1154" s="1">
        <v>961900193</v>
      </c>
      <c r="C1154" s="1" t="str">
        <f>"تخليه -هرمزگان -محوررودان -كهنوج -كارخانه آسفالت شركت پي وپل جنوب"</f>
        <v>تخليه -هرمزگان -محوررودان -كهنوج -كارخانه آسفالت شركت پي وپل جنوب</v>
      </c>
      <c r="D1154" s="1">
        <v>13600</v>
      </c>
      <c r="E1154" s="1">
        <v>999460</v>
      </c>
      <c r="F1154" s="1">
        <v>96</v>
      </c>
      <c r="G1154" s="1">
        <v>540</v>
      </c>
      <c r="H1154" s="1" t="str">
        <f>"96/12/13"</f>
        <v>96/12/13</v>
      </c>
      <c r="I1154" s="1" t="str">
        <f>"كيلوگرم"</f>
        <v>كيلوگرم</v>
      </c>
      <c r="J1154" s="1" t="str">
        <f>"0000000092"</f>
        <v>0000000092</v>
      </c>
      <c r="K1154" s="1" t="str">
        <f>"قير  PG64-16"</f>
        <v>قير  PG64-16</v>
      </c>
      <c r="L1154" s="1">
        <v>100</v>
      </c>
      <c r="M1154" s="1" t="str">
        <f>"مخازن قير اصفهان"</f>
        <v>مخازن قير اصفهان</v>
      </c>
      <c r="N1154" s="1">
        <v>10547</v>
      </c>
      <c r="O1154" s="1">
        <v>50038729</v>
      </c>
      <c r="P1154" s="1" t="str">
        <f>"  پي و پل جنوب"</f>
        <v xml:space="preserve">  پي و پل جنوب</v>
      </c>
      <c r="Q1154" s="1">
        <v>19</v>
      </c>
      <c r="R115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154" s="1" t="str">
        <f>"قرارداد فروش"</f>
        <v>قرارداد فروش</v>
      </c>
      <c r="T1154" s="1" t="str">
        <f>"ندارد"</f>
        <v>ندارد</v>
      </c>
      <c r="U1154" s="1" t="str">
        <f>"حاصليان ترابرجنوب مرتضي حاصلي (4844006)"</f>
        <v>حاصليان ترابرجنوب مرتضي حاصلي (4844006)</v>
      </c>
      <c r="V1154" s="1">
        <v>961900193</v>
      </c>
      <c r="W1154" s="1">
        <v>961900193</v>
      </c>
      <c r="X1154" s="1" t="str">
        <f>"1396552093"</f>
        <v>1396552093</v>
      </c>
      <c r="Y1154" s="1" t="str">
        <f>"96/12/13"</f>
        <v>96/12/13</v>
      </c>
      <c r="Z1154" s="1" t="str">
        <f>"293826/710"</f>
        <v>293826/710</v>
      </c>
      <c r="AA1154" s="1" t="str">
        <f>"سازمان راهداري وحمل نقل جاده اي"</f>
        <v>سازمان راهداري وحمل نقل جاده اي</v>
      </c>
      <c r="AB1154" s="1" t="str">
        <f>"96/12/12"</f>
        <v>96/12/12</v>
      </c>
      <c r="AC1154" s="1" t="str">
        <f>"استان هرمزگان"</f>
        <v>استان هرمزگان</v>
      </c>
      <c r="AD1154" s="1" t="str">
        <f>"96/12/13"</f>
        <v>96/12/13</v>
      </c>
      <c r="AE1154" s="1" t="str">
        <f>"اختتام"</f>
        <v>اختتام</v>
      </c>
      <c r="AF1154" s="1" t="str">
        <f>""</f>
        <v/>
      </c>
      <c r="AG1154" s="1" t="str">
        <f>""</f>
        <v/>
      </c>
      <c r="AH1154" s="1" t="str">
        <f>""</f>
        <v/>
      </c>
      <c r="AI1154" s="1" t="str">
        <f>""</f>
        <v/>
      </c>
      <c r="AJ1154" s="1" t="str">
        <f>""</f>
        <v/>
      </c>
      <c r="AK1154" s="1" t="str">
        <f>""</f>
        <v/>
      </c>
    </row>
    <row r="1155" spans="1:37">
      <c r="A1155" s="1">
        <v>1000000</v>
      </c>
      <c r="B1155" s="1">
        <v>961600030</v>
      </c>
      <c r="C1155" s="1" t="str">
        <f>"تخليه -هرمزگان -محوررودان -كهنوج -كارخانه آسفالت شركت پي وپل جنوب"</f>
        <v>تخليه -هرمزگان -محوررودان -كهنوج -كارخانه آسفالت شركت پي وپل جنوب</v>
      </c>
      <c r="D1155" s="1">
        <v>14000</v>
      </c>
      <c r="E1155" s="1">
        <v>999140</v>
      </c>
      <c r="F1155" s="1">
        <v>96</v>
      </c>
      <c r="G1155" s="1">
        <v>860</v>
      </c>
      <c r="H1155" s="1" t="str">
        <f>"96/12/27"</f>
        <v>96/12/27</v>
      </c>
      <c r="I1155" s="1" t="str">
        <f>"كيلوگرم"</f>
        <v>كيلوگرم</v>
      </c>
      <c r="J1155" s="1" t="str">
        <f>"0000000092"</f>
        <v>0000000092</v>
      </c>
      <c r="K1155" s="1" t="str">
        <f>"قير  PG64-16"</f>
        <v>قير  PG64-16</v>
      </c>
      <c r="L1155" s="1">
        <v>100</v>
      </c>
      <c r="M1155" s="1" t="str">
        <f>"مخازن قير اصفهان"</f>
        <v>مخازن قير اصفهان</v>
      </c>
      <c r="N1155" s="1">
        <v>10547</v>
      </c>
      <c r="O1155" s="1">
        <v>50039122</v>
      </c>
      <c r="P1155" s="1" t="str">
        <f>"  پي و پل جنوب"</f>
        <v xml:space="preserve">  پي و پل جنوب</v>
      </c>
      <c r="Q1155" s="1">
        <v>16</v>
      </c>
      <c r="R1155" s="1" t="str">
        <f>"فروش داخلي تهران - وزارت راه - معاونت اقتصاد"</f>
        <v>فروش داخلي تهران - وزارت راه - معاونت اقتصاد</v>
      </c>
      <c r="S1155" s="1" t="str">
        <f>"قرارداد فروش"</f>
        <v>قرارداد فروش</v>
      </c>
      <c r="T1155" s="1" t="str">
        <f>"ندارد"</f>
        <v>ندارد</v>
      </c>
      <c r="U1155" s="1" t="str">
        <f>"قره باغي مجيد(1871065)"</f>
        <v>قره باغي مجيد(1871065)</v>
      </c>
      <c r="V1155" s="1">
        <v>961600030</v>
      </c>
      <c r="W1155" s="1">
        <v>961600030</v>
      </c>
      <c r="X1155" s="1" t="str">
        <f>"1396555471"</f>
        <v>1396555471</v>
      </c>
      <c r="Y1155" s="1" t="str">
        <f>"96/12/27"</f>
        <v>96/12/27</v>
      </c>
      <c r="Z1155" s="1" t="str">
        <f>"301582/870"</f>
        <v>301582/870</v>
      </c>
      <c r="AA1155" s="1" t="str">
        <f>"معاونت اقتصادوزارت راه وشهرسازي"</f>
        <v>معاونت اقتصادوزارت راه وشهرسازي</v>
      </c>
      <c r="AB1155" s="1" t="str">
        <f>"96/12/26"</f>
        <v>96/12/26</v>
      </c>
      <c r="AC1155" s="1" t="str">
        <f>"استان هرمزگان"</f>
        <v>استان هرمزگان</v>
      </c>
      <c r="AD1155" s="1" t="str">
        <f>"96/12/27"</f>
        <v>96/12/27</v>
      </c>
      <c r="AE1155" s="1" t="str">
        <f>"اختتام"</f>
        <v>اختتام</v>
      </c>
      <c r="AF1155" s="1" t="str">
        <f>""</f>
        <v/>
      </c>
      <c r="AG1155" s="1" t="str">
        <f>""</f>
        <v/>
      </c>
      <c r="AH1155" s="1" t="str">
        <f>""</f>
        <v/>
      </c>
      <c r="AI1155" s="1" t="str">
        <f>""</f>
        <v/>
      </c>
      <c r="AJ1155" s="1" t="str">
        <f>""</f>
        <v/>
      </c>
      <c r="AK1155" s="1" t="str">
        <f>""</f>
        <v/>
      </c>
    </row>
    <row r="1156" spans="1:37">
      <c r="A1156" s="1">
        <v>1000000</v>
      </c>
      <c r="B1156" s="1">
        <v>961700089</v>
      </c>
      <c r="C1156" s="1" t="str">
        <f>"تخليه -هرمزگان -محوررودان -كهنوج -كارخانه آسفالت شركت پي وپل جنوب"</f>
        <v>تخليه -هرمزگان -محوررودان -كهنوج -كارخانه آسفالت شركت پي وپل جنوب</v>
      </c>
      <c r="D1156" s="1">
        <v>9363</v>
      </c>
      <c r="E1156" s="1">
        <v>1000000</v>
      </c>
      <c r="F1156" s="1">
        <v>96</v>
      </c>
      <c r="G1156" s="1">
        <v>0</v>
      </c>
      <c r="H1156" s="1" t="str">
        <f>"96/06/21"</f>
        <v>96/06/21</v>
      </c>
      <c r="I1156" s="1" t="str">
        <f>"كيلوگرم"</f>
        <v>كيلوگرم</v>
      </c>
      <c r="J1156" s="1" t="str">
        <f>"0000000092"</f>
        <v>0000000092</v>
      </c>
      <c r="K1156" s="1" t="str">
        <f>"قير  PG64-16"</f>
        <v>قير  PG64-16</v>
      </c>
      <c r="L1156" s="1">
        <v>100</v>
      </c>
      <c r="M1156" s="1" t="str">
        <f>"مخازن قير اصفهان"</f>
        <v>مخازن قير اصفهان</v>
      </c>
      <c r="N1156" s="1">
        <v>10547</v>
      </c>
      <c r="O1156" s="1">
        <v>50035964</v>
      </c>
      <c r="P1156" s="1" t="str">
        <f>"  پي و پل جنوب"</f>
        <v xml:space="preserve">  پي و پل جنوب</v>
      </c>
      <c r="Q1156" s="1">
        <v>17</v>
      </c>
      <c r="R1156" s="1" t="str">
        <f>"فروش داخلي تهران - وزارت راه - راه روستايي - روکش"</f>
        <v>فروش داخلي تهران - وزارت راه - راه روستايي - روکش</v>
      </c>
      <c r="S1156" s="1" t="str">
        <f>"قرارداد فروش"</f>
        <v>قرارداد فروش</v>
      </c>
      <c r="T1156" s="1" t="str">
        <f>"ندارد"</f>
        <v>ندارد</v>
      </c>
      <c r="U1156" s="1" t="str">
        <f>"قره باغي مجيد(1871065)"</f>
        <v>قره باغي مجيد(1871065)</v>
      </c>
      <c r="V1156" s="1">
        <v>961700089</v>
      </c>
      <c r="W1156" s="1">
        <v>961700089</v>
      </c>
      <c r="X1156" s="1" t="str">
        <f>"1396511615"</f>
        <v>1396511615</v>
      </c>
      <c r="Y1156" s="1" t="str">
        <f>"96/06/21"</f>
        <v>96/06/21</v>
      </c>
      <c r="Z1156" s="1" t="str">
        <f>"30297/710"</f>
        <v>30297/710</v>
      </c>
      <c r="AA1156" s="1" t="str">
        <f>"راه روستائي -روكش"</f>
        <v>راه روستائي -روكش</v>
      </c>
      <c r="AB1156" s="1" t="str">
        <f>"96/06/20"</f>
        <v>96/06/20</v>
      </c>
      <c r="AC1156" s="1" t="str">
        <f>"استان هرمزگان"</f>
        <v>استان هرمزگان</v>
      </c>
      <c r="AD1156" s="1" t="str">
        <f>"96/06/21"</f>
        <v>96/06/21</v>
      </c>
      <c r="AE1156" s="1" t="str">
        <f>"اختتام"</f>
        <v>اختتام</v>
      </c>
      <c r="AF1156" s="1" t="str">
        <f>""</f>
        <v/>
      </c>
      <c r="AG1156" s="1" t="str">
        <f>""</f>
        <v/>
      </c>
      <c r="AH1156" s="1" t="str">
        <f>""</f>
        <v/>
      </c>
      <c r="AI1156" s="1" t="str">
        <f>""</f>
        <v/>
      </c>
      <c r="AJ1156" s="1" t="str">
        <f>""</f>
        <v/>
      </c>
      <c r="AK1156" s="1" t="str">
        <f>""</f>
        <v/>
      </c>
    </row>
    <row r="1157" spans="1:37">
      <c r="A1157" s="1">
        <v>500000</v>
      </c>
      <c r="B1157" s="1">
        <v>961700109</v>
      </c>
      <c r="C1157" s="1" t="str">
        <f>"تخليه -لرستان -كيلومتر12جاده دورود-ازنا-بالاترازروستاي ترشاب"</f>
        <v>تخليه -لرستان -كيلومتر12جاده دورود-ازنا-بالاترازروستاي ترشاب</v>
      </c>
      <c r="D1157" s="1">
        <v>12970</v>
      </c>
      <c r="E1157" s="1">
        <v>499100</v>
      </c>
      <c r="F1157" s="1">
        <v>96</v>
      </c>
      <c r="G1157" s="1">
        <v>900</v>
      </c>
      <c r="H1157" s="1" t="str">
        <f>"96/07/12"</f>
        <v>96/07/12</v>
      </c>
      <c r="I1157" s="1" t="str">
        <f>"كيلوگرم"</f>
        <v>كيلوگرم</v>
      </c>
      <c r="J1157" s="1" t="str">
        <f>"0000000092"</f>
        <v>0000000092</v>
      </c>
      <c r="K1157" s="1" t="str">
        <f>"قير  PG64-16"</f>
        <v>قير  PG64-16</v>
      </c>
      <c r="L1157" s="1">
        <v>100</v>
      </c>
      <c r="M1157" s="1" t="str">
        <f>"مخازن قير اصفهان"</f>
        <v>مخازن قير اصفهان</v>
      </c>
      <c r="N1157" s="1">
        <v>10558</v>
      </c>
      <c r="O1157" s="1">
        <v>50036542</v>
      </c>
      <c r="P1157" s="1" t="str">
        <f>"  راه شكاف زاگرس"</f>
        <v xml:space="preserve">  راه شكاف زاگرس</v>
      </c>
      <c r="Q1157" s="1">
        <v>17</v>
      </c>
      <c r="R1157" s="1" t="str">
        <f>"فروش داخلي تهران - وزارت راه - راه روستايي - روکش"</f>
        <v>فروش داخلي تهران - وزارت راه - راه روستايي - روکش</v>
      </c>
      <c r="S1157" s="1" t="str">
        <f>"قرارداد فروش"</f>
        <v>قرارداد فروش</v>
      </c>
      <c r="T1157" s="1" t="str">
        <f>"ندارد"</f>
        <v>ندارد</v>
      </c>
      <c r="U1157" s="1" t="str">
        <f>"ريسماني حسن(1007ج89)"</f>
        <v>ريسماني حسن(1007ج89)</v>
      </c>
      <c r="V1157" s="1">
        <v>961700109</v>
      </c>
      <c r="W1157" s="1">
        <v>961700109</v>
      </c>
      <c r="X1157" s="1" t="str">
        <f>"1396516800"</f>
        <v>1396516800</v>
      </c>
      <c r="Y1157" s="1" t="str">
        <f>"96/07/12"</f>
        <v>96/07/12</v>
      </c>
      <c r="Z1157" s="1" t="str">
        <f>"32930/710"</f>
        <v>32930/710</v>
      </c>
      <c r="AA1157" s="1" t="str">
        <f>"راه روستائي -روكش"</f>
        <v>راه روستائي -روكش</v>
      </c>
      <c r="AB1157" s="1" t="str">
        <f>"96/07/03"</f>
        <v>96/07/03</v>
      </c>
      <c r="AC1157" s="1" t="str">
        <f>"لرستان"</f>
        <v>لرستان</v>
      </c>
      <c r="AD1157" s="1" t="str">
        <f>"96/07/12"</f>
        <v>96/07/12</v>
      </c>
      <c r="AE1157" s="1" t="str">
        <f>"اختتام"</f>
        <v>اختتام</v>
      </c>
      <c r="AF1157" s="1" t="str">
        <f>""</f>
        <v/>
      </c>
      <c r="AG1157" s="1" t="str">
        <f>""</f>
        <v/>
      </c>
      <c r="AH1157" s="1" t="str">
        <f>""</f>
        <v/>
      </c>
      <c r="AI1157" s="1" t="str">
        <f>""</f>
        <v/>
      </c>
      <c r="AJ1157" s="1" t="str">
        <f>""</f>
        <v/>
      </c>
      <c r="AK1157" s="1" t="str">
        <f>""</f>
        <v/>
      </c>
    </row>
    <row r="1158" spans="1:37">
      <c r="A1158" s="1">
        <v>100000</v>
      </c>
      <c r="B1158" s="1">
        <v>966200359</v>
      </c>
      <c r="C1158" s="1" t="str">
        <f>"تخليه-ياسوج-کمربندي ياسوج-کارخانه آسفالت جوکار"</f>
        <v>تخليه-ياسوج-کمربندي ياسوج-کارخانه آسفالت جوکار</v>
      </c>
      <c r="D1158" s="1">
        <v>9416</v>
      </c>
      <c r="E1158" s="1">
        <v>99840</v>
      </c>
      <c r="F1158" s="1">
        <v>96</v>
      </c>
      <c r="G1158" s="1">
        <v>160</v>
      </c>
      <c r="H1158" s="1" t="str">
        <f>"96/08/09"</f>
        <v>96/08/09</v>
      </c>
      <c r="I1158" s="1" t="str">
        <f>"كيلوگرم"</f>
        <v>كيلوگرم</v>
      </c>
      <c r="J1158" s="1" t="str">
        <f>"0000000076"</f>
        <v>0000000076</v>
      </c>
      <c r="K1158" s="1" t="str">
        <f>"قير 60/70 - فله"</f>
        <v>قير 60/70 - فله</v>
      </c>
      <c r="L1158" s="1">
        <v>100</v>
      </c>
      <c r="M1158" s="1" t="str">
        <f>"مخازن قير اصفهان"</f>
        <v>مخازن قير اصفهان</v>
      </c>
      <c r="N1158" s="1">
        <v>11063</v>
      </c>
      <c r="O1158" s="1">
        <v>50036973</v>
      </c>
      <c r="P1158" s="1" t="str">
        <f>"  مشاهير راه و پل"</f>
        <v xml:space="preserve">  مشاهير راه و پل</v>
      </c>
      <c r="Q1158" s="1">
        <v>62</v>
      </c>
      <c r="R1158" s="1" t="str">
        <f>"فروش داخلي - سازمان بنيادمسكن انقلاب اسلامي"</f>
        <v>فروش داخلي - سازمان بنيادمسكن انقلاب اسلامي</v>
      </c>
      <c r="S1158" s="1" t="str">
        <f>"قرارداد فروش"</f>
        <v>قرارداد فروش</v>
      </c>
      <c r="T1158" s="1" t="str">
        <f>"ندارد"</f>
        <v>ندارد</v>
      </c>
      <c r="U1158" s="1" t="str">
        <f>"غلام نجفي سيامك‌‌‌‌‌‌(1881082)"</f>
        <v>غلام نجفي سيامك‌‌‌‌‌‌(1881082)</v>
      </c>
      <c r="V1158" s="1">
        <v>966200359</v>
      </c>
      <c r="W1158" s="1">
        <v>966200359</v>
      </c>
      <c r="X1158" s="1" t="str">
        <f>"1396522408"</f>
        <v>1396522408</v>
      </c>
      <c r="Y1158" s="1" t="str">
        <f>"96/08/09"</f>
        <v>96/08/09</v>
      </c>
      <c r="Z1158" s="1" t="str">
        <f>"35252/د"</f>
        <v>35252/د</v>
      </c>
      <c r="AA1158" s="1" t="str">
        <f>"بنيادمسكن انقلاب اسلامي"</f>
        <v>بنيادمسكن انقلاب اسلامي</v>
      </c>
      <c r="AB1158" s="1" t="str">
        <f>"96/08/08"</f>
        <v>96/08/08</v>
      </c>
      <c r="AC1158" s="1" t="str">
        <f>"كهكيلويه و بوير احمد"</f>
        <v>كهكيلويه و بوير احمد</v>
      </c>
      <c r="AD1158" s="1" t="str">
        <f>"96/08/09"</f>
        <v>96/08/09</v>
      </c>
      <c r="AE1158" s="1" t="str">
        <f>"اختتام"</f>
        <v>اختتام</v>
      </c>
      <c r="AF1158" s="1" t="str">
        <f>""</f>
        <v/>
      </c>
      <c r="AG1158" s="1" t="str">
        <f>""</f>
        <v/>
      </c>
      <c r="AH1158" s="1" t="str">
        <f>""</f>
        <v/>
      </c>
      <c r="AI1158" s="1" t="str">
        <f>""</f>
        <v/>
      </c>
      <c r="AJ1158" s="1" t="str">
        <f>""</f>
        <v/>
      </c>
      <c r="AK1158" s="1" t="str">
        <f>""</f>
        <v/>
      </c>
    </row>
    <row r="1159" spans="1:37">
      <c r="A1159" s="1">
        <v>80000</v>
      </c>
      <c r="B1159" s="1">
        <v>966200483</v>
      </c>
      <c r="C1159" s="1" t="str">
        <f>"تخليه كهگيلويه ياسوج پليس راه ياسوج اصفهان كارخانه آسفالت زارع"</f>
        <v>تخليه كهگيلويه ياسوج پليس راه ياسوج اصفهان كارخانه آسفالت زارع</v>
      </c>
      <c r="D1159" s="1">
        <v>12820</v>
      </c>
      <c r="E1159" s="1">
        <v>78380</v>
      </c>
      <c r="F1159" s="1">
        <v>96</v>
      </c>
      <c r="G1159" s="1">
        <v>1620</v>
      </c>
      <c r="H1159" s="1" t="str">
        <f>"96/09/27"</f>
        <v>96/09/27</v>
      </c>
      <c r="I1159" s="1" t="str">
        <f>"كيلوگرم"</f>
        <v>كيلوگرم</v>
      </c>
      <c r="J1159" s="1" t="str">
        <f>"0000000076"</f>
        <v>0000000076</v>
      </c>
      <c r="K1159" s="1" t="str">
        <f>"قير 60/70 - فله"</f>
        <v>قير 60/70 - فله</v>
      </c>
      <c r="L1159" s="1">
        <v>100</v>
      </c>
      <c r="M1159" s="1" t="str">
        <f>"مخازن قير اصفهان"</f>
        <v>مخازن قير اصفهان</v>
      </c>
      <c r="N1159" s="1">
        <v>11064</v>
      </c>
      <c r="O1159" s="1">
        <v>50037929</v>
      </c>
      <c r="P1159" s="1" t="str">
        <f>"  پوريا فهيم حيدر"</f>
        <v xml:space="preserve">  پوريا فهيم حيدر</v>
      </c>
      <c r="Q1159" s="1">
        <v>62</v>
      </c>
      <c r="R1159" s="1" t="str">
        <f>"فروش داخلي - سازمان بنيادمسكن انقلاب اسلامي"</f>
        <v>فروش داخلي - سازمان بنيادمسكن انقلاب اسلامي</v>
      </c>
      <c r="S1159" s="1" t="str">
        <f>"قرارداد فروش"</f>
        <v>قرارداد فروش</v>
      </c>
      <c r="T1159" s="1" t="str">
        <f>"ندارد"</f>
        <v>ندارد</v>
      </c>
      <c r="U1159" s="1" t="str">
        <f>"غلام نجفي سيامك‌‌‌‌‌‌(1881082)"</f>
        <v>غلام نجفي سيامك‌‌‌‌‌‌(1881082)</v>
      </c>
      <c r="V1159" s="1">
        <v>966200483</v>
      </c>
      <c r="W1159" s="1">
        <v>966200483</v>
      </c>
      <c r="X1159" s="1" t="str">
        <f>"1396533043"</f>
        <v>1396533043</v>
      </c>
      <c r="Y1159" s="1" t="str">
        <f>"96/09/27"</f>
        <v>96/09/27</v>
      </c>
      <c r="Z1159" s="1" t="str">
        <f>"42449/د"</f>
        <v>42449/د</v>
      </c>
      <c r="AA1159" s="1" t="str">
        <f>"بنيادمسكن انقلاب اسلامي"</f>
        <v>بنيادمسكن انقلاب اسلامي</v>
      </c>
      <c r="AB1159" s="1" t="str">
        <f>"96/09/26"</f>
        <v>96/09/26</v>
      </c>
      <c r="AC1159" s="1" t="str">
        <f>"كهكيلويه و بوير احمد"</f>
        <v>كهكيلويه و بوير احمد</v>
      </c>
      <c r="AD1159" s="1" t="str">
        <f>"96/09/27"</f>
        <v>96/09/27</v>
      </c>
      <c r="AE1159" s="1" t="str">
        <f>"اختتام"</f>
        <v>اختتام</v>
      </c>
      <c r="AF1159" s="1" t="str">
        <f>""</f>
        <v/>
      </c>
      <c r="AG1159" s="1" t="str">
        <f>""</f>
        <v/>
      </c>
      <c r="AH1159" s="1" t="str">
        <f>""</f>
        <v/>
      </c>
      <c r="AI1159" s="1" t="str">
        <f>""</f>
        <v/>
      </c>
      <c r="AJ1159" s="1" t="str">
        <f>""</f>
        <v/>
      </c>
      <c r="AK1159" s="1" t="str">
        <f>""</f>
        <v/>
      </c>
    </row>
    <row r="1160" spans="1:37">
      <c r="A1160" s="1">
        <v>51000</v>
      </c>
      <c r="B1160" s="1">
        <v>966200447</v>
      </c>
      <c r="C1160" s="1" t="str">
        <f>"تخليه - کهگيلويه و بويراحمد-باشت-روستاي سرآبيز-کارخانه اسفالت حسيني"</f>
        <v>تخليه - کهگيلويه و بويراحمد-باشت-روستاي سرآبيز-کارخانه اسفالت حسيني</v>
      </c>
      <c r="D1160" s="1">
        <v>12820</v>
      </c>
      <c r="E1160" s="1">
        <v>50000</v>
      </c>
      <c r="F1160" s="1">
        <v>96</v>
      </c>
      <c r="G1160" s="1">
        <v>1000</v>
      </c>
      <c r="H1160" s="1" t="str">
        <f>"96/09/20"</f>
        <v>96/09/20</v>
      </c>
      <c r="I1160" s="1" t="str">
        <f>"كيلوگرم"</f>
        <v>كيلوگرم</v>
      </c>
      <c r="J1160" s="1" t="str">
        <f>"0000000076"</f>
        <v>0000000076</v>
      </c>
      <c r="K1160" s="1" t="str">
        <f>"قير 60/70 - فله"</f>
        <v>قير 60/70 - فله</v>
      </c>
      <c r="L1160" s="1">
        <v>100</v>
      </c>
      <c r="M1160" s="1" t="str">
        <f>"مخازن قير اصفهان"</f>
        <v>مخازن قير اصفهان</v>
      </c>
      <c r="N1160" s="1">
        <v>11076</v>
      </c>
      <c r="O1160" s="1">
        <v>50037640</v>
      </c>
      <c r="P1160" s="1" t="str">
        <f>"  راه و ساختمان پيمان فتح جنوب"</f>
        <v xml:space="preserve">  راه و ساختمان پيمان فتح جنوب</v>
      </c>
      <c r="Q1160" s="1">
        <v>62</v>
      </c>
      <c r="R1160" s="1" t="str">
        <f>"فروش داخلي - سازمان بنيادمسكن انقلاب اسلامي"</f>
        <v>فروش داخلي - سازمان بنيادمسكن انقلاب اسلامي</v>
      </c>
      <c r="S1160" s="1" t="str">
        <f>"قرارداد فروش"</f>
        <v>قرارداد فروش</v>
      </c>
      <c r="T1160" s="1" t="str">
        <f>"ندارد"</f>
        <v>ندارد</v>
      </c>
      <c r="U1160" s="1" t="str">
        <f>"غلام نجفي سيامك‌‌‌‌‌‌(1881082)"</f>
        <v>غلام نجفي سيامك‌‌‌‌‌‌(1881082)</v>
      </c>
      <c r="V1160" s="1">
        <v>966200447</v>
      </c>
      <c r="W1160" s="1">
        <v>966200447</v>
      </c>
      <c r="X1160" s="1" t="str">
        <f>"1396531357"</f>
        <v>1396531357</v>
      </c>
      <c r="Y1160" s="1" t="str">
        <f>"96/09/20"</f>
        <v>96/09/20</v>
      </c>
      <c r="Z1160" s="1" t="str">
        <f>"41343/د"</f>
        <v>41343/د</v>
      </c>
      <c r="AA1160" s="1" t="str">
        <f>"بنيادمسكن انقلاب اسلامي"</f>
        <v>بنيادمسكن انقلاب اسلامي</v>
      </c>
      <c r="AB1160" s="1" t="str">
        <f>"96/09/20"</f>
        <v>96/09/20</v>
      </c>
      <c r="AC1160" s="1" t="str">
        <f>"كهكيلويه و بوير احمد"</f>
        <v>كهكيلويه و بوير احمد</v>
      </c>
      <c r="AD1160" s="1" t="str">
        <f>"96/09/20"</f>
        <v>96/09/20</v>
      </c>
      <c r="AE1160" s="1" t="str">
        <f>"اختتام"</f>
        <v>اختتام</v>
      </c>
      <c r="AF1160" s="1" t="str">
        <f>""</f>
        <v/>
      </c>
      <c r="AG1160" s="1" t="str">
        <f>""</f>
        <v/>
      </c>
      <c r="AH1160" s="1" t="str">
        <f>""</f>
        <v/>
      </c>
      <c r="AI1160" s="1" t="str">
        <f>""</f>
        <v/>
      </c>
      <c r="AJ1160" s="1" t="str">
        <f>""</f>
        <v/>
      </c>
      <c r="AK1160" s="1" t="str">
        <f>""</f>
        <v/>
      </c>
    </row>
    <row r="1161" spans="1:37">
      <c r="A1161" s="1">
        <v>306000</v>
      </c>
      <c r="B1161" s="1">
        <v>966200653</v>
      </c>
      <c r="C1161" s="1" t="str">
        <f>"تخليه - لرستان - اليگودرز - شهرک صنعتي سنگ -استحكام بتن خرمي"</f>
        <v>تخليه - لرستان - اليگودرز - شهرک صنعتي سنگ -استحكام بتن خرمي</v>
      </c>
      <c r="D1161" s="1">
        <v>13350</v>
      </c>
      <c r="E1161" s="1">
        <v>306000</v>
      </c>
      <c r="F1161" s="1">
        <v>96</v>
      </c>
      <c r="G1161" s="1">
        <v>0</v>
      </c>
      <c r="H1161" s="1" t="str">
        <f>"96/12/15"</f>
        <v>96/12/15</v>
      </c>
      <c r="I1161" s="1" t="str">
        <f>"كيلوگرم"</f>
        <v>كيلوگرم</v>
      </c>
      <c r="J1161" s="1" t="str">
        <f>"0000000076"</f>
        <v>0000000076</v>
      </c>
      <c r="K1161" s="1" t="str">
        <f>"قير 60/70 - فله"</f>
        <v>قير 60/70 - فله</v>
      </c>
      <c r="L1161" s="1">
        <v>100</v>
      </c>
      <c r="M1161" s="1" t="str">
        <f>"مخازن قير اصفهان"</f>
        <v>مخازن قير اصفهان</v>
      </c>
      <c r="N1161" s="1">
        <v>11081</v>
      </c>
      <c r="O1161" s="1">
        <v>50038781</v>
      </c>
      <c r="P1161" s="1" t="str">
        <f>"  استحكام بتون خرمي"</f>
        <v xml:space="preserve">  استحكام بتون خرمي</v>
      </c>
      <c r="Q1161" s="1">
        <v>62</v>
      </c>
      <c r="R1161" s="1" t="str">
        <f>"فروش داخلي - سازمان بنيادمسكن انقلاب اسلامي"</f>
        <v>فروش داخلي - سازمان بنيادمسكن انقلاب اسلامي</v>
      </c>
      <c r="S1161" s="1" t="str">
        <f>"قرارداد فروش"</f>
        <v>قرارداد فروش</v>
      </c>
      <c r="T1161" s="1" t="str">
        <f>"ندارد"</f>
        <v>ندارد</v>
      </c>
      <c r="U1161" s="1" t="str">
        <f>"عظيمي محمد(2842015)"</f>
        <v>عظيمي محمد(2842015)</v>
      </c>
      <c r="V1161" s="1">
        <v>966200653</v>
      </c>
      <c r="W1161" s="1">
        <v>966200653</v>
      </c>
      <c r="X1161" s="1" t="str">
        <f>"1396552658"</f>
        <v>1396552658</v>
      </c>
      <c r="Y1161" s="1" t="str">
        <f>"96/12/15"</f>
        <v>96/12/15</v>
      </c>
      <c r="Z1161" s="1" t="str">
        <f>"57124/د"</f>
        <v>57124/د</v>
      </c>
      <c r="AA1161" s="1" t="str">
        <f>"بنيادمسكن انقلاب اسلامي"</f>
        <v>بنيادمسكن انقلاب اسلامي</v>
      </c>
      <c r="AB1161" s="1" t="str">
        <f>"96/12/15"</f>
        <v>96/12/15</v>
      </c>
      <c r="AC1161" s="1" t="str">
        <f>"لرستان"</f>
        <v>لرستان</v>
      </c>
      <c r="AD1161" s="1" t="str">
        <f>"96/12/15"</f>
        <v>96/12/15</v>
      </c>
      <c r="AE1161" s="1" t="str">
        <f>"اختتام"</f>
        <v>اختتام</v>
      </c>
      <c r="AF1161" s="1" t="str">
        <f>""</f>
        <v/>
      </c>
      <c r="AG1161" s="1" t="str">
        <f>""</f>
        <v/>
      </c>
      <c r="AH1161" s="1" t="str">
        <f>""</f>
        <v/>
      </c>
      <c r="AI1161" s="1" t="str">
        <f>""</f>
        <v/>
      </c>
      <c r="AJ1161" s="1" t="str">
        <f>""</f>
        <v/>
      </c>
      <c r="AK1161" s="1" t="str">
        <f>""</f>
        <v/>
      </c>
    </row>
    <row r="1162" spans="1:37">
      <c r="A1162" s="1">
        <v>250000</v>
      </c>
      <c r="B1162" s="1">
        <v>966200322</v>
      </c>
      <c r="C1162" s="1" t="str">
        <f>"تخليه -اصفهان داران بلواردانشگاه خيابان شهرك صنعتي مجتمع توليدي جهاد"</f>
        <v>تخليه -اصفهان داران بلواردانشگاه خيابان شهرك صنعتي مجتمع توليدي جهاد</v>
      </c>
      <c r="D1162" s="1">
        <v>9113</v>
      </c>
      <c r="E1162" s="1">
        <v>250000</v>
      </c>
      <c r="F1162" s="1">
        <v>96</v>
      </c>
      <c r="G1162" s="1">
        <v>0</v>
      </c>
      <c r="H1162" s="1" t="str">
        <f>"96/07/24"</f>
        <v>96/07/24</v>
      </c>
      <c r="I1162" s="1" t="str">
        <f>"كيلوگرم"</f>
        <v>كيلوگرم</v>
      </c>
      <c r="J1162" s="1" t="str">
        <f>"0000000076"</f>
        <v>0000000076</v>
      </c>
      <c r="K1162" s="1" t="str">
        <f>"قير 60/70 - فله"</f>
        <v>قير 60/70 - فله</v>
      </c>
      <c r="L1162" s="1">
        <v>100</v>
      </c>
      <c r="M1162" s="1" t="str">
        <f>"مخازن قير اصفهان"</f>
        <v>مخازن قير اصفهان</v>
      </c>
      <c r="N1162" s="1">
        <v>11082</v>
      </c>
      <c r="O1162" s="1">
        <v>50036752</v>
      </c>
      <c r="P1162" s="1" t="str">
        <f>"  پارسيان كاني پاسارگاد"</f>
        <v xml:space="preserve">  پارسيان كاني پاسارگاد</v>
      </c>
      <c r="Q1162" s="1">
        <v>62</v>
      </c>
      <c r="R1162" s="1" t="str">
        <f>"فروش داخلي - سازمان بنيادمسكن انقلاب اسلامي"</f>
        <v>فروش داخلي - سازمان بنيادمسكن انقلاب اسلامي</v>
      </c>
      <c r="S1162" s="1" t="str">
        <f>"قرارداد فروش"</f>
        <v>قرارداد فروش</v>
      </c>
      <c r="T1162" s="1" t="str">
        <f>"ندارد"</f>
        <v>ندارد</v>
      </c>
      <c r="U1162" s="1" t="str">
        <f>"مرادي نجاتعلي(1020ج89)"</f>
        <v>مرادي نجاتعلي(1020ج89)</v>
      </c>
      <c r="V1162" s="1">
        <v>966200322</v>
      </c>
      <c r="W1162" s="1">
        <v>966200322</v>
      </c>
      <c r="X1162" s="1" t="str">
        <f>"1396518902"</f>
        <v>1396518902</v>
      </c>
      <c r="Y1162" s="1" t="str">
        <f>"96/07/24"</f>
        <v>96/07/24</v>
      </c>
      <c r="Z1162" s="1" t="str">
        <f>"32887/د"</f>
        <v>32887/د</v>
      </c>
      <c r="AA1162" s="1" t="str">
        <f>"بنيادمسكن انقلاب اسلامي"</f>
        <v>بنيادمسكن انقلاب اسلامي</v>
      </c>
      <c r="AB1162" s="1" t="str">
        <f>"96/07/24"</f>
        <v>96/07/24</v>
      </c>
      <c r="AC1162" s="1" t="str">
        <f>"استان اصفهان"</f>
        <v>استان اصفهان</v>
      </c>
      <c r="AD1162" s="1" t="str">
        <f>"96/07/24"</f>
        <v>96/07/24</v>
      </c>
      <c r="AE1162" s="1" t="str">
        <f>"اختتام"</f>
        <v>اختتام</v>
      </c>
      <c r="AF1162" s="1" t="str">
        <f>""</f>
        <v/>
      </c>
      <c r="AG1162" s="1" t="str">
        <f>""</f>
        <v/>
      </c>
      <c r="AH1162" s="1" t="str">
        <f>""</f>
        <v/>
      </c>
      <c r="AI1162" s="1" t="str">
        <f>""</f>
        <v/>
      </c>
      <c r="AJ1162" s="1" t="str">
        <f>""</f>
        <v/>
      </c>
      <c r="AK1162" s="1" t="str">
        <f>""</f>
        <v/>
      </c>
    </row>
    <row r="1163" spans="1:37">
      <c r="A1163" s="1">
        <v>155000</v>
      </c>
      <c r="B1163" s="1">
        <v>966300006</v>
      </c>
      <c r="C1163" s="1" t="str">
        <f>"تخليه اصفهان اشترجان  شهرك صنعتي اشترجان كارخانه آسفالت راه آژندشركت زرين بناي زاگرس"</f>
        <v>تخليه اصفهان اشترجان  شهرك صنعتي اشترجان كارخانه آسفالت راه آژندشركت زرين بناي زاگرس</v>
      </c>
      <c r="D1163" s="1">
        <v>9416</v>
      </c>
      <c r="E1163" s="1">
        <v>155000</v>
      </c>
      <c r="F1163" s="1">
        <v>96</v>
      </c>
      <c r="G1163" s="1">
        <v>0</v>
      </c>
      <c r="H1163" s="1" t="str">
        <f>"96/08/03"</f>
        <v>96/08/03</v>
      </c>
      <c r="I1163" s="1" t="str">
        <f>"كيلوگرم"</f>
        <v>كيلوگرم</v>
      </c>
      <c r="J1163" s="1" t="str">
        <f>"0000000076"</f>
        <v>0000000076</v>
      </c>
      <c r="K1163" s="1" t="str">
        <f>"قير 60/70 - فله"</f>
        <v>قير 60/70 - فله</v>
      </c>
      <c r="L1163" s="1">
        <v>100</v>
      </c>
      <c r="M1163" s="1" t="str">
        <f>"مخازن قير اصفهان"</f>
        <v>مخازن قير اصفهان</v>
      </c>
      <c r="N1163" s="1">
        <v>11098</v>
      </c>
      <c r="O1163" s="1">
        <v>50036889</v>
      </c>
      <c r="P1163" s="1" t="str">
        <f>"  اداره كل نوسازي توسعه وتجهيزمدارس استان اصفهان"</f>
        <v xml:space="preserve">  اداره كل نوسازي توسعه وتجهيزمدارس استان اصفهان</v>
      </c>
      <c r="Q1163" s="1">
        <v>63</v>
      </c>
      <c r="R1163" s="1" t="str">
        <f>"سازمان نوسازي،توسعه و تجهيز مدارس كشور"</f>
        <v>سازمان نوسازي،توسعه و تجهيز مدارس كشور</v>
      </c>
      <c r="S1163" s="1" t="str">
        <f>"قرارداد فروش"</f>
        <v>قرارداد فروش</v>
      </c>
      <c r="T1163" s="1" t="str">
        <f>"ندارد"</f>
        <v>ندارد</v>
      </c>
      <c r="U1163" s="1" t="str">
        <f>"سيفي پور عبدالمجيد(1009ج89)"</f>
        <v>سيفي پور عبدالمجيد(1009ج89)</v>
      </c>
      <c r="V1163" s="1">
        <v>966300006</v>
      </c>
      <c r="W1163" s="1">
        <v>966300006</v>
      </c>
      <c r="X1163" s="1" t="str">
        <f>"1396521741"</f>
        <v>1396521741</v>
      </c>
      <c r="Y1163" s="1" t="str">
        <f>"96/08/03"</f>
        <v>96/08/03</v>
      </c>
      <c r="Z1163" s="1" t="str">
        <f>"3-96/422-20484"</f>
        <v>3-96/422-20484</v>
      </c>
      <c r="AA1163" s="1" t="str">
        <f>"سازمان نوسازي توسعه وتجهيزمدارس كشور"</f>
        <v>سازمان نوسازي توسعه وتجهيزمدارس كشور</v>
      </c>
      <c r="AB1163" s="1" t="str">
        <f>"96/08/02"</f>
        <v>96/08/02</v>
      </c>
      <c r="AC1163" s="1" t="str">
        <f>"استان اصفهان"</f>
        <v>استان اصفهان</v>
      </c>
      <c r="AD1163" s="1" t="str">
        <f>"96/08/03"</f>
        <v>96/08/03</v>
      </c>
      <c r="AE1163" s="1" t="str">
        <f>"اختتام"</f>
        <v>اختتام</v>
      </c>
      <c r="AF1163" s="1" t="str">
        <f>""</f>
        <v/>
      </c>
      <c r="AG1163" s="1" t="str">
        <f>""</f>
        <v/>
      </c>
      <c r="AH1163" s="1" t="str">
        <f>""</f>
        <v/>
      </c>
      <c r="AI1163" s="1" t="str">
        <f>""</f>
        <v/>
      </c>
      <c r="AJ1163" s="1" t="str">
        <f>""</f>
        <v/>
      </c>
      <c r="AK1163" s="1" t="str">
        <f>""</f>
        <v/>
      </c>
    </row>
    <row r="1164" spans="1:37">
      <c r="A1164" s="1">
        <v>42000</v>
      </c>
      <c r="B1164" s="1">
        <v>966300026</v>
      </c>
      <c r="C1164" s="1" t="str">
        <f>"تخليه اصفهان جرقويه سفلي نيك آبادنرسيده به سه راهي محمدآبادجنب شهرك سلامت شركت آرشيت عمران پارس كارخانه آسفالت عباسيان"</f>
        <v>تخليه اصفهان جرقويه سفلي نيك آبادنرسيده به سه راهي محمدآبادجنب شهرك سلامت شركت آرشيت عمران پارس كارخانه آسفالت عباسيان</v>
      </c>
      <c r="D1164" s="1">
        <v>12820</v>
      </c>
      <c r="E1164" s="1">
        <v>41440</v>
      </c>
      <c r="F1164" s="1">
        <v>96</v>
      </c>
      <c r="G1164" s="1">
        <v>560</v>
      </c>
      <c r="H1164" s="1" t="str">
        <f>"96/09/08"</f>
        <v>96/09/08</v>
      </c>
      <c r="I1164" s="1" t="str">
        <f>"كيلوگرم"</f>
        <v>كيلوگرم</v>
      </c>
      <c r="J1164" s="1" t="str">
        <f>"0000000076"</f>
        <v>0000000076</v>
      </c>
      <c r="K1164" s="1" t="str">
        <f>"قير 60/70 - فله"</f>
        <v>قير 60/70 - فله</v>
      </c>
      <c r="L1164" s="1">
        <v>100</v>
      </c>
      <c r="M1164" s="1" t="str">
        <f>"مخازن قير اصفهان"</f>
        <v>مخازن قير اصفهان</v>
      </c>
      <c r="N1164" s="1">
        <v>11098</v>
      </c>
      <c r="O1164" s="1">
        <v>50037346</v>
      </c>
      <c r="P1164" s="1" t="str">
        <f>"  اداره كل نوسازي توسعه وتجهيزمدارس استان اصفهان"</f>
        <v xml:space="preserve">  اداره كل نوسازي توسعه وتجهيزمدارس استان اصفهان</v>
      </c>
      <c r="Q1164" s="1">
        <v>63</v>
      </c>
      <c r="R1164" s="1" t="str">
        <f>"سازمان نوسازي،توسعه و تجهيز مدارس كشور"</f>
        <v>سازمان نوسازي،توسعه و تجهيز مدارس كشور</v>
      </c>
      <c r="S1164" s="1" t="str">
        <f>"قرارداد فروش"</f>
        <v>قرارداد فروش</v>
      </c>
      <c r="T1164" s="1" t="str">
        <f>"ندارد"</f>
        <v>ندارد</v>
      </c>
      <c r="U1164" s="1" t="str">
        <f>"علي عابدي ابوالقاسم(1003ج89)"</f>
        <v>علي عابدي ابوالقاسم(1003ج89)</v>
      </c>
      <c r="V1164" s="1">
        <v>966300026</v>
      </c>
      <c r="W1164" s="1">
        <v>966300026</v>
      </c>
      <c r="X1164" s="1" t="str">
        <f>"1396529165"</f>
        <v>1396529165</v>
      </c>
      <c r="Y1164" s="1" t="str">
        <f>"96/09/08"</f>
        <v>96/09/08</v>
      </c>
      <c r="Z1164" s="1" t="str">
        <f>"3-96/422-22416"</f>
        <v>3-96/422-22416</v>
      </c>
      <c r="AA1164" s="1" t="str">
        <f>"سازمان نوسازي توسعه وتجهيزمدارس كشور"</f>
        <v>سازمان نوسازي توسعه وتجهيزمدارس كشور</v>
      </c>
      <c r="AB1164" s="1" t="str">
        <f>"96/08/24"</f>
        <v>96/08/24</v>
      </c>
      <c r="AC1164" s="1" t="str">
        <f>"استان اصفهان"</f>
        <v>استان اصفهان</v>
      </c>
      <c r="AD1164" s="1" t="str">
        <f>"96/09/08"</f>
        <v>96/09/08</v>
      </c>
      <c r="AE1164" s="1" t="str">
        <f>"اختتام"</f>
        <v>اختتام</v>
      </c>
      <c r="AF1164" s="1" t="str">
        <f>""</f>
        <v/>
      </c>
      <c r="AG1164" s="1" t="str">
        <f>""</f>
        <v/>
      </c>
      <c r="AH1164" s="1" t="str">
        <f>""</f>
        <v/>
      </c>
      <c r="AI1164" s="1" t="str">
        <f>""</f>
        <v/>
      </c>
      <c r="AJ1164" s="1" t="str">
        <f>""</f>
        <v/>
      </c>
      <c r="AK1164" s="1" t="str">
        <f>""</f>
        <v/>
      </c>
    </row>
    <row r="1165" spans="1:37">
      <c r="A1165" s="1">
        <v>104000</v>
      </c>
      <c r="B1165" s="1">
        <v>966300064</v>
      </c>
      <c r="C1165" s="1" t="str">
        <f>"تخليه اصفهان اشارجان شهرك صنعتي اشترجان شركت آرادراه آژندكارخانه آسفالت راه آژند"</f>
        <v>تخليه اصفهان اشارجان شهرك صنعتي اشترجان شركت آرادراه آژندكارخانه آسفالت راه آژند</v>
      </c>
      <c r="D1165" s="1">
        <v>13200</v>
      </c>
      <c r="E1165" s="1">
        <v>104000</v>
      </c>
      <c r="F1165" s="1">
        <v>96</v>
      </c>
      <c r="G1165" s="1">
        <v>0</v>
      </c>
      <c r="H1165" s="1" t="str">
        <f>"96/11/28"</f>
        <v>96/11/28</v>
      </c>
      <c r="I1165" s="1" t="str">
        <f>"كيلوگرم"</f>
        <v>كيلوگرم</v>
      </c>
      <c r="J1165" s="1" t="str">
        <f>"0000000076"</f>
        <v>0000000076</v>
      </c>
      <c r="K1165" s="1" t="str">
        <f>"قير 60/70 - فله"</f>
        <v>قير 60/70 - فله</v>
      </c>
      <c r="L1165" s="1">
        <v>100</v>
      </c>
      <c r="M1165" s="1" t="str">
        <f>"مخازن قير اصفهان"</f>
        <v>مخازن قير اصفهان</v>
      </c>
      <c r="N1165" s="1">
        <v>11098</v>
      </c>
      <c r="O1165" s="1">
        <v>50038537</v>
      </c>
      <c r="P1165" s="1" t="str">
        <f>"  اداره كل نوسازي توسعه وتجهيزمدارس استان اصفهان"</f>
        <v xml:space="preserve">  اداره كل نوسازي توسعه وتجهيزمدارس استان اصفهان</v>
      </c>
      <c r="Q1165" s="1">
        <v>63</v>
      </c>
      <c r="R1165" s="1" t="str">
        <f>"سازمان نوسازي،توسعه و تجهيز مدارس كشور"</f>
        <v>سازمان نوسازي،توسعه و تجهيز مدارس كشور</v>
      </c>
      <c r="S1165" s="1" t="str">
        <f>"قرارداد فروش"</f>
        <v>قرارداد فروش</v>
      </c>
      <c r="T1165" s="1" t="str">
        <f>"ندارد"</f>
        <v>ندارد</v>
      </c>
      <c r="U1165" s="1" t="str">
        <f>"سيفي پور عبدالمجيد(1009ج89)"</f>
        <v>سيفي پور عبدالمجيد(1009ج89)</v>
      </c>
      <c r="V1165" s="1">
        <v>966300064</v>
      </c>
      <c r="W1165" s="1">
        <v>966300064</v>
      </c>
      <c r="X1165" s="1" t="str">
        <f>"1396548724"</f>
        <v>1396548724</v>
      </c>
      <c r="Y1165" s="1" t="str">
        <f>"96/11/28"</f>
        <v>96/11/28</v>
      </c>
      <c r="Z1165" s="1" t="str">
        <f>"3-96/424-31004"</f>
        <v>3-96/424-31004</v>
      </c>
      <c r="AA1165" s="1" t="str">
        <f>"سازمان نوسازي توسعه وتجهيزمدارس كشور"</f>
        <v>سازمان نوسازي توسعه وتجهيزمدارس كشور</v>
      </c>
      <c r="AB1165" s="1" t="str">
        <f>"96/11/18"</f>
        <v>96/11/18</v>
      </c>
      <c r="AC1165" s="1" t="str">
        <f>"استان اصفهان"</f>
        <v>استان اصفهان</v>
      </c>
      <c r="AD1165" s="1" t="str">
        <f>"96/11/25"</f>
        <v>96/11/25</v>
      </c>
      <c r="AE1165" s="1" t="str">
        <f>"اختتام"</f>
        <v>اختتام</v>
      </c>
      <c r="AF1165" s="1" t="str">
        <f>""</f>
        <v/>
      </c>
      <c r="AG1165" s="1" t="str">
        <f>""</f>
        <v/>
      </c>
      <c r="AH1165" s="1" t="str">
        <f>""</f>
        <v/>
      </c>
      <c r="AI1165" s="1" t="str">
        <f>""</f>
        <v/>
      </c>
      <c r="AJ1165" s="1" t="str">
        <f>""</f>
        <v/>
      </c>
      <c r="AK1165" s="1" t="str">
        <f>""</f>
        <v/>
      </c>
    </row>
    <row r="1166" spans="1:37">
      <c r="A1166" s="1">
        <v>500000</v>
      </c>
      <c r="B1166" s="1">
        <v>961800010</v>
      </c>
      <c r="C1166" s="1" t="str">
        <f>"تخليه -ايلام -كيلومتر60محورايلام -دره شهرمخازن قيرشركت ايلام راه بان"</f>
        <v>تخليه -ايلام -كيلومتر60محورايلام -دره شهرمخازن قيرشركت ايلام راه بان</v>
      </c>
      <c r="D1166" s="1">
        <v>8904</v>
      </c>
      <c r="E1166" s="1">
        <v>495340</v>
      </c>
      <c r="F1166" s="1">
        <v>96</v>
      </c>
      <c r="G1166" s="1">
        <v>4660</v>
      </c>
      <c r="H1166" s="1" t="str">
        <f>"96/04/20"</f>
        <v>96/04/20</v>
      </c>
      <c r="I1166" s="1" t="str">
        <f>"كيلوگرم"</f>
        <v>كيلوگرم</v>
      </c>
      <c r="J1166" s="1" t="str">
        <f>"0000000092"</f>
        <v>0000000092</v>
      </c>
      <c r="K1166" s="1" t="str">
        <f>"قير  PG64-16"</f>
        <v>قير  PG64-16</v>
      </c>
      <c r="L1166" s="1">
        <v>100</v>
      </c>
      <c r="M1166" s="1" t="str">
        <f>"مخازن قير اصفهان"</f>
        <v>مخازن قير اصفهان</v>
      </c>
      <c r="N1166" s="1">
        <v>9296</v>
      </c>
      <c r="O1166" s="1">
        <v>50035170</v>
      </c>
      <c r="P1166" s="1" t="str">
        <f>"  ايلام راه بان"</f>
        <v xml:space="preserve">  ايلام راه بان</v>
      </c>
      <c r="Q1166" s="1">
        <v>18</v>
      </c>
      <c r="R1166" s="1" t="str">
        <f>"فروش داخلي تهران - وزارت راه - شرکت ساخت و توسعه راهها"</f>
        <v>فروش داخلي تهران - وزارت راه - شرکت ساخت و توسعه راهها</v>
      </c>
      <c r="S1166" s="1" t="str">
        <f>"قرارداد فروش"</f>
        <v>قرارداد فروش</v>
      </c>
      <c r="T1166" s="1" t="str">
        <f>"ندارد"</f>
        <v>ندارد</v>
      </c>
      <c r="U1166" s="1" t="str">
        <f>"عظيمي محمد(2842015)"</f>
        <v>عظيمي محمد(2842015)</v>
      </c>
      <c r="V1166" s="1">
        <v>961800010</v>
      </c>
      <c r="W1166" s="1">
        <v>961800010</v>
      </c>
      <c r="X1166" s="1" t="str">
        <f>"1396495476"</f>
        <v>1396495476</v>
      </c>
      <c r="Y1166" s="1" t="str">
        <f>"96/04/20"</f>
        <v>96/04/20</v>
      </c>
      <c r="Z1166" s="1" t="str">
        <f>"16951/710"</f>
        <v>16951/710</v>
      </c>
      <c r="AA1166" s="1" t="str">
        <f>"شركت  ساخت وتوسعه راهها"</f>
        <v>شركت  ساخت وتوسعه راهها</v>
      </c>
      <c r="AB1166" s="1" t="str">
        <f>"96/04/17"</f>
        <v>96/04/17</v>
      </c>
      <c r="AC1166" s="1" t="str">
        <f>"استان ايلام"</f>
        <v>استان ايلام</v>
      </c>
      <c r="AD1166" s="1" t="str">
        <f>"96/04/20"</f>
        <v>96/04/20</v>
      </c>
      <c r="AE1166" s="1" t="str">
        <f>"اختتام"</f>
        <v>اختتام</v>
      </c>
      <c r="AF1166" s="1" t="str">
        <f>""</f>
        <v/>
      </c>
      <c r="AG1166" s="1" t="str">
        <f>""</f>
        <v/>
      </c>
      <c r="AH1166" s="1" t="str">
        <f>""</f>
        <v/>
      </c>
      <c r="AI1166" s="1" t="str">
        <f>""</f>
        <v/>
      </c>
      <c r="AJ1166" s="1" t="str">
        <f>""</f>
        <v/>
      </c>
      <c r="AK1166" s="1" t="str">
        <f>""</f>
        <v/>
      </c>
    </row>
    <row r="1167" spans="1:37">
      <c r="A1167" s="1">
        <v>700000</v>
      </c>
      <c r="B1167" s="1">
        <v>961900059</v>
      </c>
      <c r="C1167" s="1" t="str">
        <f>"تخليه ايرانشهركارخانه آسفالت شركت اطلس راه ايراشهر"</f>
        <v>تخليه ايرانشهركارخانه آسفالت شركت اطلس راه ايراشهر</v>
      </c>
      <c r="D1167" s="1">
        <v>12970</v>
      </c>
      <c r="E1167" s="1">
        <v>699800</v>
      </c>
      <c r="F1167" s="1">
        <v>96</v>
      </c>
      <c r="G1167" s="1">
        <v>200</v>
      </c>
      <c r="H1167" s="1" t="str">
        <f>"96/03/13"</f>
        <v>96/03/13</v>
      </c>
      <c r="I1167" s="1" t="str">
        <f>"كيلوگرم"</f>
        <v>كيلوگرم</v>
      </c>
      <c r="J1167" s="1" t="str">
        <f>"0000000092"</f>
        <v>0000000092</v>
      </c>
      <c r="K1167" s="1" t="str">
        <f>"قير  PG64-16"</f>
        <v>قير  PG64-16</v>
      </c>
      <c r="L1167" s="1">
        <v>100</v>
      </c>
      <c r="M1167" s="1" t="str">
        <f>"مخازن قير اصفهان"</f>
        <v>مخازن قير اصفهان</v>
      </c>
      <c r="N1167" s="1">
        <v>11061</v>
      </c>
      <c r="O1167" s="1">
        <v>50034964</v>
      </c>
      <c r="P1167" s="1" t="str">
        <f>"  اطلس راه ايرانشهر"</f>
        <v xml:space="preserve">  اطلس راه ايرانشهر</v>
      </c>
      <c r="Q1167" s="1">
        <v>19</v>
      </c>
      <c r="R116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167" s="1" t="str">
        <f>"قرارداد فروش"</f>
        <v>قرارداد فروش</v>
      </c>
      <c r="T1167" s="1" t="str">
        <f>"ندارد"</f>
        <v>ندارد</v>
      </c>
      <c r="U1167" s="1" t="str">
        <f>"پورباقري ترابر (4914036)"</f>
        <v>پورباقري ترابر (4914036)</v>
      </c>
      <c r="V1167" s="1">
        <v>961900059</v>
      </c>
      <c r="W1167" s="1">
        <v>961900059</v>
      </c>
      <c r="X1167" s="1" t="str">
        <f>"1396485279"</f>
        <v>1396485279</v>
      </c>
      <c r="Y1167" s="1" t="str">
        <f>"96/03/13"</f>
        <v>96/03/13</v>
      </c>
      <c r="Z1167" s="1" t="str">
        <f>"10872/710"</f>
        <v>10872/710</v>
      </c>
      <c r="AA1167" s="1" t="str">
        <f>"سازمان راهداري وحمل نقل جاده اي"</f>
        <v>سازمان راهداري وحمل نقل جاده اي</v>
      </c>
      <c r="AB1167" s="1" t="str">
        <f>"96/03/09"</f>
        <v>96/03/09</v>
      </c>
      <c r="AC1167" s="1" t="str">
        <f>"ايرانشهر"</f>
        <v>ايرانشهر</v>
      </c>
      <c r="AD1167" s="1" t="str">
        <f>"96/03/13"</f>
        <v>96/03/13</v>
      </c>
      <c r="AE1167" s="1" t="str">
        <f>"اختتام"</f>
        <v>اختتام</v>
      </c>
      <c r="AF1167" s="1" t="str">
        <f>""</f>
        <v/>
      </c>
      <c r="AG1167" s="1" t="str">
        <f>""</f>
        <v/>
      </c>
      <c r="AH1167" s="1" t="str">
        <f>""</f>
        <v/>
      </c>
      <c r="AI1167" s="1" t="str">
        <f>""</f>
        <v/>
      </c>
      <c r="AJ1167" s="1" t="str">
        <f>""</f>
        <v/>
      </c>
      <c r="AK1167" s="1" t="str">
        <f>""</f>
        <v/>
      </c>
    </row>
    <row r="1168" spans="1:37">
      <c r="A1168" s="1">
        <v>23000</v>
      </c>
      <c r="B1168" s="1">
        <v>966300080</v>
      </c>
      <c r="C1168" s="1" t="str">
        <f>"تخليه اصفهان اشترجان شهرك صنعتي اشترجان احسان شمسي ارمندي كارخانه آسفالت راه آژند"</f>
        <v>تخليه اصفهان اشترجان شهرك صنعتي اشترجان احسان شمسي ارمندي كارخانه آسفالت راه آژند</v>
      </c>
      <c r="D1168" s="1">
        <v>13350</v>
      </c>
      <c r="E1168" s="1">
        <v>23000</v>
      </c>
      <c r="F1168" s="1">
        <v>96</v>
      </c>
      <c r="G1168" s="1">
        <v>0</v>
      </c>
      <c r="H1168" s="1" t="str">
        <f>"96/12/26"</f>
        <v>96/12/26</v>
      </c>
      <c r="I1168" s="1" t="str">
        <f>"كيلوگرم"</f>
        <v>كيلوگرم</v>
      </c>
      <c r="J1168" s="1" t="str">
        <f>"0000000076"</f>
        <v>0000000076</v>
      </c>
      <c r="K1168" s="1" t="str">
        <f>"قير 60/70 - فله"</f>
        <v>قير 60/70 - فله</v>
      </c>
      <c r="L1168" s="1">
        <v>100</v>
      </c>
      <c r="M1168" s="1" t="str">
        <f>"مخازن قير اصفهان"</f>
        <v>مخازن قير اصفهان</v>
      </c>
      <c r="N1168" s="1">
        <v>11098</v>
      </c>
      <c r="O1168" s="1">
        <v>50039034</v>
      </c>
      <c r="P1168" s="1" t="str">
        <f>"  اداره كل نوسازي توسعه وتجهيزمدارس استان اصفهان"</f>
        <v xml:space="preserve">  اداره كل نوسازي توسعه وتجهيزمدارس استان اصفهان</v>
      </c>
      <c r="Q1168" s="1">
        <v>63</v>
      </c>
      <c r="R1168" s="1" t="str">
        <f>"سازمان نوسازي،توسعه و تجهيز مدارس كشور"</f>
        <v>سازمان نوسازي،توسعه و تجهيز مدارس كشور</v>
      </c>
      <c r="S1168" s="1" t="str">
        <f>"قرارداد فروش"</f>
        <v>قرارداد فروش</v>
      </c>
      <c r="T1168" s="1" t="str">
        <f>"ندارد"</f>
        <v>ندارد</v>
      </c>
      <c r="U1168" s="1" t="str">
        <f>"سيفي پور عبدالمجيد(1009ج89)"</f>
        <v>سيفي پور عبدالمجيد(1009ج89)</v>
      </c>
      <c r="V1168" s="1">
        <v>966300080</v>
      </c>
      <c r="W1168" s="1">
        <v>966300080</v>
      </c>
      <c r="X1168" s="1" t="str">
        <f>"1396555236"</f>
        <v>1396555236</v>
      </c>
      <c r="Y1168" s="1" t="str">
        <f>"96/12/26"</f>
        <v>96/12/26</v>
      </c>
      <c r="Z1168" s="1" t="str">
        <f>"3-96/422-34086"</f>
        <v>3-96/422-34086</v>
      </c>
      <c r="AA1168" s="1" t="str">
        <f>"سازمان نوسازي توسعه وتجهيزمدارس كشور"</f>
        <v>سازمان نوسازي توسعه وتجهيزمدارس كشور</v>
      </c>
      <c r="AB1168" s="1" t="str">
        <f>"96/12/21"</f>
        <v>96/12/21</v>
      </c>
      <c r="AC1168" s="1" t="str">
        <f>"استان اصفهان"</f>
        <v>استان اصفهان</v>
      </c>
      <c r="AD1168" s="1" t="str">
        <f>"96/12/23"</f>
        <v>96/12/23</v>
      </c>
      <c r="AE1168" s="1" t="str">
        <f>"اختتام"</f>
        <v>اختتام</v>
      </c>
      <c r="AF1168" s="1" t="str">
        <f>""</f>
        <v/>
      </c>
      <c r="AG1168" s="1" t="str">
        <f>""</f>
        <v/>
      </c>
      <c r="AH1168" s="1" t="str">
        <f>""</f>
        <v/>
      </c>
      <c r="AI1168" s="1" t="str">
        <f>""</f>
        <v/>
      </c>
      <c r="AJ1168" s="1" t="str">
        <f>""</f>
        <v/>
      </c>
      <c r="AK1168" s="1" t="str">
        <f>""</f>
        <v/>
      </c>
    </row>
    <row r="1169" spans="1:37">
      <c r="A1169" s="1">
        <v>33000</v>
      </c>
      <c r="B1169" s="1">
        <v>966300081</v>
      </c>
      <c r="C1169" s="1" t="str">
        <f>"تخليه اصفهان اشترجان شهرك صنعتي اشترجان كارخانه آسفالت راه آژند-محمدعلي كمالي"</f>
        <v>تخليه اصفهان اشترجان شهرك صنعتي اشترجان كارخانه آسفالت راه آژند-محمدعلي كمالي</v>
      </c>
      <c r="D1169" s="1">
        <v>13350</v>
      </c>
      <c r="E1169" s="1">
        <v>30980</v>
      </c>
      <c r="F1169" s="1">
        <v>96</v>
      </c>
      <c r="G1169" s="1">
        <v>2020</v>
      </c>
      <c r="H1169" s="1" t="str">
        <f>"96/12/26"</f>
        <v>96/12/26</v>
      </c>
      <c r="I1169" s="1" t="str">
        <f>"كيلوگرم"</f>
        <v>كيلوگرم</v>
      </c>
      <c r="J1169" s="1" t="str">
        <f>"0000000076"</f>
        <v>0000000076</v>
      </c>
      <c r="K1169" s="1" t="str">
        <f>"قير 60/70 - فله"</f>
        <v>قير 60/70 - فله</v>
      </c>
      <c r="L1169" s="1">
        <v>100</v>
      </c>
      <c r="M1169" s="1" t="str">
        <f>"مخازن قير اصفهان"</f>
        <v>مخازن قير اصفهان</v>
      </c>
      <c r="N1169" s="1">
        <v>11098</v>
      </c>
      <c r="O1169" s="1">
        <v>50039035</v>
      </c>
      <c r="P1169" s="1" t="str">
        <f>"  اداره كل نوسازي توسعه وتجهيزمدارس استان اصفهان"</f>
        <v xml:space="preserve">  اداره كل نوسازي توسعه وتجهيزمدارس استان اصفهان</v>
      </c>
      <c r="Q1169" s="1">
        <v>63</v>
      </c>
      <c r="R1169" s="1" t="str">
        <f>"سازمان نوسازي،توسعه و تجهيز مدارس كشور"</f>
        <v>سازمان نوسازي،توسعه و تجهيز مدارس كشور</v>
      </c>
      <c r="S1169" s="1" t="str">
        <f>"قرارداد فروش"</f>
        <v>قرارداد فروش</v>
      </c>
      <c r="T1169" s="1" t="str">
        <f>"ندارد"</f>
        <v>ندارد</v>
      </c>
      <c r="U1169" s="1" t="str">
        <f>"سيفي پور عبدالمجيد(1009ج89)"</f>
        <v>سيفي پور عبدالمجيد(1009ج89)</v>
      </c>
      <c r="V1169" s="1">
        <v>966300081</v>
      </c>
      <c r="W1169" s="1">
        <v>966300081</v>
      </c>
      <c r="X1169" s="1" t="str">
        <f>"1396555236"</f>
        <v>1396555236</v>
      </c>
      <c r="Y1169" s="1" t="str">
        <f>"96/12/26"</f>
        <v>96/12/26</v>
      </c>
      <c r="Z1169" s="1" t="str">
        <f>"3-96/422-34084"</f>
        <v>3-96/422-34084</v>
      </c>
      <c r="AA1169" s="1" t="str">
        <f>"سازمان نوسازي توسعه وتجهيزمدارس كشور"</f>
        <v>سازمان نوسازي توسعه وتجهيزمدارس كشور</v>
      </c>
      <c r="AB1169" s="1" t="str">
        <f>"96/12/21"</f>
        <v>96/12/21</v>
      </c>
      <c r="AC1169" s="1" t="str">
        <f>"استان اصفهان"</f>
        <v>استان اصفهان</v>
      </c>
      <c r="AD1169" s="1" t="str">
        <f>"96/12/21"</f>
        <v>96/12/21</v>
      </c>
      <c r="AE1169" s="1" t="str">
        <f>"اختتام"</f>
        <v>اختتام</v>
      </c>
      <c r="AF1169" s="1" t="str">
        <f>""</f>
        <v/>
      </c>
      <c r="AG1169" s="1" t="str">
        <f>""</f>
        <v/>
      </c>
      <c r="AH1169" s="1" t="str">
        <f>""</f>
        <v/>
      </c>
      <c r="AI1169" s="1" t="str">
        <f>""</f>
        <v/>
      </c>
      <c r="AJ1169" s="1" t="str">
        <f>""</f>
        <v/>
      </c>
      <c r="AK1169" s="1" t="str">
        <f>""</f>
        <v/>
      </c>
    </row>
    <row r="1170" spans="1:37">
      <c r="A1170" s="1">
        <v>62000</v>
      </c>
      <c r="B1170" s="1">
        <v>966300084</v>
      </c>
      <c r="C1170" s="1" t="str">
        <f>"تخليه اصفهان اشارجان شهرك صنعتي اشترجان شركت آرادراه آژندكارخانه آسفالت راه آژند"</f>
        <v>تخليه اصفهان اشارجان شهرك صنعتي اشترجان شركت آرادراه آژندكارخانه آسفالت راه آژند</v>
      </c>
      <c r="D1170" s="1">
        <v>13350</v>
      </c>
      <c r="E1170" s="1">
        <v>60900</v>
      </c>
      <c r="F1170" s="1">
        <v>96</v>
      </c>
      <c r="G1170" s="1">
        <v>1100</v>
      </c>
      <c r="H1170" s="1" t="str">
        <f>"96/12/26"</f>
        <v>96/12/26</v>
      </c>
      <c r="I1170" s="1" t="str">
        <f>"كيلوگرم"</f>
        <v>كيلوگرم</v>
      </c>
      <c r="J1170" s="1" t="str">
        <f>"0000000076"</f>
        <v>0000000076</v>
      </c>
      <c r="K1170" s="1" t="str">
        <f>"قير 60/70 - فله"</f>
        <v>قير 60/70 - فله</v>
      </c>
      <c r="L1170" s="1">
        <v>100</v>
      </c>
      <c r="M1170" s="1" t="str">
        <f>"مخازن قير اصفهان"</f>
        <v>مخازن قير اصفهان</v>
      </c>
      <c r="N1170" s="1">
        <v>11098</v>
      </c>
      <c r="O1170" s="1">
        <v>50039038</v>
      </c>
      <c r="P1170" s="1" t="str">
        <f>"  اداره كل نوسازي توسعه وتجهيزمدارس استان اصفهان"</f>
        <v xml:space="preserve">  اداره كل نوسازي توسعه وتجهيزمدارس استان اصفهان</v>
      </c>
      <c r="Q1170" s="1">
        <v>63</v>
      </c>
      <c r="R1170" s="1" t="str">
        <f>"سازمان نوسازي،توسعه و تجهيز مدارس كشور"</f>
        <v>سازمان نوسازي،توسعه و تجهيز مدارس كشور</v>
      </c>
      <c r="S1170" s="1" t="str">
        <f>"قرارداد فروش"</f>
        <v>قرارداد فروش</v>
      </c>
      <c r="T1170" s="1" t="str">
        <f>"ندارد"</f>
        <v>ندارد</v>
      </c>
      <c r="U1170" s="1" t="str">
        <f>"سيفي پور عبدالمجيد(1009ج89)"</f>
        <v>سيفي پور عبدالمجيد(1009ج89)</v>
      </c>
      <c r="V1170" s="1">
        <v>966300084</v>
      </c>
      <c r="W1170" s="1">
        <v>966300084</v>
      </c>
      <c r="X1170" s="1" t="str">
        <f>"1396555236"</f>
        <v>1396555236</v>
      </c>
      <c r="Y1170" s="1" t="str">
        <f>"96/12/26"</f>
        <v>96/12/26</v>
      </c>
      <c r="Z1170" s="1" t="str">
        <f>"3-96/422-34085"</f>
        <v>3-96/422-34085</v>
      </c>
      <c r="AA1170" s="1" t="str">
        <f>"سازمان نوسازي توسعه وتجهيزمدارس كشور"</f>
        <v>سازمان نوسازي توسعه وتجهيزمدارس كشور</v>
      </c>
      <c r="AB1170" s="1" t="str">
        <f>"96/12/21"</f>
        <v>96/12/21</v>
      </c>
      <c r="AC1170" s="1" t="str">
        <f>"استان اصفهان"</f>
        <v>استان اصفهان</v>
      </c>
      <c r="AD1170" s="1" t="str">
        <f>"96/12/23"</f>
        <v>96/12/23</v>
      </c>
      <c r="AE1170" s="1" t="str">
        <f>"اختتام"</f>
        <v>اختتام</v>
      </c>
      <c r="AF1170" s="1" t="str">
        <f>""</f>
        <v/>
      </c>
      <c r="AG1170" s="1" t="str">
        <f>""</f>
        <v/>
      </c>
      <c r="AH1170" s="1" t="str">
        <f>""</f>
        <v/>
      </c>
      <c r="AI1170" s="1" t="str">
        <f>""</f>
        <v/>
      </c>
      <c r="AJ1170" s="1" t="str">
        <f>""</f>
        <v/>
      </c>
      <c r="AK1170" s="1" t="str">
        <f>""</f>
        <v/>
      </c>
    </row>
    <row r="1171" spans="1:37">
      <c r="A1171" s="1">
        <v>86000</v>
      </c>
      <c r="B1171" s="1">
        <v>966200659</v>
      </c>
      <c r="C1171" s="1" t="str">
        <f>"تخليه-اردکان- کيلومتر 17 جاده چک چک-کارخانه آسفالت گرم ميثاق اردكان"</f>
        <v>تخليه-اردکان- کيلومتر 17 جاده چک چک-کارخانه آسفالت گرم ميثاق اردكان</v>
      </c>
      <c r="D1171" s="1">
        <v>13350</v>
      </c>
      <c r="E1171" s="1">
        <v>85440</v>
      </c>
      <c r="F1171" s="1">
        <v>96</v>
      </c>
      <c r="G1171" s="1">
        <v>560</v>
      </c>
      <c r="H1171" s="1" t="str">
        <f>"96/12/15"</f>
        <v>96/12/15</v>
      </c>
      <c r="I1171" s="1" t="str">
        <f>"كيلوگرم"</f>
        <v>كيلوگرم</v>
      </c>
      <c r="J1171" s="1" t="str">
        <f>"0000000076"</f>
        <v>0000000076</v>
      </c>
      <c r="K1171" s="1" t="str">
        <f>"قير 60/70 - فله"</f>
        <v>قير 60/70 - فله</v>
      </c>
      <c r="L1171" s="1">
        <v>100</v>
      </c>
      <c r="M1171" s="1" t="str">
        <f>"مخازن قير اصفهان"</f>
        <v>مخازن قير اصفهان</v>
      </c>
      <c r="N1171" s="1">
        <v>11102</v>
      </c>
      <c r="O1171" s="1">
        <v>50038787</v>
      </c>
      <c r="P1171" s="1" t="str">
        <f>"  پويش راه کوير اردکان"</f>
        <v xml:space="preserve">  پويش راه کوير اردکان</v>
      </c>
      <c r="Q1171" s="1">
        <v>62</v>
      </c>
      <c r="R1171" s="1" t="str">
        <f>"فروش داخلي - سازمان بنيادمسكن انقلاب اسلامي"</f>
        <v>فروش داخلي - سازمان بنيادمسكن انقلاب اسلامي</v>
      </c>
      <c r="S1171" s="1" t="str">
        <f>"قرارداد فروش"</f>
        <v>قرارداد فروش</v>
      </c>
      <c r="T1171" s="1" t="str">
        <f>"ندارد"</f>
        <v>ندارد</v>
      </c>
      <c r="U1171" s="1" t="str">
        <f>"عزيزي صفر(1006ج 89)"</f>
        <v>عزيزي صفر(1006ج 89)</v>
      </c>
      <c r="V1171" s="1">
        <v>966200659</v>
      </c>
      <c r="W1171" s="1">
        <v>966200659</v>
      </c>
      <c r="X1171" s="1" t="str">
        <f>"1396552658"</f>
        <v>1396552658</v>
      </c>
      <c r="Y1171" s="1" t="str">
        <f>"96/12/15"</f>
        <v>96/12/15</v>
      </c>
      <c r="Z1171" s="1" t="str">
        <f>"57106/د"</f>
        <v>57106/د</v>
      </c>
      <c r="AA1171" s="1" t="str">
        <f>"بنيادمسكن انقلاب اسلامي"</f>
        <v>بنيادمسكن انقلاب اسلامي</v>
      </c>
      <c r="AB1171" s="1" t="str">
        <f>"96/12/15"</f>
        <v>96/12/15</v>
      </c>
      <c r="AC1171" s="1" t="str">
        <f>"استان يزد"</f>
        <v>استان يزد</v>
      </c>
      <c r="AD1171" s="1" t="str">
        <f>"96/12/15"</f>
        <v>96/12/15</v>
      </c>
      <c r="AE1171" s="1" t="str">
        <f>"اختتام"</f>
        <v>اختتام</v>
      </c>
      <c r="AF1171" s="1" t="str">
        <f>""</f>
        <v/>
      </c>
      <c r="AG1171" s="1" t="str">
        <f>""</f>
        <v/>
      </c>
      <c r="AH1171" s="1" t="str">
        <f>""</f>
        <v/>
      </c>
      <c r="AI1171" s="1" t="str">
        <f>""</f>
        <v/>
      </c>
      <c r="AJ1171" s="1" t="str">
        <f>""</f>
        <v/>
      </c>
      <c r="AK1171" s="1" t="str">
        <f>""</f>
        <v/>
      </c>
    </row>
    <row r="1172" spans="1:37">
      <c r="A1172" s="1">
        <v>500000</v>
      </c>
      <c r="B1172" s="1">
        <v>961700112</v>
      </c>
      <c r="C1172" s="1" t="str">
        <f>"تخليه كرمان كيلومتر5جاده رفسنجان كرمان بعدازردستاي ناصريه كارخانه آسفالت كندوان"</f>
        <v>تخليه كرمان كيلومتر5جاده رفسنجان كرمان بعدازردستاي ناصريه كارخانه آسفالت كندوان</v>
      </c>
      <c r="D1172" s="1">
        <v>12970</v>
      </c>
      <c r="E1172" s="1">
        <v>497920</v>
      </c>
      <c r="F1172" s="1">
        <v>96</v>
      </c>
      <c r="G1172" s="1">
        <v>2080</v>
      </c>
      <c r="H1172" s="1" t="str">
        <f>"96/07/17"</f>
        <v>96/07/17</v>
      </c>
      <c r="I1172" s="1" t="str">
        <f>"كيلوگرم"</f>
        <v>كيلوگرم</v>
      </c>
      <c r="J1172" s="1" t="str">
        <f>"0000000092"</f>
        <v>0000000092</v>
      </c>
      <c r="K1172" s="1" t="str">
        <f>"قير  PG64-16"</f>
        <v>قير  PG64-16</v>
      </c>
      <c r="L1172" s="1">
        <v>100</v>
      </c>
      <c r="M1172" s="1" t="str">
        <f>"مخازن قير اصفهان"</f>
        <v>مخازن قير اصفهان</v>
      </c>
      <c r="N1172" s="1">
        <v>10252</v>
      </c>
      <c r="O1172" s="1">
        <v>50036617</v>
      </c>
      <c r="P1172" s="1" t="str">
        <f>"  فراگيرعمران کرمان"</f>
        <v xml:space="preserve">  فراگيرعمران کرمان</v>
      </c>
      <c r="Q1172" s="1">
        <v>17</v>
      </c>
      <c r="R1172" s="1" t="str">
        <f>"فروش داخلي تهران - وزارت راه - راه روستايي - روکش"</f>
        <v>فروش داخلي تهران - وزارت راه - راه روستايي - روکش</v>
      </c>
      <c r="S1172" s="1" t="str">
        <f>"قرارداد فروش"</f>
        <v>قرارداد فروش</v>
      </c>
      <c r="T1172" s="1" t="str">
        <f>"ندارد"</f>
        <v>ندارد</v>
      </c>
      <c r="U1172" s="1" t="str">
        <f>"- شهبا(4844028)"</f>
        <v>- شهبا(4844028)</v>
      </c>
      <c r="V1172" s="1">
        <v>961700112</v>
      </c>
      <c r="W1172" s="1">
        <v>961700112</v>
      </c>
      <c r="X1172" s="1" t="str">
        <f>"1396517386"</f>
        <v>1396517386</v>
      </c>
      <c r="Y1172" s="1" t="str">
        <f>"96/07/17"</f>
        <v>96/07/17</v>
      </c>
      <c r="Z1172" s="1" t="str">
        <f>"34410/710"</f>
        <v>34410/710</v>
      </c>
      <c r="AA1172" s="1" t="str">
        <f>"راه روستائي -روكش"</f>
        <v>راه روستائي -روكش</v>
      </c>
      <c r="AB1172" s="1" t="str">
        <f>"96/07/15"</f>
        <v>96/07/15</v>
      </c>
      <c r="AC1172" s="1" t="str">
        <f>"استان كرمان"</f>
        <v>استان كرمان</v>
      </c>
      <c r="AD1172" s="1" t="str">
        <f>"96/07/17"</f>
        <v>96/07/17</v>
      </c>
      <c r="AE1172" s="1" t="str">
        <f>"اختتام"</f>
        <v>اختتام</v>
      </c>
      <c r="AF1172" s="1" t="str">
        <f>""</f>
        <v/>
      </c>
      <c r="AG1172" s="1" t="str">
        <f>""</f>
        <v/>
      </c>
      <c r="AH1172" s="1" t="str">
        <f>""</f>
        <v/>
      </c>
      <c r="AI1172" s="1" t="str">
        <f>""</f>
        <v/>
      </c>
      <c r="AJ1172" s="1" t="str">
        <f>""</f>
        <v/>
      </c>
      <c r="AK1172" s="1" t="str">
        <f>""</f>
        <v/>
      </c>
    </row>
    <row r="1173" spans="1:37">
      <c r="A1173" s="1">
        <v>175102</v>
      </c>
      <c r="B1173" s="1">
        <v>962000221</v>
      </c>
      <c r="C1173" s="1" t="str">
        <f>"تخليه يزدكيلومتر15جاده بافق بهابادكارخانه آسفالت شهرداري"</f>
        <v>تخليه يزدكيلومتر15جاده بافق بهابادكارخانه آسفالت شهرداري</v>
      </c>
      <c r="D1173" s="1">
        <v>9113</v>
      </c>
      <c r="E1173" s="1">
        <v>175102</v>
      </c>
      <c r="F1173" s="1">
        <v>96</v>
      </c>
      <c r="G1173" s="1">
        <v>0</v>
      </c>
      <c r="H1173" s="1" t="str">
        <f>"96/07/03"</f>
        <v>96/07/03</v>
      </c>
      <c r="I1173" s="1" t="str">
        <f>"كيلوگرم"</f>
        <v>كيلوگرم</v>
      </c>
      <c r="J1173" s="1" t="str">
        <f>"0000000076"</f>
        <v>0000000076</v>
      </c>
      <c r="K1173" s="1" t="str">
        <f>"قير 60/70 - فله"</f>
        <v>قير 60/70 - فله</v>
      </c>
      <c r="L1173" s="1">
        <v>100</v>
      </c>
      <c r="M1173" s="1" t="str">
        <f>"مخازن قير اصفهان"</f>
        <v>مخازن قير اصفهان</v>
      </c>
      <c r="N1173" s="1">
        <v>8886</v>
      </c>
      <c r="O1173" s="1">
        <v>50036458</v>
      </c>
      <c r="P1173" s="1" t="str">
        <f>"  شهرداري بافق"</f>
        <v xml:space="preserve">  شهرداري بافق</v>
      </c>
      <c r="Q1173" s="1">
        <v>20</v>
      </c>
      <c r="R1173" s="1" t="str">
        <f>"فروش داخلي - سازمان شهرداري ها و دهياري هاي كشور"</f>
        <v>فروش داخلي - سازمان شهرداري ها و دهياري هاي كشور</v>
      </c>
      <c r="S1173" s="1" t="str">
        <f>"قرارداد فروش"</f>
        <v>قرارداد فروش</v>
      </c>
      <c r="T1173" s="1" t="str">
        <f>"ندارد"</f>
        <v>ندارد</v>
      </c>
      <c r="U1173" s="1" t="str">
        <f>"تعاوني جم گستر (1001 ج 89)"</f>
        <v>تعاوني جم گستر (1001 ج 89)</v>
      </c>
      <c r="V1173" s="1">
        <v>962000221</v>
      </c>
      <c r="W1173" s="1">
        <v>962000221</v>
      </c>
      <c r="X1173" s="1" t="str">
        <f>"1396514467"</f>
        <v>1396514467</v>
      </c>
      <c r="Y1173" s="1" t="str">
        <f>"96/07/03"</f>
        <v>96/07/03</v>
      </c>
      <c r="Z1173" s="1" t="str">
        <f>"26889مرحله اول"</f>
        <v>26889مرحله اول</v>
      </c>
      <c r="AA1173" s="1" t="str">
        <f>"شهرداريها"</f>
        <v>شهرداريها</v>
      </c>
      <c r="AB1173" s="1" t="str">
        <f>"96/06/29"</f>
        <v>96/06/29</v>
      </c>
      <c r="AC1173" s="1" t="str">
        <f>"استان يزد"</f>
        <v>استان يزد</v>
      </c>
      <c r="AD1173" s="1" t="str">
        <f>"96/07/03"</f>
        <v>96/07/03</v>
      </c>
      <c r="AE1173" s="1" t="str">
        <f>"اختتام"</f>
        <v>اختتام</v>
      </c>
      <c r="AF1173" s="1" t="str">
        <f>""</f>
        <v/>
      </c>
      <c r="AG1173" s="1" t="str">
        <f>""</f>
        <v/>
      </c>
      <c r="AH1173" s="1" t="str">
        <f>""</f>
        <v/>
      </c>
      <c r="AI1173" s="1" t="str">
        <f>""</f>
        <v/>
      </c>
      <c r="AJ1173" s="1" t="str">
        <f>""</f>
        <v/>
      </c>
      <c r="AK1173" s="1" t="str">
        <f>""</f>
        <v/>
      </c>
    </row>
    <row r="1174" spans="1:37">
      <c r="A1174" s="1">
        <v>131414</v>
      </c>
      <c r="B1174" s="1">
        <v>962000150</v>
      </c>
      <c r="C1174" s="1" t="str">
        <f>"تخليه خراسان جنوبي بيرجندكيلومتر5جاده خوسف بيرجندپشت مجتمع زندان كارخانه مسيرياب بيرجند"</f>
        <v>تخليه خراسان جنوبي بيرجندكيلومتر5جاده خوسف بيرجندپشت مجتمع زندان كارخانه مسيرياب بيرجند</v>
      </c>
      <c r="D1174" s="1">
        <v>9113</v>
      </c>
      <c r="E1174" s="1">
        <v>131414</v>
      </c>
      <c r="F1174" s="1">
        <v>96</v>
      </c>
      <c r="G1174" s="1">
        <v>0</v>
      </c>
      <c r="H1174" s="1" t="str">
        <f>"96/07/03"</f>
        <v>96/07/03</v>
      </c>
      <c r="I1174" s="1" t="str">
        <f>"كيلوگرم"</f>
        <v>كيلوگرم</v>
      </c>
      <c r="J1174" s="1" t="str">
        <f>"0000000076"</f>
        <v>0000000076</v>
      </c>
      <c r="K1174" s="1" t="str">
        <f>"قير 60/70 - فله"</f>
        <v>قير 60/70 - فله</v>
      </c>
      <c r="L1174" s="1">
        <v>100</v>
      </c>
      <c r="M1174" s="1" t="str">
        <f>"مخازن قير اصفهان"</f>
        <v>مخازن قير اصفهان</v>
      </c>
      <c r="N1174" s="1">
        <v>8897</v>
      </c>
      <c r="O1174" s="1">
        <v>50036345</v>
      </c>
      <c r="P1174" s="1" t="str">
        <f>"  شهرداري مود"</f>
        <v xml:space="preserve">  شهرداري مود</v>
      </c>
      <c r="Q1174" s="1">
        <v>20</v>
      </c>
      <c r="R1174" s="1" t="str">
        <f>"فروش داخلي - سازمان شهرداري ها و دهياري هاي كشور"</f>
        <v>فروش داخلي - سازمان شهرداري ها و دهياري هاي كشور</v>
      </c>
      <c r="S1174" s="1" t="str">
        <f>"قرارداد فروش"</f>
        <v>قرارداد فروش</v>
      </c>
      <c r="T1174" s="1" t="str">
        <f>"ندارد"</f>
        <v>ندارد</v>
      </c>
      <c r="U1174" s="1" t="str">
        <f>"تعاوني جم گستر (1001 ج 89)"</f>
        <v>تعاوني جم گستر (1001 ج 89)</v>
      </c>
      <c r="V1174" s="1">
        <v>962000150</v>
      </c>
      <c r="W1174" s="1">
        <v>962000150</v>
      </c>
      <c r="X1174" s="1" t="str">
        <f>"1396514467"</f>
        <v>1396514467</v>
      </c>
      <c r="Y1174" s="1" t="str">
        <f>"96/07/03"</f>
        <v>96/07/03</v>
      </c>
      <c r="Z1174" s="1" t="str">
        <f>"26715مرحله اول"</f>
        <v>26715مرحله اول</v>
      </c>
      <c r="AA1174" s="1" t="str">
        <f>"شهرداريها"</f>
        <v>شهرداريها</v>
      </c>
      <c r="AB1174" s="1" t="str">
        <f>"96/06/29"</f>
        <v>96/06/29</v>
      </c>
      <c r="AC1174" s="1" t="str">
        <f>"خراسان جنوبي"</f>
        <v>خراسان جنوبي</v>
      </c>
      <c r="AD1174" s="1" t="str">
        <f>"96/07/03"</f>
        <v>96/07/03</v>
      </c>
      <c r="AE1174" s="1" t="str">
        <f>"اختتام"</f>
        <v>اختتام</v>
      </c>
      <c r="AF1174" s="1" t="str">
        <f>""</f>
        <v/>
      </c>
      <c r="AG1174" s="1" t="str">
        <f>""</f>
        <v/>
      </c>
      <c r="AH1174" s="1" t="str">
        <f>""</f>
        <v/>
      </c>
      <c r="AI1174" s="1" t="str">
        <f>""</f>
        <v/>
      </c>
      <c r="AJ1174" s="1" t="str">
        <f>""</f>
        <v/>
      </c>
      <c r="AK1174" s="1" t="str">
        <f>""</f>
        <v/>
      </c>
    </row>
    <row r="1175" spans="1:37">
      <c r="A1175" s="1">
        <v>420000</v>
      </c>
      <c r="B1175" s="1">
        <v>966200023</v>
      </c>
      <c r="C1175" s="1" t="str">
        <f>"تخليه - مازندران-کمربندي نکا- روستاي چاله پل-کارخانه آسفالت قدمي"</f>
        <v>تخليه - مازندران-کمربندي نکا- روستاي چاله پل-کارخانه آسفالت قدمي</v>
      </c>
      <c r="D1175" s="1">
        <v>8198</v>
      </c>
      <c r="E1175" s="1">
        <v>419960</v>
      </c>
      <c r="F1175" s="1">
        <v>96</v>
      </c>
      <c r="G1175" s="1">
        <v>40</v>
      </c>
      <c r="H1175" s="1" t="str">
        <f>"96/01/23"</f>
        <v>96/01/23</v>
      </c>
      <c r="I1175" s="1" t="str">
        <f>"كيلوگرم"</f>
        <v>كيلوگرم</v>
      </c>
      <c r="J1175" s="1" t="str">
        <f>"0000000076"</f>
        <v>0000000076</v>
      </c>
      <c r="K1175" s="1" t="str">
        <f>"قير 60/70 - فله"</f>
        <v>قير 60/70 - فله</v>
      </c>
      <c r="L1175" s="1">
        <v>100</v>
      </c>
      <c r="M1175" s="1" t="str">
        <f>"مخازن قير اصفهان"</f>
        <v>مخازن قير اصفهان</v>
      </c>
      <c r="N1175" s="1">
        <v>8903</v>
      </c>
      <c r="O1175" s="1">
        <v>50034534</v>
      </c>
      <c r="P1175" s="1" t="str">
        <f>"  بنيادمسكن انقلاب اسلامي مازندران"</f>
        <v xml:space="preserve">  بنيادمسكن انقلاب اسلامي مازندران</v>
      </c>
      <c r="Q1175" s="1">
        <v>62</v>
      </c>
      <c r="R1175" s="1" t="str">
        <f>"فروش داخلي - سازمان بنيادمسكن انقلاب اسلامي"</f>
        <v>فروش داخلي - سازمان بنيادمسكن انقلاب اسلامي</v>
      </c>
      <c r="S1175" s="1" t="str">
        <f>"قرارداد فروش"</f>
        <v>قرارداد فروش</v>
      </c>
      <c r="T1175" s="1" t="str">
        <f>"ندارد"</f>
        <v>ندارد</v>
      </c>
      <c r="U1175" s="1" t="str">
        <f>"شيشه بر كريم(1841016)"</f>
        <v>شيشه بر كريم(1841016)</v>
      </c>
      <c r="V1175" s="1">
        <v>966200023</v>
      </c>
      <c r="W1175" s="1">
        <v>966200023</v>
      </c>
      <c r="X1175" s="1" t="str">
        <f>"1396474034"</f>
        <v>1396474034</v>
      </c>
      <c r="Y1175" s="1" t="str">
        <f>"96/01/23"</f>
        <v>96/01/23</v>
      </c>
      <c r="Z1175" s="1" t="str">
        <f>"1454/د"</f>
        <v>1454/د</v>
      </c>
      <c r="AA1175" s="1" t="str">
        <f>"بنيادمسكن انقلاب اسلامي"</f>
        <v>بنيادمسكن انقلاب اسلامي</v>
      </c>
      <c r="AB1175" s="1" t="str">
        <f>"96/01/21"</f>
        <v>96/01/21</v>
      </c>
      <c r="AC1175" s="1" t="str">
        <f>"استان مازندران"</f>
        <v>استان مازندران</v>
      </c>
      <c r="AD1175" s="1" t="str">
        <f>"96/01/23"</f>
        <v>96/01/23</v>
      </c>
      <c r="AE1175" s="1" t="str">
        <f>"اختتام"</f>
        <v>اختتام</v>
      </c>
      <c r="AF1175" s="1" t="str">
        <f>""</f>
        <v/>
      </c>
      <c r="AG1175" s="1" t="str">
        <f>""</f>
        <v/>
      </c>
      <c r="AH1175" s="1" t="str">
        <f>""</f>
        <v/>
      </c>
      <c r="AI1175" s="1" t="str">
        <f>""</f>
        <v/>
      </c>
      <c r="AJ1175" s="1" t="str">
        <f>""</f>
        <v/>
      </c>
      <c r="AK1175" s="1" t="str">
        <f>""</f>
        <v/>
      </c>
    </row>
    <row r="1176" spans="1:37">
      <c r="A1176" s="1">
        <v>75000</v>
      </c>
      <c r="B1176" s="1">
        <v>966200138</v>
      </c>
      <c r="C1176" s="1" t="str">
        <f>"تخليه - مازندران-کمربندي نکا- روستاي چاله پل-کارخانه آسفالت سليم بهرامي"</f>
        <v>تخليه - مازندران-کمربندي نکا- روستاي چاله پل-کارخانه آسفالت سليم بهرامي</v>
      </c>
      <c r="D1176" s="1">
        <v>8704</v>
      </c>
      <c r="E1176" s="1">
        <v>74640</v>
      </c>
      <c r="F1176" s="1">
        <v>96</v>
      </c>
      <c r="G1176" s="1">
        <v>360</v>
      </c>
      <c r="H1176" s="1" t="str">
        <f>"96/04/25"</f>
        <v>96/04/25</v>
      </c>
      <c r="I1176" s="1" t="str">
        <f>"كيلوگرم"</f>
        <v>كيلوگرم</v>
      </c>
      <c r="J1176" s="1" t="str">
        <f>"0000000076"</f>
        <v>0000000076</v>
      </c>
      <c r="K1176" s="1" t="str">
        <f>"قير 60/70 - فله"</f>
        <v>قير 60/70 - فله</v>
      </c>
      <c r="L1176" s="1">
        <v>100</v>
      </c>
      <c r="M1176" s="1" t="str">
        <f>"مخازن قير اصفهان"</f>
        <v>مخازن قير اصفهان</v>
      </c>
      <c r="N1176" s="1">
        <v>8903</v>
      </c>
      <c r="O1176" s="1">
        <v>50035223</v>
      </c>
      <c r="P1176" s="1" t="str">
        <f>"  بنيادمسكن انقلاب اسلامي مازندران"</f>
        <v xml:space="preserve">  بنيادمسكن انقلاب اسلامي مازندران</v>
      </c>
      <c r="Q1176" s="1">
        <v>62</v>
      </c>
      <c r="R1176" s="1" t="str">
        <f>"فروش داخلي - سازمان بنيادمسكن انقلاب اسلامي"</f>
        <v>فروش داخلي - سازمان بنيادمسكن انقلاب اسلامي</v>
      </c>
      <c r="S1176" s="1" t="str">
        <f>"قرارداد فروش"</f>
        <v>قرارداد فروش</v>
      </c>
      <c r="T1176" s="1" t="str">
        <f>"ندارد"</f>
        <v>ندارد</v>
      </c>
      <c r="U1176" s="1" t="str">
        <f>"شيشه بر كريم(1841016)"</f>
        <v>شيشه بر كريم(1841016)</v>
      </c>
      <c r="V1176" s="1">
        <v>966200138</v>
      </c>
      <c r="W1176" s="1">
        <v>966200138</v>
      </c>
      <c r="X1176" s="1" t="str">
        <f>"1396496982"</f>
        <v>1396496982</v>
      </c>
      <c r="Y1176" s="1" t="str">
        <f>"96/04/25"</f>
        <v>96/04/25</v>
      </c>
      <c r="Z1176" s="1" t="str">
        <f>"16080/د"</f>
        <v>16080/د</v>
      </c>
      <c r="AA1176" s="1" t="str">
        <f>"بنيادمسكن انقلاب اسلامي"</f>
        <v>بنيادمسكن انقلاب اسلامي</v>
      </c>
      <c r="AB1176" s="1" t="str">
        <f>"96/04/21"</f>
        <v>96/04/21</v>
      </c>
      <c r="AC1176" s="1" t="str">
        <f>"استان مازندران"</f>
        <v>استان مازندران</v>
      </c>
      <c r="AD1176" s="1" t="str">
        <f>"96/04/25"</f>
        <v>96/04/25</v>
      </c>
      <c r="AE1176" s="1" t="str">
        <f>"اختتام"</f>
        <v>اختتام</v>
      </c>
      <c r="AF1176" s="1" t="str">
        <f>""</f>
        <v/>
      </c>
      <c r="AG1176" s="1" t="str">
        <f>""</f>
        <v/>
      </c>
      <c r="AH1176" s="1" t="str">
        <f>""</f>
        <v/>
      </c>
      <c r="AI1176" s="1" t="str">
        <f>""</f>
        <v/>
      </c>
      <c r="AJ1176" s="1" t="str">
        <f>""</f>
        <v/>
      </c>
      <c r="AK1176" s="1" t="str">
        <f>""</f>
        <v/>
      </c>
    </row>
    <row r="1177" spans="1:37">
      <c r="A1177" s="1">
        <v>104000</v>
      </c>
      <c r="B1177" s="1">
        <v>966200155</v>
      </c>
      <c r="C1177" s="1" t="str">
        <f>"تخليه-مازندران-کيلومتر 10 جاده آمل محمود آباد-پشت شهرک صنعتي تشبندان-کارخانه آسفالت ارجمنديان"</f>
        <v>تخليه-مازندران-کيلومتر 10 جاده آمل محمود آباد-پشت شهرک صنعتي تشبندان-کارخانه آسفالت ارجمنديان</v>
      </c>
      <c r="D1177" s="1">
        <v>8704</v>
      </c>
      <c r="E1177" s="1">
        <v>104000</v>
      </c>
      <c r="F1177" s="1">
        <v>96</v>
      </c>
      <c r="G1177" s="1">
        <v>0</v>
      </c>
      <c r="H1177" s="1" t="str">
        <f>"96/05/08"</f>
        <v>96/05/08</v>
      </c>
      <c r="I1177" s="1" t="str">
        <f>"كيلوگرم"</f>
        <v>كيلوگرم</v>
      </c>
      <c r="J1177" s="1" t="str">
        <f>"0000000076"</f>
        <v>0000000076</v>
      </c>
      <c r="K1177" s="1" t="str">
        <f>"قير 60/70 - فله"</f>
        <v>قير 60/70 - فله</v>
      </c>
      <c r="L1177" s="1">
        <v>100</v>
      </c>
      <c r="M1177" s="1" t="str">
        <f>"مخازن قير اصفهان"</f>
        <v>مخازن قير اصفهان</v>
      </c>
      <c r="N1177" s="1">
        <v>8903</v>
      </c>
      <c r="O1177" s="1">
        <v>50035392</v>
      </c>
      <c r="P1177" s="1" t="str">
        <f>"  بنيادمسكن انقلاب اسلامي مازندران"</f>
        <v xml:space="preserve">  بنيادمسكن انقلاب اسلامي مازندران</v>
      </c>
      <c r="Q1177" s="1">
        <v>62</v>
      </c>
      <c r="R1177" s="1" t="str">
        <f>"فروش داخلي - سازمان بنيادمسكن انقلاب اسلامي"</f>
        <v>فروش داخلي - سازمان بنيادمسكن انقلاب اسلامي</v>
      </c>
      <c r="S1177" s="1" t="str">
        <f>"قرارداد فروش"</f>
        <v>قرارداد فروش</v>
      </c>
      <c r="T1177" s="1" t="str">
        <f>"ندارد"</f>
        <v>ندارد</v>
      </c>
      <c r="U1177" s="1" t="str">
        <f>"شيشه بر كريم(1841016)"</f>
        <v>شيشه بر كريم(1841016)</v>
      </c>
      <c r="V1177" s="1">
        <v>966200155</v>
      </c>
      <c r="W1177" s="1">
        <v>966200155</v>
      </c>
      <c r="X1177" s="1" t="str">
        <f>"1396500984"</f>
        <v>1396500984</v>
      </c>
      <c r="Y1177" s="1" t="str">
        <f>"96/05/08"</f>
        <v>96/05/08</v>
      </c>
      <c r="Z1177" s="1" t="str">
        <f>"18661/د"</f>
        <v>18661/د</v>
      </c>
      <c r="AA1177" s="1" t="str">
        <f>"بنيادمسكن انقلاب اسلامي"</f>
        <v>بنيادمسكن انقلاب اسلامي</v>
      </c>
      <c r="AB1177" s="1" t="str">
        <f>"96/05/07"</f>
        <v>96/05/07</v>
      </c>
      <c r="AC1177" s="1" t="str">
        <f>"استان مازندران"</f>
        <v>استان مازندران</v>
      </c>
      <c r="AD1177" s="1" t="str">
        <f>"96/05/08"</f>
        <v>96/05/08</v>
      </c>
      <c r="AE1177" s="1" t="str">
        <f>"اختتام"</f>
        <v>اختتام</v>
      </c>
      <c r="AF1177" s="1" t="str">
        <f>""</f>
        <v/>
      </c>
      <c r="AG1177" s="1" t="str">
        <f>""</f>
        <v/>
      </c>
      <c r="AH1177" s="1" t="str">
        <f>""</f>
        <v/>
      </c>
      <c r="AI1177" s="1" t="str">
        <f>""</f>
        <v/>
      </c>
      <c r="AJ1177" s="1" t="str">
        <f>""</f>
        <v/>
      </c>
      <c r="AK1177" s="1" t="str">
        <f>""</f>
        <v/>
      </c>
    </row>
    <row r="1178" spans="1:37">
      <c r="A1178" s="1">
        <v>310000</v>
      </c>
      <c r="B1178" s="1">
        <v>966200168</v>
      </c>
      <c r="C1178" s="1" t="str">
        <f>"تخليه-مازندران-کيلومتر 10 جاده آمل محمود آباد-پشت شهرک صنعتي تشبندان-کارخانه آسفالت ارجمنديان"</f>
        <v>تخليه-مازندران-کيلومتر 10 جاده آمل محمود آباد-پشت شهرک صنعتي تشبندان-کارخانه آسفالت ارجمنديان</v>
      </c>
      <c r="D1178" s="1">
        <v>8704</v>
      </c>
      <c r="E1178" s="1">
        <v>309300</v>
      </c>
      <c r="F1178" s="1">
        <v>96</v>
      </c>
      <c r="G1178" s="1">
        <v>700</v>
      </c>
      <c r="H1178" s="1" t="str">
        <f>"96/05/15"</f>
        <v>96/05/15</v>
      </c>
      <c r="I1178" s="1" t="str">
        <f>"كيلوگرم"</f>
        <v>كيلوگرم</v>
      </c>
      <c r="J1178" s="1" t="str">
        <f>"0000000076"</f>
        <v>0000000076</v>
      </c>
      <c r="K1178" s="1" t="str">
        <f>"قير 60/70 - فله"</f>
        <v>قير 60/70 - فله</v>
      </c>
      <c r="L1178" s="1">
        <v>100</v>
      </c>
      <c r="M1178" s="1" t="str">
        <f>"مخازن قير اصفهان"</f>
        <v>مخازن قير اصفهان</v>
      </c>
      <c r="N1178" s="1">
        <v>8903</v>
      </c>
      <c r="O1178" s="1">
        <v>50035523</v>
      </c>
      <c r="P1178" s="1" t="str">
        <f>"  بنيادمسكن انقلاب اسلامي مازندران"</f>
        <v xml:space="preserve">  بنيادمسكن انقلاب اسلامي مازندران</v>
      </c>
      <c r="Q1178" s="1">
        <v>62</v>
      </c>
      <c r="R1178" s="1" t="str">
        <f>"فروش داخلي - سازمان بنيادمسكن انقلاب اسلامي"</f>
        <v>فروش داخلي - سازمان بنيادمسكن انقلاب اسلامي</v>
      </c>
      <c r="S1178" s="1" t="str">
        <f>"قرارداد فروش"</f>
        <v>قرارداد فروش</v>
      </c>
      <c r="T1178" s="1" t="str">
        <f>"ندارد"</f>
        <v>ندارد</v>
      </c>
      <c r="U1178" s="1" t="str">
        <f>"شيشه بر كريم(1841016)"</f>
        <v>شيشه بر كريم(1841016)</v>
      </c>
      <c r="V1178" s="1">
        <v>966200168</v>
      </c>
      <c r="W1178" s="1">
        <v>966200168</v>
      </c>
      <c r="X1178" s="1" t="str">
        <f>"1396502842"</f>
        <v>1396502842</v>
      </c>
      <c r="Y1178" s="1" t="str">
        <f>"96/05/15"</f>
        <v>96/05/15</v>
      </c>
      <c r="Z1178" s="1" t="str">
        <f>"19670/د"</f>
        <v>19670/د</v>
      </c>
      <c r="AA1178" s="1" t="str">
        <f>"بنيادمسكن انقلاب اسلامي"</f>
        <v>بنيادمسكن انقلاب اسلامي</v>
      </c>
      <c r="AB1178" s="1" t="str">
        <f>"96/05/11"</f>
        <v>96/05/11</v>
      </c>
      <c r="AC1178" s="1" t="str">
        <f>"استان مازندران"</f>
        <v>استان مازندران</v>
      </c>
      <c r="AD1178" s="1" t="str">
        <f>"96/05/15"</f>
        <v>96/05/15</v>
      </c>
      <c r="AE1178" s="1" t="str">
        <f>"اختتام"</f>
        <v>اختتام</v>
      </c>
      <c r="AF1178" s="1" t="str">
        <f>""</f>
        <v/>
      </c>
      <c r="AG1178" s="1" t="str">
        <f>""</f>
        <v/>
      </c>
      <c r="AH1178" s="1" t="str">
        <f>""</f>
        <v/>
      </c>
      <c r="AI1178" s="1" t="str">
        <f>""</f>
        <v/>
      </c>
      <c r="AJ1178" s="1" t="str">
        <f>""</f>
        <v/>
      </c>
      <c r="AK1178" s="1" t="str">
        <f>""</f>
        <v/>
      </c>
    </row>
    <row r="1179" spans="1:37">
      <c r="A1179" s="1">
        <v>533000</v>
      </c>
      <c r="B1179" s="1">
        <v>966200227</v>
      </c>
      <c r="C1179" s="1" t="str">
        <f>"تخليه - مازندران-مرزن آباد -ا.. بيجار-کارخانه آسفالت ديبا راه سپهر"</f>
        <v>تخليه - مازندران-مرزن آباد -ا.. بيجار-کارخانه آسفالت ديبا راه سپهر</v>
      </c>
      <c r="D1179" s="1">
        <v>8954</v>
      </c>
      <c r="E1179" s="1">
        <v>533000</v>
      </c>
      <c r="F1179" s="1">
        <v>96</v>
      </c>
      <c r="G1179" s="1">
        <v>0</v>
      </c>
      <c r="H1179" s="1" t="str">
        <f>"96/06/21"</f>
        <v>96/06/21</v>
      </c>
      <c r="I1179" s="1" t="str">
        <f>"كيلوگرم"</f>
        <v>كيلوگرم</v>
      </c>
      <c r="J1179" s="1" t="str">
        <f>"0000000076"</f>
        <v>0000000076</v>
      </c>
      <c r="K1179" s="1" t="str">
        <f>"قير 60/70 - فله"</f>
        <v>قير 60/70 - فله</v>
      </c>
      <c r="L1179" s="1">
        <v>100</v>
      </c>
      <c r="M1179" s="1" t="str">
        <f>"مخازن قير اصفهان"</f>
        <v>مخازن قير اصفهان</v>
      </c>
      <c r="N1179" s="1">
        <v>8903</v>
      </c>
      <c r="O1179" s="1">
        <v>50035976</v>
      </c>
      <c r="P1179" s="1" t="str">
        <f>"  بنيادمسكن انقلاب اسلامي مازندران"</f>
        <v xml:space="preserve">  بنيادمسكن انقلاب اسلامي مازندران</v>
      </c>
      <c r="Q1179" s="1">
        <v>62</v>
      </c>
      <c r="R1179" s="1" t="str">
        <f>"فروش داخلي - سازمان بنيادمسكن انقلاب اسلامي"</f>
        <v>فروش داخلي - سازمان بنيادمسكن انقلاب اسلامي</v>
      </c>
      <c r="S1179" s="1" t="str">
        <f>"قرارداد فروش"</f>
        <v>قرارداد فروش</v>
      </c>
      <c r="T1179" s="1" t="str">
        <f>"ندارد"</f>
        <v>ندارد</v>
      </c>
      <c r="U1179" s="1" t="str">
        <f>"شيشه بر كريم(1841016)"</f>
        <v>شيشه بر كريم(1841016)</v>
      </c>
      <c r="V1179" s="1">
        <v>966200227</v>
      </c>
      <c r="W1179" s="1">
        <v>966200227</v>
      </c>
      <c r="X1179" s="1" t="str">
        <f>"1396511620"</f>
        <v>1396511620</v>
      </c>
      <c r="Y1179" s="1" t="str">
        <f>"96/06/21"</f>
        <v>96/06/21</v>
      </c>
      <c r="Z1179" s="1" t="str">
        <f>"26379/د"</f>
        <v>26379/د</v>
      </c>
      <c r="AA1179" s="1" t="str">
        <f>"بنيادمسكن انقلاب اسلامي"</f>
        <v>بنيادمسكن انقلاب اسلامي</v>
      </c>
      <c r="AB1179" s="1" t="str">
        <f>"96/06/15"</f>
        <v>96/06/15</v>
      </c>
      <c r="AC1179" s="1" t="str">
        <f>"استان مازندران"</f>
        <v>استان مازندران</v>
      </c>
      <c r="AD1179" s="1" t="str">
        <f>"96/06/21"</f>
        <v>96/06/21</v>
      </c>
      <c r="AE1179" s="1" t="str">
        <f>"اختتام"</f>
        <v>اختتام</v>
      </c>
      <c r="AF1179" s="1" t="str">
        <f>""</f>
        <v/>
      </c>
      <c r="AG1179" s="1" t="str">
        <f>""</f>
        <v/>
      </c>
      <c r="AH1179" s="1" t="str">
        <f>""</f>
        <v/>
      </c>
      <c r="AI1179" s="1" t="str">
        <f>""</f>
        <v/>
      </c>
      <c r="AJ1179" s="1" t="str">
        <f>""</f>
        <v/>
      </c>
      <c r="AK1179" s="1" t="str">
        <f>""</f>
        <v/>
      </c>
    </row>
    <row r="1180" spans="1:37">
      <c r="A1180" s="1">
        <v>26000</v>
      </c>
      <c r="B1180" s="1">
        <v>966200495</v>
      </c>
      <c r="C1180" s="1" t="str">
        <f>"تخليه-مازندران-کيلومتر 10 جاده آمل محمود آباد-پشت شهرک صنعتي تشبندان-کارخانه آسفالت ارجمنديان"</f>
        <v>تخليه-مازندران-کيلومتر 10 جاده آمل محمود آباد-پشت شهرک صنعتي تشبندان-کارخانه آسفالت ارجمنديان</v>
      </c>
      <c r="D1180" s="1">
        <v>12850</v>
      </c>
      <c r="E1180" s="1">
        <v>26000</v>
      </c>
      <c r="F1180" s="1">
        <v>96</v>
      </c>
      <c r="G1180" s="1">
        <v>0</v>
      </c>
      <c r="H1180" s="1" t="str">
        <f>"96/10/09"</f>
        <v>96/10/09</v>
      </c>
      <c r="I1180" s="1" t="str">
        <f>"كيلوگرم"</f>
        <v>كيلوگرم</v>
      </c>
      <c r="J1180" s="1" t="str">
        <f>"0000000076"</f>
        <v>0000000076</v>
      </c>
      <c r="K1180" s="1" t="str">
        <f>"قير 60/70 - فله"</f>
        <v>قير 60/70 - فله</v>
      </c>
      <c r="L1180" s="1">
        <v>100</v>
      </c>
      <c r="M1180" s="1" t="str">
        <f>"مخازن قير اصفهان"</f>
        <v>مخازن قير اصفهان</v>
      </c>
      <c r="N1180" s="1">
        <v>8903</v>
      </c>
      <c r="O1180" s="1">
        <v>50038004</v>
      </c>
      <c r="P1180" s="1" t="str">
        <f>"  بنيادمسكن انقلاب اسلامي مازندران"</f>
        <v xml:space="preserve">  بنيادمسكن انقلاب اسلامي مازندران</v>
      </c>
      <c r="Q1180" s="1">
        <v>62</v>
      </c>
      <c r="R1180" s="1" t="str">
        <f>"فروش داخلي - سازمان بنيادمسكن انقلاب اسلامي"</f>
        <v>فروش داخلي - سازمان بنيادمسكن انقلاب اسلامي</v>
      </c>
      <c r="S1180" s="1" t="str">
        <f>"قرارداد فروش"</f>
        <v>قرارداد فروش</v>
      </c>
      <c r="T1180" s="1" t="str">
        <f>"ندارد"</f>
        <v>ندارد</v>
      </c>
      <c r="U1180" s="1" t="str">
        <f>"شيشه بر كريم(1841016)"</f>
        <v>شيشه بر كريم(1841016)</v>
      </c>
      <c r="V1180" s="1">
        <v>966200495</v>
      </c>
      <c r="W1180" s="1">
        <v>966200495</v>
      </c>
      <c r="X1180" s="1" t="str">
        <f>"1396535970"</f>
        <v>1396535970</v>
      </c>
      <c r="Y1180" s="1" t="str">
        <f>"96/10/09"</f>
        <v>96/10/09</v>
      </c>
      <c r="Z1180" s="1" t="str">
        <f>"44347/د"</f>
        <v>44347/د</v>
      </c>
      <c r="AA1180" s="1" t="str">
        <f>"بنيادمسكن انقلاب اسلامي"</f>
        <v>بنيادمسكن انقلاب اسلامي</v>
      </c>
      <c r="AB1180" s="1" t="str">
        <f>"96/10/06"</f>
        <v>96/10/06</v>
      </c>
      <c r="AC1180" s="1" t="str">
        <f>"استان مازندران"</f>
        <v>استان مازندران</v>
      </c>
      <c r="AD1180" s="1" t="str">
        <f>"96/10/09"</f>
        <v>96/10/09</v>
      </c>
      <c r="AE1180" s="1" t="str">
        <f>"اختتام"</f>
        <v>اختتام</v>
      </c>
      <c r="AF1180" s="1" t="str">
        <f>""</f>
        <v/>
      </c>
      <c r="AG1180" s="1" t="str">
        <f>""</f>
        <v/>
      </c>
      <c r="AH1180" s="1" t="str">
        <f>""</f>
        <v/>
      </c>
      <c r="AI1180" s="1" t="str">
        <f>""</f>
        <v/>
      </c>
      <c r="AJ1180" s="1" t="str">
        <f>""</f>
        <v/>
      </c>
      <c r="AK1180" s="1" t="str">
        <f>""</f>
        <v/>
      </c>
    </row>
    <row r="1181" spans="1:37">
      <c r="A1181" s="1">
        <v>93000</v>
      </c>
      <c r="B1181" s="1">
        <v>966200498</v>
      </c>
      <c r="C1181" s="1" t="str">
        <f>"تخليه - مازندران - بهشهر-بندراميرآباد-کارخانه آسفالت سامان محيط"</f>
        <v>تخليه - مازندران - بهشهر-بندراميرآباد-کارخانه آسفالت سامان محيط</v>
      </c>
      <c r="D1181" s="1">
        <v>12850</v>
      </c>
      <c r="E1181" s="1">
        <v>93000</v>
      </c>
      <c r="F1181" s="1">
        <v>96</v>
      </c>
      <c r="G1181" s="1">
        <v>0</v>
      </c>
      <c r="H1181" s="1" t="str">
        <f>"96/10/12"</f>
        <v>96/10/12</v>
      </c>
      <c r="I1181" s="1" t="str">
        <f>"كيلوگرم"</f>
        <v>كيلوگرم</v>
      </c>
      <c r="J1181" s="1" t="str">
        <f>"0000000076"</f>
        <v>0000000076</v>
      </c>
      <c r="K1181" s="1" t="str">
        <f>"قير 60/70 - فله"</f>
        <v>قير 60/70 - فله</v>
      </c>
      <c r="L1181" s="1">
        <v>100</v>
      </c>
      <c r="M1181" s="1" t="str">
        <f>"مخازن قير اصفهان"</f>
        <v>مخازن قير اصفهان</v>
      </c>
      <c r="N1181" s="1">
        <v>8903</v>
      </c>
      <c r="O1181" s="1">
        <v>50038028</v>
      </c>
      <c r="P1181" s="1" t="str">
        <f>"  بنيادمسكن انقلاب اسلامي مازندران"</f>
        <v xml:space="preserve">  بنيادمسكن انقلاب اسلامي مازندران</v>
      </c>
      <c r="Q1181" s="1">
        <v>62</v>
      </c>
      <c r="R1181" s="1" t="str">
        <f>"فروش داخلي - سازمان بنيادمسكن انقلاب اسلامي"</f>
        <v>فروش داخلي - سازمان بنيادمسكن انقلاب اسلامي</v>
      </c>
      <c r="S1181" s="1" t="str">
        <f>"قرارداد فروش"</f>
        <v>قرارداد فروش</v>
      </c>
      <c r="T1181" s="1" t="str">
        <f>"ندارد"</f>
        <v>ندارد</v>
      </c>
      <c r="U1181" s="1" t="str">
        <f>"شيشه بر كريم(1841016)"</f>
        <v>شيشه بر كريم(1841016)</v>
      </c>
      <c r="V1181" s="1">
        <v>966200498</v>
      </c>
      <c r="W1181" s="1">
        <v>966200498</v>
      </c>
      <c r="X1181" s="1" t="str">
        <f>"1396536916"</f>
        <v>1396536916</v>
      </c>
      <c r="Y1181" s="1" t="str">
        <f>"96/10/12"</f>
        <v>96/10/12</v>
      </c>
      <c r="Z1181" s="1" t="str">
        <f>"45265/د"</f>
        <v>45265/د</v>
      </c>
      <c r="AA1181" s="1" t="str">
        <f>"بنيادمسكن انقلاب اسلامي"</f>
        <v>بنيادمسكن انقلاب اسلامي</v>
      </c>
      <c r="AB1181" s="1" t="str">
        <f>"96/10/12"</f>
        <v>96/10/12</v>
      </c>
      <c r="AC1181" s="1" t="str">
        <f>"استان مازندران"</f>
        <v>استان مازندران</v>
      </c>
      <c r="AD1181" s="1" t="str">
        <f>"96/10/12"</f>
        <v>96/10/12</v>
      </c>
      <c r="AE1181" s="1" t="str">
        <f>"اختتام"</f>
        <v>اختتام</v>
      </c>
      <c r="AF1181" s="1" t="str">
        <f>""</f>
        <v/>
      </c>
      <c r="AG1181" s="1" t="str">
        <f>""</f>
        <v/>
      </c>
      <c r="AH1181" s="1" t="str">
        <f>""</f>
        <v/>
      </c>
      <c r="AI1181" s="1" t="str">
        <f>""</f>
        <v/>
      </c>
      <c r="AJ1181" s="1" t="str">
        <f>""</f>
        <v/>
      </c>
      <c r="AK1181" s="1" t="str">
        <f>""</f>
        <v/>
      </c>
    </row>
    <row r="1182" spans="1:37">
      <c r="A1182" s="1">
        <v>15000</v>
      </c>
      <c r="B1182" s="1">
        <v>966200606</v>
      </c>
      <c r="C1182" s="1" t="str">
        <f>"تخليه-کهگيلويه -دهدشت روستاي خيرآباد-کارخانه آسفالت مظفر"</f>
        <v>تخليه-کهگيلويه -دهدشت روستاي خيرآباد-کارخانه آسفالت مظفر</v>
      </c>
      <c r="D1182" s="1">
        <v>13350</v>
      </c>
      <c r="E1182" s="1">
        <v>14380</v>
      </c>
      <c r="F1182" s="1">
        <v>96</v>
      </c>
      <c r="G1182" s="1">
        <v>620</v>
      </c>
      <c r="H1182" s="1" t="str">
        <f>"96/12/09"</f>
        <v>96/12/09</v>
      </c>
      <c r="I1182" s="1" t="str">
        <f>"كيلوگرم"</f>
        <v>كيلوگرم</v>
      </c>
      <c r="J1182" s="1" t="str">
        <f>"0000000076"</f>
        <v>0000000076</v>
      </c>
      <c r="K1182" s="1" t="str">
        <f>"قير 60/70 - فله"</f>
        <v>قير 60/70 - فله</v>
      </c>
      <c r="L1182" s="1">
        <v>100</v>
      </c>
      <c r="M1182" s="1" t="str">
        <f>"مخازن قير اصفهان"</f>
        <v>مخازن قير اصفهان</v>
      </c>
      <c r="N1182" s="1">
        <v>11185</v>
      </c>
      <c r="O1182" s="1">
        <v>50038665</v>
      </c>
      <c r="P1182" s="1" t="str">
        <f>"  طاق کسري رييسي"</f>
        <v xml:space="preserve">  طاق کسري رييسي</v>
      </c>
      <c r="Q1182" s="1">
        <v>62</v>
      </c>
      <c r="R1182" s="1" t="str">
        <f>"فروش داخلي - سازمان بنيادمسكن انقلاب اسلامي"</f>
        <v>فروش داخلي - سازمان بنيادمسكن انقلاب اسلامي</v>
      </c>
      <c r="S1182" s="1" t="str">
        <f>"قرارداد فروش"</f>
        <v>قرارداد فروش</v>
      </c>
      <c r="T1182" s="1" t="str">
        <f>"ندارد"</f>
        <v>ندارد</v>
      </c>
      <c r="U1182" s="1" t="str">
        <f>"غلام نجفي سيامك‌‌‌‌‌‌(1881082)"</f>
        <v>غلام نجفي سيامك‌‌‌‌‌‌(1881082)</v>
      </c>
      <c r="V1182" s="1">
        <v>966200606</v>
      </c>
      <c r="W1182" s="1">
        <v>966200606</v>
      </c>
      <c r="X1182" s="1" t="str">
        <f>"1396551611"</f>
        <v>1396551611</v>
      </c>
      <c r="Y1182" s="1" t="str">
        <f>"96/12/09"</f>
        <v>96/12/09</v>
      </c>
      <c r="Z1182" s="1" t="str">
        <f>"55685/د"</f>
        <v>55685/د</v>
      </c>
      <c r="AA1182" s="1" t="str">
        <f>"بنيادمسكن انقلاب اسلامي"</f>
        <v>بنيادمسكن انقلاب اسلامي</v>
      </c>
      <c r="AB1182" s="1" t="str">
        <f>"96/12/08"</f>
        <v>96/12/08</v>
      </c>
      <c r="AC1182" s="1" t="str">
        <f>"كهكيلويه و بوير احمد"</f>
        <v>كهكيلويه و بوير احمد</v>
      </c>
      <c r="AD1182" s="1" t="str">
        <f>"96/12/09"</f>
        <v>96/12/09</v>
      </c>
      <c r="AE1182" s="1" t="str">
        <f>"اختتام"</f>
        <v>اختتام</v>
      </c>
      <c r="AF1182" s="1" t="str">
        <f>""</f>
        <v/>
      </c>
      <c r="AG1182" s="1" t="str">
        <f>""</f>
        <v/>
      </c>
      <c r="AH1182" s="1" t="str">
        <f>""</f>
        <v/>
      </c>
      <c r="AI1182" s="1" t="str">
        <f>""</f>
        <v/>
      </c>
      <c r="AJ1182" s="1" t="str">
        <f>""</f>
        <v/>
      </c>
      <c r="AK1182" s="1" t="str">
        <f>""</f>
        <v/>
      </c>
    </row>
    <row r="1183" spans="1:37">
      <c r="A1183" s="1">
        <v>105402</v>
      </c>
      <c r="B1183" s="1">
        <v>962000044</v>
      </c>
      <c r="C1183" s="1" t="str">
        <f>"تخليه - فريدن - شهردامنه-کارخانه آسفالت دامنه"</f>
        <v>تخليه - فريدن - شهردامنه-کارخانه آسفالت دامنه</v>
      </c>
      <c r="D1183" s="1">
        <v>9113</v>
      </c>
      <c r="E1183" s="1">
        <v>105402</v>
      </c>
      <c r="F1183" s="1">
        <v>96</v>
      </c>
      <c r="G1183" s="1">
        <v>0</v>
      </c>
      <c r="H1183" s="1" t="str">
        <f>"96/07/03"</f>
        <v>96/07/03</v>
      </c>
      <c r="I1183" s="1" t="str">
        <f>"كيلوگرم"</f>
        <v>كيلوگرم</v>
      </c>
      <c r="J1183" s="1" t="str">
        <f>"0000000076"</f>
        <v>0000000076</v>
      </c>
      <c r="K1183" s="1" t="str">
        <f>"قير 60/70 - فله"</f>
        <v>قير 60/70 - فله</v>
      </c>
      <c r="L1183" s="1">
        <v>100</v>
      </c>
      <c r="M1183" s="1" t="str">
        <f>"مخازن قير اصفهان"</f>
        <v>مخازن قير اصفهان</v>
      </c>
      <c r="N1183" s="1">
        <v>11188</v>
      </c>
      <c r="O1183" s="1">
        <v>50036190</v>
      </c>
      <c r="P1183" s="1" t="str">
        <f>"  شهرداري رزوه"</f>
        <v xml:space="preserve">  شهرداري رزوه</v>
      </c>
      <c r="Q1183" s="1">
        <v>20</v>
      </c>
      <c r="R1183" s="1" t="str">
        <f>"فروش داخلي - سازمان شهرداري ها و دهياري هاي كشور"</f>
        <v>فروش داخلي - سازمان شهرداري ها و دهياري هاي كشور</v>
      </c>
      <c r="S1183" s="1" t="str">
        <f>"قرارداد فروش"</f>
        <v>قرارداد فروش</v>
      </c>
      <c r="T1183" s="1" t="str">
        <f>"ندارد"</f>
        <v>ندارد</v>
      </c>
      <c r="U1183" s="1" t="str">
        <f>"تعاوني جم گستر (1001 ج 89)"</f>
        <v>تعاوني جم گستر (1001 ج 89)</v>
      </c>
      <c r="V1183" s="1">
        <v>962000044</v>
      </c>
      <c r="W1183" s="1">
        <v>962000044</v>
      </c>
      <c r="X1183" s="1" t="str">
        <f>"1396514467"</f>
        <v>1396514467</v>
      </c>
      <c r="Y1183" s="1" t="str">
        <f>"96/07/03"</f>
        <v>96/07/03</v>
      </c>
      <c r="Z1183" s="1" t="str">
        <f>"26806مرحله اول"</f>
        <v>26806مرحله اول</v>
      </c>
      <c r="AA1183" s="1" t="str">
        <f>"شهرداريها"</f>
        <v>شهرداريها</v>
      </c>
      <c r="AB1183" s="1" t="str">
        <f>"96/06/29"</f>
        <v>96/06/29</v>
      </c>
      <c r="AC1183" s="1" t="str">
        <f>"استان اصفهان"</f>
        <v>استان اصفهان</v>
      </c>
      <c r="AD1183" s="1" t="str">
        <f>"96/07/03"</f>
        <v>96/07/03</v>
      </c>
      <c r="AE1183" s="1" t="str">
        <f>"اختتام"</f>
        <v>اختتام</v>
      </c>
      <c r="AF1183" s="1" t="str">
        <f>""</f>
        <v/>
      </c>
      <c r="AG1183" s="1" t="str">
        <f>""</f>
        <v/>
      </c>
      <c r="AH1183" s="1" t="str">
        <f>""</f>
        <v/>
      </c>
      <c r="AI1183" s="1" t="str">
        <f>""</f>
        <v/>
      </c>
      <c r="AJ1183" s="1" t="str">
        <f>""</f>
        <v/>
      </c>
      <c r="AK1183" s="1" t="str">
        <f>""</f>
        <v/>
      </c>
    </row>
    <row r="1184" spans="1:37">
      <c r="A1184" s="1">
        <v>153007</v>
      </c>
      <c r="B1184" s="1">
        <v>962000211</v>
      </c>
      <c r="C1184" s="1" t="str">
        <f>"تخليه -كهگيلويه وبويراحمد-گچساران - خيرآباد- كارخانه آسفالت مظفر"</f>
        <v>تخليه -كهگيلويه وبويراحمد-گچساران - خيرآباد- كارخانه آسفالت مظفر</v>
      </c>
      <c r="D1184" s="1">
        <v>9113</v>
      </c>
      <c r="E1184" s="1">
        <v>153007</v>
      </c>
      <c r="F1184" s="1">
        <v>96</v>
      </c>
      <c r="G1184" s="1">
        <v>0</v>
      </c>
      <c r="H1184" s="1" t="str">
        <f>"96/07/03"</f>
        <v>96/07/03</v>
      </c>
      <c r="I1184" s="1" t="str">
        <f>"كيلوگرم"</f>
        <v>كيلوگرم</v>
      </c>
      <c r="J1184" s="1" t="str">
        <f>"0000000076"</f>
        <v>0000000076</v>
      </c>
      <c r="K1184" s="1" t="str">
        <f>"قير 60/70 - فله"</f>
        <v>قير 60/70 - فله</v>
      </c>
      <c r="L1184" s="1">
        <v>100</v>
      </c>
      <c r="M1184" s="1" t="str">
        <f>"مخازن قير اصفهان"</f>
        <v>مخازن قير اصفهان</v>
      </c>
      <c r="N1184" s="1">
        <v>11194</v>
      </c>
      <c r="O1184" s="1">
        <v>50036447</v>
      </c>
      <c r="P1184" s="1" t="str">
        <f>"  شهرداري سوق"</f>
        <v xml:space="preserve">  شهرداري سوق</v>
      </c>
      <c r="Q1184" s="1">
        <v>20</v>
      </c>
      <c r="R1184" s="1" t="str">
        <f>"فروش داخلي - سازمان شهرداري ها و دهياري هاي كشور"</f>
        <v>فروش داخلي - سازمان شهرداري ها و دهياري هاي كشور</v>
      </c>
      <c r="S1184" s="1" t="str">
        <f>"قرارداد فروش"</f>
        <v>قرارداد فروش</v>
      </c>
      <c r="T1184" s="1" t="str">
        <f>"ندارد"</f>
        <v>ندارد</v>
      </c>
      <c r="U1184" s="1" t="str">
        <f>"تعاوني جم گستر (1001 ج 89)"</f>
        <v>تعاوني جم گستر (1001 ج 89)</v>
      </c>
      <c r="V1184" s="1">
        <v>962000211</v>
      </c>
      <c r="W1184" s="1">
        <v>962000211</v>
      </c>
      <c r="X1184" s="1" t="str">
        <f>"1396514467"</f>
        <v>1396514467</v>
      </c>
      <c r="Y1184" s="1" t="str">
        <f>"96/07/03"</f>
        <v>96/07/03</v>
      </c>
      <c r="Z1184" s="1" t="str">
        <f>"26751مرحله اول"</f>
        <v>26751مرحله اول</v>
      </c>
      <c r="AA1184" s="1" t="str">
        <f>"شهرداريها"</f>
        <v>شهرداريها</v>
      </c>
      <c r="AB1184" s="1" t="str">
        <f>"96/06/29"</f>
        <v>96/06/29</v>
      </c>
      <c r="AC1184" s="1" t="str">
        <f>"كهكيلويه و بوير احمد"</f>
        <v>كهكيلويه و بوير احمد</v>
      </c>
      <c r="AD1184" s="1" t="str">
        <f>"96/07/03"</f>
        <v>96/07/03</v>
      </c>
      <c r="AE1184" s="1" t="str">
        <f>"اختتام"</f>
        <v>اختتام</v>
      </c>
      <c r="AF1184" s="1" t="str">
        <f>""</f>
        <v/>
      </c>
      <c r="AG1184" s="1" t="str">
        <f>""</f>
        <v/>
      </c>
      <c r="AH1184" s="1" t="str">
        <f>""</f>
        <v/>
      </c>
      <c r="AI1184" s="1" t="str">
        <f>""</f>
        <v/>
      </c>
      <c r="AJ1184" s="1" t="str">
        <f>""</f>
        <v/>
      </c>
      <c r="AK1184" s="1" t="str">
        <f>""</f>
        <v/>
      </c>
    </row>
    <row r="1185" spans="1:37">
      <c r="A1185" s="1">
        <v>102942</v>
      </c>
      <c r="B1185" s="1">
        <v>962000013</v>
      </c>
      <c r="C1185" s="1" t="str">
        <f>"تخليه اصفهان مباركه بعدازشهرك صنعتي مباركه شركت اصفهان بتون راه"</f>
        <v>تخليه اصفهان مباركه بعدازشهرك صنعتي مباركه شركت اصفهان بتون راه</v>
      </c>
      <c r="D1185" s="1">
        <v>9113</v>
      </c>
      <c r="E1185" s="1">
        <v>102942</v>
      </c>
      <c r="F1185" s="1">
        <v>96</v>
      </c>
      <c r="G1185" s="1">
        <v>0</v>
      </c>
      <c r="H1185" s="1" t="str">
        <f>"96/07/03"</f>
        <v>96/07/03</v>
      </c>
      <c r="I1185" s="1" t="str">
        <f>"كيلوگرم"</f>
        <v>كيلوگرم</v>
      </c>
      <c r="J1185" s="1" t="str">
        <f>"0000000076"</f>
        <v>0000000076</v>
      </c>
      <c r="K1185" s="1" t="str">
        <f>"قير 60/70 - فله"</f>
        <v>قير 60/70 - فله</v>
      </c>
      <c r="L1185" s="1">
        <v>100</v>
      </c>
      <c r="M1185" s="1" t="str">
        <f>"مخازن قير اصفهان"</f>
        <v>مخازن قير اصفهان</v>
      </c>
      <c r="N1185" s="1">
        <v>11197</v>
      </c>
      <c r="O1185" s="1">
        <v>50036154</v>
      </c>
      <c r="P1185" s="1" t="str">
        <f>"  شهرداري باغبادران"</f>
        <v xml:space="preserve">  شهرداري باغبادران</v>
      </c>
      <c r="Q1185" s="1">
        <v>20</v>
      </c>
      <c r="R1185" s="1" t="str">
        <f>"فروش داخلي - سازمان شهرداري ها و دهياري هاي كشور"</f>
        <v>فروش داخلي - سازمان شهرداري ها و دهياري هاي كشور</v>
      </c>
      <c r="S1185" s="1" t="str">
        <f>"قرارداد فروش"</f>
        <v>قرارداد فروش</v>
      </c>
      <c r="T1185" s="1" t="str">
        <f>"ندارد"</f>
        <v>ندارد</v>
      </c>
      <c r="U1185" s="1" t="str">
        <f>"تعاوني جم گستر (1001 ج 89)"</f>
        <v>تعاوني جم گستر (1001 ج 89)</v>
      </c>
      <c r="V1185" s="1">
        <v>962000013</v>
      </c>
      <c r="W1185" s="1">
        <v>962000013</v>
      </c>
      <c r="X1185" s="1" t="str">
        <f>"1396514467"</f>
        <v>1396514467</v>
      </c>
      <c r="Y1185" s="1" t="str">
        <f>"96/07/03"</f>
        <v>96/07/03</v>
      </c>
      <c r="Z1185" s="1" t="str">
        <f>"26892مرحله اول"</f>
        <v>26892مرحله اول</v>
      </c>
      <c r="AA1185" s="1" t="str">
        <f>"شهرداريها"</f>
        <v>شهرداريها</v>
      </c>
      <c r="AB1185" s="1" t="str">
        <f>"96/06/29"</f>
        <v>96/06/29</v>
      </c>
      <c r="AC1185" s="1" t="str">
        <f>"استان اصفهان"</f>
        <v>استان اصفهان</v>
      </c>
      <c r="AD1185" s="1" t="str">
        <f>"96/07/03"</f>
        <v>96/07/03</v>
      </c>
      <c r="AE1185" s="1" t="str">
        <f>"تاييدشده"</f>
        <v>تاييدشده</v>
      </c>
      <c r="AF1185" s="1" t="str">
        <f>""</f>
        <v/>
      </c>
      <c r="AG1185" s="1" t="str">
        <f>""</f>
        <v/>
      </c>
      <c r="AH1185" s="1" t="str">
        <f>""</f>
        <v/>
      </c>
      <c r="AI1185" s="1" t="str">
        <f>""</f>
        <v/>
      </c>
      <c r="AJ1185" s="1" t="str">
        <f>""</f>
        <v/>
      </c>
      <c r="AK1185" s="1" t="str">
        <f>""</f>
        <v/>
      </c>
    </row>
    <row r="1186" spans="1:37">
      <c r="A1186" s="1">
        <v>360000</v>
      </c>
      <c r="B1186" s="1">
        <v>966200360</v>
      </c>
      <c r="C1186" s="1" t="str">
        <f>"تخليه - کهگيلويه - بهبهان-روستاي خيرآباد-کارخانه آسفالت مظفر"</f>
        <v>تخليه - کهگيلويه - بهبهان-روستاي خيرآباد-کارخانه آسفالت مظفر</v>
      </c>
      <c r="D1186" s="1">
        <v>9416</v>
      </c>
      <c r="E1186" s="1">
        <v>360000</v>
      </c>
      <c r="F1186" s="1">
        <v>96</v>
      </c>
      <c r="G1186" s="1">
        <v>0</v>
      </c>
      <c r="H1186" s="1" t="str">
        <f>"96/08/09"</f>
        <v>96/08/09</v>
      </c>
      <c r="I1186" s="1" t="str">
        <f>"كيلوگرم"</f>
        <v>كيلوگرم</v>
      </c>
      <c r="J1186" s="1" t="str">
        <f>"0000000076"</f>
        <v>0000000076</v>
      </c>
      <c r="K1186" s="1" t="str">
        <f>"قير 60/70 - فله"</f>
        <v>قير 60/70 - فله</v>
      </c>
      <c r="L1186" s="1">
        <v>100</v>
      </c>
      <c r="M1186" s="1" t="str">
        <f>"مخازن قير اصفهان"</f>
        <v>مخازن قير اصفهان</v>
      </c>
      <c r="N1186" s="1">
        <v>11199</v>
      </c>
      <c r="O1186" s="1">
        <v>50036974</v>
      </c>
      <c r="P1186" s="1" t="str">
        <f>"  ماهان گذر ارجان"</f>
        <v xml:space="preserve">  ماهان گذر ارجان</v>
      </c>
      <c r="Q1186" s="1">
        <v>62</v>
      </c>
      <c r="R1186" s="1" t="str">
        <f>"فروش داخلي - سازمان بنيادمسكن انقلاب اسلامي"</f>
        <v>فروش داخلي - سازمان بنيادمسكن انقلاب اسلامي</v>
      </c>
      <c r="S1186" s="1" t="str">
        <f>"قرارداد فروش"</f>
        <v>قرارداد فروش</v>
      </c>
      <c r="T1186" s="1" t="str">
        <f>"ندارد"</f>
        <v>ندارد</v>
      </c>
      <c r="U1186" s="1" t="str">
        <f>"غلام نجفي سيامك‌‌‌‌‌‌(1881082)"</f>
        <v>غلام نجفي سيامك‌‌‌‌‌‌(1881082)</v>
      </c>
      <c r="V1186" s="1">
        <v>966200360</v>
      </c>
      <c r="W1186" s="1">
        <v>966200360</v>
      </c>
      <c r="X1186" s="1" t="str">
        <f>"1396522408"</f>
        <v>1396522408</v>
      </c>
      <c r="Y1186" s="1" t="str">
        <f>"96/08/09"</f>
        <v>96/08/09</v>
      </c>
      <c r="Z1186" s="1" t="str">
        <f>"35250/د"</f>
        <v>35250/د</v>
      </c>
      <c r="AA1186" s="1" t="str">
        <f>"بنيادمسكن انقلاب اسلامي"</f>
        <v>بنيادمسكن انقلاب اسلامي</v>
      </c>
      <c r="AB1186" s="1" t="str">
        <f>"96/08/08"</f>
        <v>96/08/08</v>
      </c>
      <c r="AC1186" s="1" t="str">
        <f>"كهكيلويه و بوير احمد"</f>
        <v>كهكيلويه و بوير احمد</v>
      </c>
      <c r="AD1186" s="1" t="str">
        <f>"96/08/09"</f>
        <v>96/08/09</v>
      </c>
      <c r="AE1186" s="1" t="str">
        <f>"اختتام"</f>
        <v>اختتام</v>
      </c>
      <c r="AF1186" s="1" t="str">
        <f>""</f>
        <v/>
      </c>
      <c r="AG1186" s="1" t="str">
        <f>""</f>
        <v/>
      </c>
      <c r="AH1186" s="1" t="str">
        <f>""</f>
        <v/>
      </c>
      <c r="AI1186" s="1" t="str">
        <f>""</f>
        <v/>
      </c>
      <c r="AJ1186" s="1" t="str">
        <f>""</f>
        <v/>
      </c>
      <c r="AK1186" s="1" t="str">
        <f>""</f>
        <v/>
      </c>
    </row>
    <row r="1187" spans="1:37">
      <c r="A1187" s="1">
        <v>110000</v>
      </c>
      <c r="B1187" s="1">
        <v>961700111</v>
      </c>
      <c r="C1187" s="1" t="str">
        <f>"تخليه-لرستان-الشتر-کيلومتر6جاده خرگوش ناب-دانه بندي سلسله"</f>
        <v>تخليه-لرستان-الشتر-کيلومتر6جاده خرگوش ناب-دانه بندي سلسله</v>
      </c>
      <c r="D1187" s="1">
        <v>12970</v>
      </c>
      <c r="E1187" s="1">
        <v>109260</v>
      </c>
      <c r="F1187" s="1">
        <v>96</v>
      </c>
      <c r="G1187" s="1">
        <v>740</v>
      </c>
      <c r="H1187" s="1" t="str">
        <f>"96/07/16"</f>
        <v>96/07/16</v>
      </c>
      <c r="I1187" s="1" t="str">
        <f>"كيلوگرم"</f>
        <v>كيلوگرم</v>
      </c>
      <c r="J1187" s="1" t="str">
        <f>"0000000092"</f>
        <v>0000000092</v>
      </c>
      <c r="K1187" s="1" t="str">
        <f>"قير  PG64-16"</f>
        <v>قير  PG64-16</v>
      </c>
      <c r="L1187" s="1">
        <v>100</v>
      </c>
      <c r="M1187" s="1" t="str">
        <f>"مخازن قير اصفهان"</f>
        <v>مخازن قير اصفهان</v>
      </c>
      <c r="N1187" s="1">
        <v>11148</v>
      </c>
      <c r="O1187" s="1">
        <v>50036588</v>
      </c>
      <c r="P1187" s="1" t="str">
        <f>"  شن و ماسه دانه بندي سلسله"</f>
        <v xml:space="preserve">  شن و ماسه دانه بندي سلسله</v>
      </c>
      <c r="Q1187" s="1">
        <v>17</v>
      </c>
      <c r="R1187" s="1" t="str">
        <f>"فروش داخلي تهران - وزارت راه - راه روستايي - روکش"</f>
        <v>فروش داخلي تهران - وزارت راه - راه روستايي - روکش</v>
      </c>
      <c r="S1187" s="1" t="str">
        <f>"قرارداد فروش"</f>
        <v>قرارداد فروش</v>
      </c>
      <c r="T1187" s="1" t="str">
        <f>"ندارد"</f>
        <v>ندارد</v>
      </c>
      <c r="U1187" s="1" t="str">
        <f>"بستاني محسن (2882039)"</f>
        <v>بستاني محسن (2882039)</v>
      </c>
      <c r="V1187" s="1">
        <v>961700111</v>
      </c>
      <c r="W1187" s="1">
        <v>961700111</v>
      </c>
      <c r="X1187" s="1" t="str">
        <f>"1396517235"</f>
        <v>1396517235</v>
      </c>
      <c r="Y1187" s="1" t="str">
        <f>"96/07/16"</f>
        <v>96/07/16</v>
      </c>
      <c r="Z1187" s="1" t="str">
        <f>"32932/710"</f>
        <v>32932/710</v>
      </c>
      <c r="AA1187" s="1" t="str">
        <f>"راه روستائي -روكش"</f>
        <v>راه روستائي -روكش</v>
      </c>
      <c r="AB1187" s="1" t="str">
        <f>"96/07/03"</f>
        <v>96/07/03</v>
      </c>
      <c r="AC1187" s="1" t="str">
        <f>"لرستان"</f>
        <v>لرستان</v>
      </c>
      <c r="AD1187" s="1" t="str">
        <f>"96/07/16"</f>
        <v>96/07/16</v>
      </c>
      <c r="AE1187" s="1" t="str">
        <f>"اختتام"</f>
        <v>اختتام</v>
      </c>
      <c r="AF1187" s="1" t="str">
        <f>""</f>
        <v/>
      </c>
      <c r="AG1187" s="1" t="str">
        <f>""</f>
        <v/>
      </c>
      <c r="AH1187" s="1" t="str">
        <f>""</f>
        <v/>
      </c>
      <c r="AI1187" s="1" t="str">
        <f>""</f>
        <v/>
      </c>
      <c r="AJ1187" s="1" t="str">
        <f>""</f>
        <v/>
      </c>
      <c r="AK1187" s="1" t="str">
        <f>""</f>
        <v/>
      </c>
    </row>
    <row r="1188" spans="1:37">
      <c r="A1188" s="1">
        <v>1000000</v>
      </c>
      <c r="B1188" s="1">
        <v>961800009</v>
      </c>
      <c r="C1188" s="1" t="str">
        <f>"تخليه يزدشهرستان قائم كيلومتر5جاده هرات شهربانك كارگاه شركت مكران"</f>
        <v>تخليه يزدشهرستان قائم كيلومتر5جاده هرات شهربانك كارگاه شركت مكران</v>
      </c>
      <c r="D1188" s="1">
        <v>12970</v>
      </c>
      <c r="E1188" s="1">
        <v>998880</v>
      </c>
      <c r="F1188" s="1">
        <v>96</v>
      </c>
      <c r="G1188" s="1">
        <v>1120</v>
      </c>
      <c r="H1188" s="1" t="str">
        <f>"96/04/20"</f>
        <v>96/04/20</v>
      </c>
      <c r="I1188" s="1" t="str">
        <f>"كيلوگرم"</f>
        <v>كيلوگرم</v>
      </c>
      <c r="J1188" s="1" t="str">
        <f>"0000000092"</f>
        <v>0000000092</v>
      </c>
      <c r="K1188" s="1" t="str">
        <f>"قير  PG64-16"</f>
        <v>قير  PG64-16</v>
      </c>
      <c r="L1188" s="1">
        <v>100</v>
      </c>
      <c r="M1188" s="1" t="str">
        <f>"مخازن قير اصفهان"</f>
        <v>مخازن قير اصفهان</v>
      </c>
      <c r="N1188" s="1">
        <v>11141</v>
      </c>
      <c r="O1188" s="1">
        <v>50035167</v>
      </c>
      <c r="P1188" s="1" t="str">
        <f>"  راه وساختمان مكران"</f>
        <v xml:space="preserve">  راه وساختمان مكران</v>
      </c>
      <c r="Q1188" s="1">
        <v>18</v>
      </c>
      <c r="R1188" s="1" t="str">
        <f>"فروش داخلي تهران - وزارت راه - شرکت ساخت و توسعه راهها"</f>
        <v>فروش داخلي تهران - وزارت راه - شرکت ساخت و توسعه راهها</v>
      </c>
      <c r="S1188" s="1" t="str">
        <f>"قرارداد فروش"</f>
        <v>قرارداد فروش</v>
      </c>
      <c r="T1188" s="1" t="str">
        <f>"ندارد"</f>
        <v>ندارد</v>
      </c>
      <c r="U1188" s="1" t="str">
        <f>"پورباقري ترابر (4914036)"</f>
        <v>پورباقري ترابر (4914036)</v>
      </c>
      <c r="V1188" s="1">
        <v>961800009</v>
      </c>
      <c r="W1188" s="1">
        <v>961800009</v>
      </c>
      <c r="X1188" s="1" t="str">
        <f>"1396495476"</f>
        <v>1396495476</v>
      </c>
      <c r="Y1188" s="1" t="str">
        <f>"96/04/20"</f>
        <v>96/04/20</v>
      </c>
      <c r="Z1188" s="1" t="str">
        <f>"17344/710"</f>
        <v>17344/710</v>
      </c>
      <c r="AA1188" s="1" t="str">
        <f>"شركت  ساخت وتوسعه راهها"</f>
        <v>شركت  ساخت وتوسعه راهها</v>
      </c>
      <c r="AB1188" s="1" t="str">
        <f>"96/04/18"</f>
        <v>96/04/18</v>
      </c>
      <c r="AC1188" s="1" t="str">
        <f>"استان يزد"</f>
        <v>استان يزد</v>
      </c>
      <c r="AD1188" s="1" t="str">
        <f>"96/04/20"</f>
        <v>96/04/20</v>
      </c>
      <c r="AE1188" s="1" t="str">
        <f>"اختتام"</f>
        <v>اختتام</v>
      </c>
      <c r="AF1188" s="1" t="str">
        <f>""</f>
        <v/>
      </c>
      <c r="AG1188" s="1" t="str">
        <f>""</f>
        <v/>
      </c>
      <c r="AH1188" s="1" t="str">
        <f>""</f>
        <v/>
      </c>
      <c r="AI1188" s="1" t="str">
        <f>""</f>
        <v/>
      </c>
      <c r="AJ1188" s="1" t="str">
        <f>""</f>
        <v/>
      </c>
      <c r="AK1188" s="1" t="str">
        <f>""</f>
        <v/>
      </c>
    </row>
    <row r="1189" spans="1:37">
      <c r="A1189" s="1">
        <v>1000000</v>
      </c>
      <c r="B1189" s="1">
        <v>961900041</v>
      </c>
      <c r="C1189" s="1" t="str">
        <f>"تخليه هرمزگان حاجي آباددوراهي گهكم به سمت داراب كارخانه آسفالت شركت سازه سازان سمنگان"</f>
        <v>تخليه هرمزگان حاجي آباددوراهي گهكم به سمت داراب كارخانه آسفالت شركت سازه سازان سمنگان</v>
      </c>
      <c r="D1189" s="1">
        <v>9068</v>
      </c>
      <c r="E1189" s="1">
        <v>997980</v>
      </c>
      <c r="F1189" s="1">
        <v>96</v>
      </c>
      <c r="G1189" s="1">
        <v>2020</v>
      </c>
      <c r="H1189" s="1" t="str">
        <f>"96/01/20"</f>
        <v>96/01/20</v>
      </c>
      <c r="I1189" s="1" t="str">
        <f>"كيلوگرم"</f>
        <v>كيلوگرم</v>
      </c>
      <c r="J1189" s="1" t="str">
        <f>"0000000092"</f>
        <v>0000000092</v>
      </c>
      <c r="K1189" s="1" t="str">
        <f>"قير  PG64-16"</f>
        <v>قير  PG64-16</v>
      </c>
      <c r="L1189" s="1">
        <v>100</v>
      </c>
      <c r="M1189" s="1" t="str">
        <f>"مخازن قير اصفهان"</f>
        <v>مخازن قير اصفهان</v>
      </c>
      <c r="N1189" s="1">
        <v>11212</v>
      </c>
      <c r="O1189" s="1">
        <v>50034444</v>
      </c>
      <c r="P1189" s="1" t="str">
        <f>"  راهسازي وساختماني سازه سازان سمنگان"</f>
        <v xml:space="preserve">  راهسازي وساختماني سازه سازان سمنگان</v>
      </c>
      <c r="Q1189" s="1">
        <v>19</v>
      </c>
      <c r="R118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189" s="1" t="str">
        <f>"قرارداد فروش"</f>
        <v>قرارداد فروش</v>
      </c>
      <c r="T1189" s="1" t="str">
        <f>"ندارد"</f>
        <v>ندارد</v>
      </c>
      <c r="U1189" s="1" t="str">
        <f>"حاصليان ترابرجنوب مرتضي حاصلي (4844006)"</f>
        <v>حاصليان ترابرجنوب مرتضي حاصلي (4844006)</v>
      </c>
      <c r="V1189" s="1">
        <v>961900041</v>
      </c>
      <c r="W1189" s="1">
        <v>961900041</v>
      </c>
      <c r="X1189" s="1" t="str">
        <f>"1395471098"</f>
        <v>1395471098</v>
      </c>
      <c r="Y1189" s="1" t="str">
        <f>"96/01/20"</f>
        <v>96/01/20</v>
      </c>
      <c r="Z1189" s="1" t="str">
        <f>"67154/710"</f>
        <v>67154/710</v>
      </c>
      <c r="AA1189" s="1" t="str">
        <f>"سازمان راهداري وحمل نقل جاده اي"</f>
        <v>سازمان راهداري وحمل نقل جاده اي</v>
      </c>
      <c r="AB1189" s="1" t="str">
        <f>"95/12/25"</f>
        <v>95/12/25</v>
      </c>
      <c r="AC1189" s="1" t="str">
        <f>"استان هرمزگان"</f>
        <v>استان هرمزگان</v>
      </c>
      <c r="AD1189" s="1" t="str">
        <f>"95/12/28"</f>
        <v>95/12/28</v>
      </c>
      <c r="AE1189" s="1" t="str">
        <f>"اختتام"</f>
        <v>اختتام</v>
      </c>
      <c r="AF1189" s="1" t="str">
        <f>""</f>
        <v/>
      </c>
      <c r="AG1189" s="1" t="str">
        <f>""</f>
        <v/>
      </c>
      <c r="AH1189" s="1" t="str">
        <f>""</f>
        <v/>
      </c>
      <c r="AI1189" s="1" t="str">
        <f>""</f>
        <v/>
      </c>
      <c r="AJ1189" s="1" t="str">
        <f>""</f>
        <v/>
      </c>
      <c r="AK1189" s="1" t="str">
        <f>""</f>
        <v/>
      </c>
    </row>
    <row r="1190" spans="1:37">
      <c r="A1190" s="1">
        <v>500000</v>
      </c>
      <c r="B1190" s="1">
        <v>961900130</v>
      </c>
      <c r="C1190" s="1" t="str">
        <f>"تخليه جنوب كرمان شهرستان جيرفت شهرساردوئيه كارخانه آسفالت پوزولان بتن"</f>
        <v>تخليه جنوب كرمان شهرستان جيرفت شهرساردوئيه كارخانه آسفالت پوزولان بتن</v>
      </c>
      <c r="D1190" s="1">
        <v>9204</v>
      </c>
      <c r="E1190" s="1">
        <v>499460</v>
      </c>
      <c r="F1190" s="1">
        <v>96</v>
      </c>
      <c r="G1190" s="1">
        <v>540</v>
      </c>
      <c r="H1190" s="1" t="str">
        <f>"96/05/29"</f>
        <v>96/05/29</v>
      </c>
      <c r="I1190" s="1" t="str">
        <f>"كيلوگرم"</f>
        <v>كيلوگرم</v>
      </c>
      <c r="J1190" s="1" t="str">
        <f>"0000000092"</f>
        <v>0000000092</v>
      </c>
      <c r="K1190" s="1" t="str">
        <f>"قير  PG64-16"</f>
        <v>قير  PG64-16</v>
      </c>
      <c r="L1190" s="1">
        <v>100</v>
      </c>
      <c r="M1190" s="1" t="str">
        <f>"مخازن قير اصفهان"</f>
        <v>مخازن قير اصفهان</v>
      </c>
      <c r="N1190" s="1">
        <v>11294</v>
      </c>
      <c r="O1190" s="1">
        <v>50035744</v>
      </c>
      <c r="P1190" s="1" t="str">
        <f>"  اداره كل راهداري وحمل ونقل جاده اي جنوب كرمان"</f>
        <v xml:space="preserve">  اداره كل راهداري وحمل ونقل جاده اي جنوب كرمان</v>
      </c>
      <c r="Q1190" s="1">
        <v>19</v>
      </c>
      <c r="R119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190" s="1" t="str">
        <f>"قرارداد فروش"</f>
        <v>قرارداد فروش</v>
      </c>
      <c r="T1190" s="1" t="str">
        <f>"ندارد"</f>
        <v>ندارد</v>
      </c>
      <c r="U1190" s="1" t="str">
        <f>"حاصليان ترابرجنوب مرتضي حاصلي (4844006)"</f>
        <v>حاصليان ترابرجنوب مرتضي حاصلي (4844006)</v>
      </c>
      <c r="V1190" s="1">
        <v>961900130</v>
      </c>
      <c r="W1190" s="1">
        <v>961900130</v>
      </c>
      <c r="X1190" s="1" t="str">
        <f>"1396506625"</f>
        <v>1396506625</v>
      </c>
      <c r="Y1190" s="1" t="str">
        <f>"96/05/29"</f>
        <v>96/05/29</v>
      </c>
      <c r="Z1190" s="1" t="str">
        <f>"25529/710"</f>
        <v>25529/710</v>
      </c>
      <c r="AA1190" s="1" t="str">
        <f>"سازمان راهداري وحمل نقل جاده اي"</f>
        <v>سازمان راهداري وحمل نقل جاده اي</v>
      </c>
      <c r="AB1190" s="1" t="str">
        <f>"96/05/25"</f>
        <v>96/05/25</v>
      </c>
      <c r="AC1190" s="1" t="str">
        <f>"جنوب کرمان"</f>
        <v>جنوب کرمان</v>
      </c>
      <c r="AD1190" s="1" t="str">
        <f>"96/05/29"</f>
        <v>96/05/29</v>
      </c>
      <c r="AE1190" s="1" t="str">
        <f>"اختتام"</f>
        <v>اختتام</v>
      </c>
      <c r="AF1190" s="1" t="str">
        <f>""</f>
        <v/>
      </c>
      <c r="AG1190" s="1" t="str">
        <f>""</f>
        <v/>
      </c>
      <c r="AH1190" s="1" t="str">
        <f>""</f>
        <v/>
      </c>
      <c r="AI1190" s="1" t="str">
        <f>""</f>
        <v/>
      </c>
      <c r="AJ1190" s="1" t="str">
        <f>""</f>
        <v/>
      </c>
      <c r="AK1190" s="1" t="str">
        <f>""</f>
        <v/>
      </c>
    </row>
    <row r="1191" spans="1:37">
      <c r="A1191" s="1">
        <v>500000</v>
      </c>
      <c r="B1191" s="1">
        <v>961900131</v>
      </c>
      <c r="C1191" s="1" t="str">
        <f>"تخليه جنوب كرمان شهرستان كهنوج كارخانه آسفالت شركت پي وپل جنوب"</f>
        <v>تخليه جنوب كرمان شهرستان كهنوج كارخانه آسفالت شركت پي وپل جنوب</v>
      </c>
      <c r="D1191" s="1">
        <v>9363</v>
      </c>
      <c r="E1191" s="1">
        <v>499580</v>
      </c>
      <c r="F1191" s="1">
        <v>96</v>
      </c>
      <c r="G1191" s="1">
        <v>420</v>
      </c>
      <c r="H1191" s="1" t="str">
        <f>"96/05/29"</f>
        <v>96/05/29</v>
      </c>
      <c r="I1191" s="1" t="str">
        <f>"كيلوگرم"</f>
        <v>كيلوگرم</v>
      </c>
      <c r="J1191" s="1" t="str">
        <f>"0000000092"</f>
        <v>0000000092</v>
      </c>
      <c r="K1191" s="1" t="str">
        <f>"قير  PG64-16"</f>
        <v>قير  PG64-16</v>
      </c>
      <c r="L1191" s="1">
        <v>100</v>
      </c>
      <c r="M1191" s="1" t="str">
        <f>"مخازن قير اصفهان"</f>
        <v>مخازن قير اصفهان</v>
      </c>
      <c r="N1191" s="1">
        <v>11294</v>
      </c>
      <c r="O1191" s="1">
        <v>50035753</v>
      </c>
      <c r="P1191" s="1" t="str">
        <f>"  اداره كل راهداري وحمل ونقل جاده اي جنوب كرمان"</f>
        <v xml:space="preserve">  اداره كل راهداري وحمل ونقل جاده اي جنوب كرمان</v>
      </c>
      <c r="Q1191" s="1">
        <v>19</v>
      </c>
      <c r="R119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191" s="1" t="str">
        <f>"قرارداد فروش"</f>
        <v>قرارداد فروش</v>
      </c>
      <c r="T1191" s="1" t="str">
        <f>"ندارد"</f>
        <v>ندارد</v>
      </c>
      <c r="U1191" s="1" t="str">
        <f>"قره باغي مجيد(1871065)"</f>
        <v>قره باغي مجيد(1871065)</v>
      </c>
      <c r="V1191" s="1">
        <v>961900131</v>
      </c>
      <c r="W1191" s="1">
        <v>961900131</v>
      </c>
      <c r="X1191" s="1" t="str">
        <f>"1396506625"</f>
        <v>1396506625</v>
      </c>
      <c r="Y1191" s="1" t="str">
        <f>"96/05/29"</f>
        <v>96/05/29</v>
      </c>
      <c r="Z1191" s="1" t="str">
        <f>"25531/710"</f>
        <v>25531/710</v>
      </c>
      <c r="AA1191" s="1" t="str">
        <f>"سازمان راهداري وحمل نقل جاده اي"</f>
        <v>سازمان راهداري وحمل نقل جاده اي</v>
      </c>
      <c r="AB1191" s="1" t="str">
        <f>"96/05/25"</f>
        <v>96/05/25</v>
      </c>
      <c r="AC1191" s="1" t="str">
        <f>"جنوب کرمان"</f>
        <v>جنوب کرمان</v>
      </c>
      <c r="AD1191" s="1" t="str">
        <f>"96/05/29"</f>
        <v>96/05/29</v>
      </c>
      <c r="AE1191" s="1" t="str">
        <f>"اختتام"</f>
        <v>اختتام</v>
      </c>
      <c r="AF1191" s="1" t="str">
        <f>""</f>
        <v/>
      </c>
      <c r="AG1191" s="1" t="str">
        <f>""</f>
        <v/>
      </c>
      <c r="AH1191" s="1" t="str">
        <f>""</f>
        <v/>
      </c>
      <c r="AI1191" s="1" t="str">
        <f>""</f>
        <v/>
      </c>
      <c r="AJ1191" s="1" t="str">
        <f>""</f>
        <v/>
      </c>
      <c r="AK1191" s="1" t="str">
        <f>""</f>
        <v/>
      </c>
    </row>
    <row r="1192" spans="1:37">
      <c r="A1192" s="1">
        <v>250000</v>
      </c>
      <c r="B1192" s="1">
        <v>961900170</v>
      </c>
      <c r="C1192" s="1" t="str">
        <f>"تخليه لرستان خرم آبادكيلومتر22جاده خرم آبادكوهدشت شركت بلوران سازه خرم"</f>
        <v>تخليه لرستان خرم آبادكيلومتر22جاده خرم آبادكوهدشت شركت بلوران سازه خرم</v>
      </c>
      <c r="D1192" s="1">
        <v>12970</v>
      </c>
      <c r="E1192" s="1">
        <v>249300</v>
      </c>
      <c r="F1192" s="1">
        <v>96</v>
      </c>
      <c r="G1192" s="1">
        <v>700</v>
      </c>
      <c r="H1192" s="1" t="str">
        <f>"96/07/11"</f>
        <v>96/07/11</v>
      </c>
      <c r="I1192" s="1" t="str">
        <f>"كيلوگرم"</f>
        <v>كيلوگرم</v>
      </c>
      <c r="J1192" s="1" t="str">
        <f>"0000000092"</f>
        <v>0000000092</v>
      </c>
      <c r="K1192" s="1" t="str">
        <f>"قير  PG64-16"</f>
        <v>قير  PG64-16</v>
      </c>
      <c r="L1192" s="1">
        <v>100</v>
      </c>
      <c r="M1192" s="1" t="str">
        <f>"مخازن قير اصفهان"</f>
        <v>مخازن قير اصفهان</v>
      </c>
      <c r="N1192" s="1">
        <v>11295</v>
      </c>
      <c r="O1192" s="1">
        <v>50036530</v>
      </c>
      <c r="P1192" s="1" t="str">
        <f>"  اداره كل راهداري وحمل ونقل جاده اي لرستان"</f>
        <v xml:space="preserve">  اداره كل راهداري وحمل ونقل جاده اي لرستان</v>
      </c>
      <c r="Q1192" s="1">
        <v>19</v>
      </c>
      <c r="R119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192" s="1" t="str">
        <f>"قرارداد فروش"</f>
        <v>قرارداد فروش</v>
      </c>
      <c r="T1192" s="1" t="str">
        <f>"ندارد"</f>
        <v>ندارد</v>
      </c>
      <c r="U1192" s="1" t="str">
        <f>"ريسماني حسن(1007ج89)"</f>
        <v>ريسماني حسن(1007ج89)</v>
      </c>
      <c r="V1192" s="1">
        <v>961900170</v>
      </c>
      <c r="W1192" s="1">
        <v>961900170</v>
      </c>
      <c r="X1192" s="1" t="str">
        <f>"1396516181"</f>
        <v>1396516181</v>
      </c>
      <c r="Y1192" s="1" t="str">
        <f>"96/07/11"</f>
        <v>96/07/11</v>
      </c>
      <c r="Z1192" s="1" t="str">
        <f>"33344/710"</f>
        <v>33344/710</v>
      </c>
      <c r="AA1192" s="1" t="str">
        <f>"سازمان راهداري وحمل نقل جاده اي"</f>
        <v>سازمان راهداري وحمل نقل جاده اي</v>
      </c>
      <c r="AB1192" s="1" t="str">
        <f>"96/07/04"</f>
        <v>96/07/04</v>
      </c>
      <c r="AC1192" s="1" t="str">
        <f>"لرستان"</f>
        <v>لرستان</v>
      </c>
      <c r="AD1192" s="1" t="str">
        <f>"96/07/11"</f>
        <v>96/07/11</v>
      </c>
      <c r="AE1192" s="1" t="str">
        <f>"اختتام"</f>
        <v>اختتام</v>
      </c>
      <c r="AF1192" s="1" t="str">
        <f>""</f>
        <v/>
      </c>
      <c r="AG1192" s="1" t="str">
        <f>""</f>
        <v/>
      </c>
      <c r="AH1192" s="1" t="str">
        <f>""</f>
        <v/>
      </c>
      <c r="AI1192" s="1" t="str">
        <f>""</f>
        <v/>
      </c>
      <c r="AJ1192" s="1" t="str">
        <f>""</f>
        <v/>
      </c>
      <c r="AK1192" s="1" t="str">
        <f>""</f>
        <v/>
      </c>
    </row>
    <row r="1193" spans="1:37">
      <c r="A1193" s="1">
        <v>24000</v>
      </c>
      <c r="B1193" s="1">
        <v>966200140</v>
      </c>
      <c r="C1193" s="1" t="str">
        <f>"تخليه - ايلام-جاده قديم صالح آباد -بعداز شهرک شهيد کشوري-کارخانه آسفالت شرکت ايلام قيرپاش"</f>
        <v>تخليه - ايلام-جاده قديم صالح آباد -بعداز شهرک شهيد کشوري-کارخانه آسفالت شرکت ايلام قيرپاش</v>
      </c>
      <c r="D1193" s="1">
        <v>8854</v>
      </c>
      <c r="E1193" s="1">
        <v>23140</v>
      </c>
      <c r="F1193" s="1">
        <v>96</v>
      </c>
      <c r="G1193" s="1">
        <v>860</v>
      </c>
      <c r="H1193" s="1" t="str">
        <f>"96/04/25"</f>
        <v>96/04/25</v>
      </c>
      <c r="I1193" s="1" t="str">
        <f>"كيلوگرم"</f>
        <v>كيلوگرم</v>
      </c>
      <c r="J1193" s="1" t="str">
        <f>"0000000092"</f>
        <v>0000000092</v>
      </c>
      <c r="K1193" s="1" t="str">
        <f>"قير  PG64-16"</f>
        <v>قير  PG64-16</v>
      </c>
      <c r="L1193" s="1">
        <v>100</v>
      </c>
      <c r="M1193" s="1" t="str">
        <f>"مخازن قير اصفهان"</f>
        <v>مخازن قير اصفهان</v>
      </c>
      <c r="N1193" s="1">
        <v>11375</v>
      </c>
      <c r="O1193" s="1">
        <v>50035230</v>
      </c>
      <c r="P1193" s="1" t="str">
        <f>"  بانژ ثمين بام"</f>
        <v xml:space="preserve">  بانژ ثمين بام</v>
      </c>
      <c r="Q1193" s="1">
        <v>62</v>
      </c>
      <c r="R1193" s="1" t="str">
        <f>"فروش داخلي - سازمان بنيادمسكن انقلاب اسلامي"</f>
        <v>فروش داخلي - سازمان بنيادمسكن انقلاب اسلامي</v>
      </c>
      <c r="S1193" s="1" t="str">
        <f>"قرارداد فروش"</f>
        <v>قرارداد فروش</v>
      </c>
      <c r="T1193" s="1" t="str">
        <f>"ندارد"</f>
        <v>ندارد</v>
      </c>
      <c r="U1193" s="1" t="str">
        <f>"عظيمي محمد(2842015)"</f>
        <v>عظيمي محمد(2842015)</v>
      </c>
      <c r="V1193" s="1">
        <v>966200140</v>
      </c>
      <c r="W1193" s="1">
        <v>966200140</v>
      </c>
      <c r="X1193" s="1" t="str">
        <f>"1396496995"</f>
        <v>1396496995</v>
      </c>
      <c r="Y1193" s="1" t="str">
        <f>"96/04/25"</f>
        <v>96/04/25</v>
      </c>
      <c r="Z1193" s="1" t="str">
        <f>"16081/د"</f>
        <v>16081/د</v>
      </c>
      <c r="AA1193" s="1" t="str">
        <f>"بنيادمسكن انقلاب اسلامي"</f>
        <v>بنيادمسكن انقلاب اسلامي</v>
      </c>
      <c r="AB1193" s="1" t="str">
        <f>"96/04/21"</f>
        <v>96/04/21</v>
      </c>
      <c r="AC1193" s="1" t="str">
        <f>"استان ايلام"</f>
        <v>استان ايلام</v>
      </c>
      <c r="AD1193" s="1" t="str">
        <f>"96/04/25"</f>
        <v>96/04/25</v>
      </c>
      <c r="AE1193" s="1" t="str">
        <f>"اختتام"</f>
        <v>اختتام</v>
      </c>
      <c r="AF1193" s="1" t="str">
        <f>""</f>
        <v/>
      </c>
      <c r="AG1193" s="1" t="str">
        <f>""</f>
        <v/>
      </c>
      <c r="AH1193" s="1" t="str">
        <f>""</f>
        <v/>
      </c>
      <c r="AI1193" s="1" t="str">
        <f>""</f>
        <v/>
      </c>
      <c r="AJ1193" s="1" t="str">
        <f>""</f>
        <v/>
      </c>
      <c r="AK1193" s="1" t="str">
        <f>""</f>
        <v/>
      </c>
    </row>
    <row r="1194" spans="1:37">
      <c r="A1194" s="1">
        <v>110000</v>
      </c>
      <c r="B1194" s="1">
        <v>961700057</v>
      </c>
      <c r="C1194" s="1" t="str">
        <f>"تخليه ايلام مخازن قيرايلام راهبان"</f>
        <v>تخليه ايلام مخازن قيرايلام راهبان</v>
      </c>
      <c r="D1194" s="1">
        <v>9204</v>
      </c>
      <c r="E1194" s="1">
        <v>109320</v>
      </c>
      <c r="F1194" s="1">
        <v>96</v>
      </c>
      <c r="G1194" s="1">
        <v>680</v>
      </c>
      <c r="H1194" s="1" t="str">
        <f>"96/05/23"</f>
        <v>96/05/23</v>
      </c>
      <c r="I1194" s="1" t="str">
        <f>"كيلوگرم"</f>
        <v>كيلوگرم</v>
      </c>
      <c r="J1194" s="1" t="str">
        <f>"0000000092"</f>
        <v>0000000092</v>
      </c>
      <c r="K1194" s="1" t="str">
        <f>"قير  PG64-16"</f>
        <v>قير  PG64-16</v>
      </c>
      <c r="L1194" s="1">
        <v>100</v>
      </c>
      <c r="M1194" s="1" t="str">
        <f>"مخازن قير اصفهان"</f>
        <v>مخازن قير اصفهان</v>
      </c>
      <c r="N1194" s="1">
        <v>11390</v>
      </c>
      <c r="O1194" s="1">
        <v>50035650</v>
      </c>
      <c r="P1194" s="1" t="str">
        <f>"  برج سازان كبيركوه غرب"</f>
        <v xml:space="preserve">  برج سازان كبيركوه غرب</v>
      </c>
      <c r="Q1194" s="1">
        <v>17</v>
      </c>
      <c r="R1194" s="1" t="str">
        <f>"فروش داخلي تهران - وزارت راه - راه روستايي - روکش"</f>
        <v>فروش داخلي تهران - وزارت راه - راه روستايي - روکش</v>
      </c>
      <c r="S1194" s="1" t="str">
        <f>"قرارداد فروش"</f>
        <v>قرارداد فروش</v>
      </c>
      <c r="T1194" s="1" t="str">
        <f>"ندارد"</f>
        <v>ندارد</v>
      </c>
      <c r="U1194" s="1" t="str">
        <f>"عظيمي محمد(2842015)"</f>
        <v>عظيمي محمد(2842015)</v>
      </c>
      <c r="V1194" s="1">
        <v>961700057</v>
      </c>
      <c r="W1194" s="1">
        <v>961700057</v>
      </c>
      <c r="X1194" s="1" t="str">
        <f>"1396505112"</f>
        <v>1396505112</v>
      </c>
      <c r="Y1194" s="1" t="str">
        <f>"96/05/23"</f>
        <v>96/05/23</v>
      </c>
      <c r="Z1194" s="1" t="str">
        <f>"23716/710"</f>
        <v>23716/710</v>
      </c>
      <c r="AA1194" s="1" t="str">
        <f>"راه روستائي -روكش"</f>
        <v>راه روستائي -روكش</v>
      </c>
      <c r="AB1194" s="1" t="str">
        <f>"96/05/18"</f>
        <v>96/05/18</v>
      </c>
      <c r="AC1194" s="1" t="str">
        <f>"استان ايلام"</f>
        <v>استان ايلام</v>
      </c>
      <c r="AD1194" s="1" t="str">
        <f>"96/05/23"</f>
        <v>96/05/23</v>
      </c>
      <c r="AE1194" s="1" t="str">
        <f>"اختتام"</f>
        <v>اختتام</v>
      </c>
      <c r="AF1194" s="1" t="str">
        <f>""</f>
        <v/>
      </c>
      <c r="AG1194" s="1" t="str">
        <f>""</f>
        <v/>
      </c>
      <c r="AH1194" s="1" t="str">
        <f>""</f>
        <v/>
      </c>
      <c r="AI1194" s="1" t="str">
        <f>""</f>
        <v/>
      </c>
      <c r="AJ1194" s="1" t="str">
        <f>""</f>
        <v/>
      </c>
      <c r="AK1194" s="1" t="str">
        <f>""</f>
        <v/>
      </c>
    </row>
    <row r="1195" spans="1:37">
      <c r="A1195" s="1">
        <v>1200000</v>
      </c>
      <c r="B1195" s="1">
        <v>961700058</v>
      </c>
      <c r="C1195" s="1" t="str">
        <f>"تخليه -هرمزگان -محوررودان -كهنوج -كارخانه آسفالت شركت پي وپل جنوب"</f>
        <v>تخليه -هرمزگان -محوررودان -كهنوج -كارخانه آسفالت شركت پي وپل جنوب</v>
      </c>
      <c r="D1195" s="1">
        <v>9204</v>
      </c>
      <c r="E1195" s="1">
        <v>1200000</v>
      </c>
      <c r="F1195" s="1">
        <v>96</v>
      </c>
      <c r="G1195" s="1">
        <v>0</v>
      </c>
      <c r="H1195" s="1" t="str">
        <f>"96/05/24"</f>
        <v>96/05/24</v>
      </c>
      <c r="I1195" s="1" t="str">
        <f>"كيلوگرم"</f>
        <v>كيلوگرم</v>
      </c>
      <c r="J1195" s="1" t="str">
        <f>"0000000092"</f>
        <v>0000000092</v>
      </c>
      <c r="K1195" s="1" t="str">
        <f>"قير  PG64-16"</f>
        <v>قير  PG64-16</v>
      </c>
      <c r="L1195" s="1">
        <v>100</v>
      </c>
      <c r="M1195" s="1" t="str">
        <f>"مخازن قير اصفهان"</f>
        <v>مخازن قير اصفهان</v>
      </c>
      <c r="N1195" s="1">
        <v>10547</v>
      </c>
      <c r="O1195" s="1">
        <v>50035662</v>
      </c>
      <c r="P1195" s="1" t="str">
        <f>"  پي و پل جنوب"</f>
        <v xml:space="preserve">  پي و پل جنوب</v>
      </c>
      <c r="Q1195" s="1">
        <v>17</v>
      </c>
      <c r="R1195" s="1" t="str">
        <f>"فروش داخلي تهران - وزارت راه - راه روستايي - روکش"</f>
        <v>فروش داخلي تهران - وزارت راه - راه روستايي - روکش</v>
      </c>
      <c r="S1195" s="1" t="str">
        <f>"قرارداد فروش"</f>
        <v>قرارداد فروش</v>
      </c>
      <c r="T1195" s="1" t="str">
        <f>"ندارد"</f>
        <v>ندارد</v>
      </c>
      <c r="U1195" s="1" t="str">
        <f>"قره باغي مجيد(1871065)"</f>
        <v>قره باغي مجيد(1871065)</v>
      </c>
      <c r="V1195" s="1">
        <v>961700058</v>
      </c>
      <c r="W1195" s="1">
        <v>961700058</v>
      </c>
      <c r="X1195" s="1" t="str">
        <f>"1396505503"</f>
        <v>1396505503</v>
      </c>
      <c r="Y1195" s="1" t="str">
        <f>"96/05/24"</f>
        <v>96/05/24</v>
      </c>
      <c r="Z1195" s="1" t="str">
        <f>"24718/710"</f>
        <v>24718/710</v>
      </c>
      <c r="AA1195" s="1" t="str">
        <f>"راه روستائي -روكش"</f>
        <v>راه روستائي -روكش</v>
      </c>
      <c r="AB1195" s="1" t="str">
        <f>"96/05/23"</f>
        <v>96/05/23</v>
      </c>
      <c r="AC1195" s="1" t="str">
        <f>"استان هرمزگان"</f>
        <v>استان هرمزگان</v>
      </c>
      <c r="AD1195" s="1" t="str">
        <f>"96/05/24"</f>
        <v>96/05/24</v>
      </c>
      <c r="AE1195" s="1" t="str">
        <f>"اختتام"</f>
        <v>اختتام</v>
      </c>
      <c r="AF1195" s="1" t="str">
        <f>""</f>
        <v/>
      </c>
      <c r="AG1195" s="1" t="str">
        <f>""</f>
        <v/>
      </c>
      <c r="AH1195" s="1" t="str">
        <f>""</f>
        <v/>
      </c>
      <c r="AI1195" s="1" t="str">
        <f>""</f>
        <v/>
      </c>
      <c r="AJ1195" s="1" t="str">
        <f>""</f>
        <v/>
      </c>
      <c r="AK1195" s="1" t="str">
        <f>""</f>
        <v/>
      </c>
    </row>
    <row r="1196" spans="1:37">
      <c r="A1196" s="1">
        <v>950000</v>
      </c>
      <c r="B1196" s="1">
        <v>961900129</v>
      </c>
      <c r="C1196" s="1" t="str">
        <f>"تخليه -جنوب كرمان -محوررودان -كهنوج -كارخانه آسفالت شركت پي وپل جنوب"</f>
        <v>تخليه -جنوب كرمان -محوررودان -كهنوج -كارخانه آسفالت شركت پي وپل جنوب</v>
      </c>
      <c r="D1196" s="1">
        <v>9204</v>
      </c>
      <c r="E1196" s="1">
        <v>950000</v>
      </c>
      <c r="F1196" s="1">
        <v>96</v>
      </c>
      <c r="G1196" s="1">
        <v>0</v>
      </c>
      <c r="H1196" s="1" t="str">
        <f>"96/05/29"</f>
        <v>96/05/29</v>
      </c>
      <c r="I1196" s="1" t="str">
        <f>"كيلوگرم"</f>
        <v>كيلوگرم</v>
      </c>
      <c r="J1196" s="1" t="str">
        <f>"0000000092"</f>
        <v>0000000092</v>
      </c>
      <c r="K1196" s="1" t="str">
        <f>"قير  PG64-16"</f>
        <v>قير  PG64-16</v>
      </c>
      <c r="L1196" s="1">
        <v>100</v>
      </c>
      <c r="M1196" s="1" t="str">
        <f>"مخازن قير اصفهان"</f>
        <v>مخازن قير اصفهان</v>
      </c>
      <c r="N1196" s="1">
        <v>10547</v>
      </c>
      <c r="O1196" s="1">
        <v>50035742</v>
      </c>
      <c r="P1196" s="1" t="str">
        <f>"  پي و پل جنوب"</f>
        <v xml:space="preserve">  پي و پل جنوب</v>
      </c>
      <c r="Q1196" s="1">
        <v>19</v>
      </c>
      <c r="R119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196" s="1" t="str">
        <f>"قرارداد فروش"</f>
        <v>قرارداد فروش</v>
      </c>
      <c r="T1196" s="1" t="str">
        <f>"ندارد"</f>
        <v>ندارد</v>
      </c>
      <c r="U1196" s="1" t="str">
        <f>"قره باغي مجيد(1871065)"</f>
        <v>قره باغي مجيد(1871065)</v>
      </c>
      <c r="V1196" s="1">
        <v>961900129</v>
      </c>
      <c r="W1196" s="1">
        <v>961900129</v>
      </c>
      <c r="X1196" s="1" t="str">
        <f>"1396506623"</f>
        <v>1396506623</v>
      </c>
      <c r="Y1196" s="1" t="str">
        <f>"96/05/29"</f>
        <v>96/05/29</v>
      </c>
      <c r="Z1196" s="1" t="str">
        <f>"25532/710"</f>
        <v>25532/710</v>
      </c>
      <c r="AA1196" s="1" t="str">
        <f>"سازمان راهداري وحمل نقل جاده اي"</f>
        <v>سازمان راهداري وحمل نقل جاده اي</v>
      </c>
      <c r="AB1196" s="1" t="str">
        <f>"96/05/25"</f>
        <v>96/05/25</v>
      </c>
      <c r="AC1196" s="1" t="str">
        <f>"جنوب کرمان"</f>
        <v>جنوب کرمان</v>
      </c>
      <c r="AD1196" s="1" t="str">
        <f>"96/05/29"</f>
        <v>96/05/29</v>
      </c>
      <c r="AE1196" s="1" t="str">
        <f>"اختتام"</f>
        <v>اختتام</v>
      </c>
      <c r="AF1196" s="1" t="str">
        <f>""</f>
        <v/>
      </c>
      <c r="AG1196" s="1" t="str">
        <f>""</f>
        <v/>
      </c>
      <c r="AH1196" s="1" t="str">
        <f>""</f>
        <v/>
      </c>
      <c r="AI1196" s="1" t="str">
        <f>""</f>
        <v/>
      </c>
      <c r="AJ1196" s="1" t="str">
        <f>""</f>
        <v/>
      </c>
      <c r="AK1196" s="1" t="str">
        <f>""</f>
        <v/>
      </c>
    </row>
    <row r="1197" spans="1:37">
      <c r="A1197" s="1">
        <v>53228</v>
      </c>
      <c r="B1197" s="1">
        <v>962000233</v>
      </c>
      <c r="C1197" s="1" t="str">
        <f>"تخليه يزدكيلومتر12جاده چك چك كارخانه آسفالت ميثاق"</f>
        <v>تخليه يزدكيلومتر12جاده چك چك كارخانه آسفالت ميثاق</v>
      </c>
      <c r="D1197" s="1">
        <v>9113</v>
      </c>
      <c r="E1197" s="1">
        <v>53228</v>
      </c>
      <c r="F1197" s="1">
        <v>96</v>
      </c>
      <c r="G1197" s="1">
        <v>0</v>
      </c>
      <c r="H1197" s="1" t="str">
        <f>"96/09/07"</f>
        <v>96/09/07</v>
      </c>
      <c r="I1197" s="1" t="str">
        <f>"كيلوگرم"</f>
        <v>كيلوگرم</v>
      </c>
      <c r="J1197" s="1" t="str">
        <f>"0000000076"</f>
        <v>0000000076</v>
      </c>
      <c r="K1197" s="1" t="str">
        <f>"قير 60/70 - فله"</f>
        <v>قير 60/70 - فله</v>
      </c>
      <c r="L1197" s="1">
        <v>100</v>
      </c>
      <c r="M1197" s="1" t="str">
        <f>"مخازن قير اصفهان"</f>
        <v>مخازن قير اصفهان</v>
      </c>
      <c r="N1197" s="1">
        <v>11201</v>
      </c>
      <c r="O1197" s="1">
        <v>50037272</v>
      </c>
      <c r="P1197" s="1" t="str">
        <f>"  شهرداري احمدآباد يزد"</f>
        <v xml:space="preserve">  شهرداري احمدآباد يزد</v>
      </c>
      <c r="Q1197" s="1">
        <v>20</v>
      </c>
      <c r="R1197" s="1" t="str">
        <f>"فروش داخلي - سازمان شهرداري ها و دهياري هاي كشور"</f>
        <v>فروش داخلي - سازمان شهرداري ها و دهياري هاي كشور</v>
      </c>
      <c r="S1197" s="1" t="str">
        <f>"قرارداد فروش"</f>
        <v>قرارداد فروش</v>
      </c>
      <c r="T1197" s="1" t="str">
        <f>"ندارد"</f>
        <v>ندارد</v>
      </c>
      <c r="U1197" s="1" t="str">
        <f>"تعاوني جم گستر (1001 ج 89)"</f>
        <v>تعاوني جم گستر (1001 ج 89)</v>
      </c>
      <c r="V1197" s="1">
        <v>962000233</v>
      </c>
      <c r="W1197" s="1">
        <v>962000233</v>
      </c>
      <c r="X1197" s="1" t="str">
        <f>"1396514467"</f>
        <v>1396514467</v>
      </c>
      <c r="Y1197" s="1" t="str">
        <f>"96/09/07"</f>
        <v>96/09/07</v>
      </c>
      <c r="Z1197" s="1" t="str">
        <f>"36638مرحله دوم"</f>
        <v>36638مرحله دوم</v>
      </c>
      <c r="AA1197" s="1" t="str">
        <f>"شهرداريها"</f>
        <v>شهرداريها</v>
      </c>
      <c r="AB1197" s="1" t="str">
        <f>"96/09/01"</f>
        <v>96/09/01</v>
      </c>
      <c r="AC1197" s="1" t="str">
        <f>"استان يزد"</f>
        <v>استان يزد</v>
      </c>
      <c r="AD1197" s="1" t="str">
        <f>"96/07/03"</f>
        <v>96/07/03</v>
      </c>
      <c r="AE1197" s="1" t="str">
        <f>"تاييدشده"</f>
        <v>تاييدشده</v>
      </c>
      <c r="AF1197" s="1" t="str">
        <f>""</f>
        <v/>
      </c>
      <c r="AG1197" s="1" t="str">
        <f>""</f>
        <v/>
      </c>
      <c r="AH1197" s="1" t="str">
        <f>""</f>
        <v/>
      </c>
      <c r="AI1197" s="1" t="str">
        <f>""</f>
        <v/>
      </c>
      <c r="AJ1197" s="1" t="str">
        <f>""</f>
        <v/>
      </c>
      <c r="AK1197" s="1" t="str">
        <f>""</f>
        <v/>
      </c>
    </row>
    <row r="1198" spans="1:37">
      <c r="A1198" s="1">
        <v>189162</v>
      </c>
      <c r="B1198" s="1">
        <v>962000208</v>
      </c>
      <c r="C1198" s="1" t="str">
        <f>"تخليه: كهگيلويه و بويراحمد-چرام -كارخانه آسفالت شهرداري چرام"</f>
        <v>تخليه: كهگيلويه و بويراحمد-چرام -كارخانه آسفالت شهرداري چرام</v>
      </c>
      <c r="D1198" s="1">
        <v>9113</v>
      </c>
      <c r="E1198" s="1">
        <v>189162</v>
      </c>
      <c r="F1198" s="1">
        <v>96</v>
      </c>
      <c r="G1198" s="1">
        <v>0</v>
      </c>
      <c r="H1198" s="1" t="str">
        <f>"96/07/03"</f>
        <v>96/07/03</v>
      </c>
      <c r="I1198" s="1" t="str">
        <f>"كيلوگرم"</f>
        <v>كيلوگرم</v>
      </c>
      <c r="J1198" s="1" t="str">
        <f>"0000000076"</f>
        <v>0000000076</v>
      </c>
      <c r="K1198" s="1" t="str">
        <f>"قير 60/70 - فله"</f>
        <v>قير 60/70 - فله</v>
      </c>
      <c r="L1198" s="1">
        <v>100</v>
      </c>
      <c r="M1198" s="1" t="str">
        <f>"مخازن قير اصفهان"</f>
        <v>مخازن قير اصفهان</v>
      </c>
      <c r="N1198" s="1">
        <v>11204</v>
      </c>
      <c r="O1198" s="1">
        <v>50036444</v>
      </c>
      <c r="P1198" s="1" t="str">
        <f>"  شهرداري چرام"</f>
        <v xml:space="preserve">  شهرداري چرام</v>
      </c>
      <c r="Q1198" s="1">
        <v>20</v>
      </c>
      <c r="R1198" s="1" t="str">
        <f>"فروش داخلي - سازمان شهرداري ها و دهياري هاي كشور"</f>
        <v>فروش داخلي - سازمان شهرداري ها و دهياري هاي كشور</v>
      </c>
      <c r="S1198" s="1" t="str">
        <f>"قرارداد فروش"</f>
        <v>قرارداد فروش</v>
      </c>
      <c r="T1198" s="1" t="str">
        <f>"ندارد"</f>
        <v>ندارد</v>
      </c>
      <c r="U1198" s="1" t="str">
        <f>"تعاوني جم گستر (1001 ج 89)"</f>
        <v>تعاوني جم گستر (1001 ج 89)</v>
      </c>
      <c r="V1198" s="1">
        <v>962000208</v>
      </c>
      <c r="W1198" s="1">
        <v>962000208</v>
      </c>
      <c r="X1198" s="1" t="str">
        <f>"1396514467"</f>
        <v>1396514467</v>
      </c>
      <c r="Y1198" s="1" t="str">
        <f>"96/07/03"</f>
        <v>96/07/03</v>
      </c>
      <c r="Z1198" s="1" t="str">
        <f>"26747مرحله اول"</f>
        <v>26747مرحله اول</v>
      </c>
      <c r="AA1198" s="1" t="str">
        <f>"شهرداريها"</f>
        <v>شهرداريها</v>
      </c>
      <c r="AB1198" s="1" t="str">
        <f>"96/06/29"</f>
        <v>96/06/29</v>
      </c>
      <c r="AC1198" s="1" t="str">
        <f>"كهكيلويه و بوير احمد"</f>
        <v>كهكيلويه و بوير احمد</v>
      </c>
      <c r="AD1198" s="1" t="str">
        <f>"96/07/03"</f>
        <v>96/07/03</v>
      </c>
      <c r="AE1198" s="1" t="str">
        <f>"اختتام"</f>
        <v>اختتام</v>
      </c>
      <c r="AF1198" s="1" t="str">
        <f>""</f>
        <v/>
      </c>
      <c r="AG1198" s="1" t="str">
        <f>""</f>
        <v/>
      </c>
      <c r="AH1198" s="1" t="str">
        <f>""</f>
        <v/>
      </c>
      <c r="AI1198" s="1" t="str">
        <f>""</f>
        <v/>
      </c>
      <c r="AJ1198" s="1" t="str">
        <f>""</f>
        <v/>
      </c>
      <c r="AK1198" s="1" t="str">
        <f>""</f>
        <v/>
      </c>
    </row>
    <row r="1199" spans="1:37">
      <c r="A1199" s="1">
        <v>172239</v>
      </c>
      <c r="B1199" s="1">
        <v>962000217</v>
      </c>
      <c r="C1199" s="1" t="str">
        <f>"تخليه-کهگيلويه و بويراحمد-ياسوج-کارخانه آسفالت زارع"</f>
        <v>تخليه-کهگيلويه و بويراحمد-ياسوج-کارخانه آسفالت زارع</v>
      </c>
      <c r="D1199" s="1">
        <v>9113</v>
      </c>
      <c r="E1199" s="1">
        <v>172239</v>
      </c>
      <c r="F1199" s="1">
        <v>96</v>
      </c>
      <c r="G1199" s="1">
        <v>0</v>
      </c>
      <c r="H1199" s="1" t="str">
        <f>"96/07/03"</f>
        <v>96/07/03</v>
      </c>
      <c r="I1199" s="1" t="str">
        <f>"كيلوگرم"</f>
        <v>كيلوگرم</v>
      </c>
      <c r="J1199" s="1" t="str">
        <f>"0000000076"</f>
        <v>0000000076</v>
      </c>
      <c r="K1199" s="1" t="str">
        <f>"قير 60/70 - فله"</f>
        <v>قير 60/70 - فله</v>
      </c>
      <c r="L1199" s="1">
        <v>100</v>
      </c>
      <c r="M1199" s="1" t="str">
        <f>"مخازن قير اصفهان"</f>
        <v>مخازن قير اصفهان</v>
      </c>
      <c r="N1199" s="1">
        <v>11207</v>
      </c>
      <c r="O1199" s="1">
        <v>50036454</v>
      </c>
      <c r="P1199" s="1" t="str">
        <f>"  شهرداري مادوان"</f>
        <v xml:space="preserve">  شهرداري مادوان</v>
      </c>
      <c r="Q1199" s="1">
        <v>20</v>
      </c>
      <c r="R1199" s="1" t="str">
        <f>"فروش داخلي - سازمان شهرداري ها و دهياري هاي كشور"</f>
        <v>فروش داخلي - سازمان شهرداري ها و دهياري هاي كشور</v>
      </c>
      <c r="S1199" s="1" t="str">
        <f>"قرارداد فروش"</f>
        <v>قرارداد فروش</v>
      </c>
      <c r="T1199" s="1" t="str">
        <f>"ندارد"</f>
        <v>ندارد</v>
      </c>
      <c r="U1199" s="1" t="str">
        <f>"تعاوني جم گستر (1001 ج 89)"</f>
        <v>تعاوني جم گستر (1001 ج 89)</v>
      </c>
      <c r="V1199" s="1">
        <v>962000217</v>
      </c>
      <c r="W1199" s="1">
        <v>962000217</v>
      </c>
      <c r="X1199" s="1" t="str">
        <f>"1396514467"</f>
        <v>1396514467</v>
      </c>
      <c r="Y1199" s="1" t="str">
        <f>"96/07/03"</f>
        <v>96/07/03</v>
      </c>
      <c r="Z1199" s="1" t="str">
        <f>"26802مرحله اول"</f>
        <v>26802مرحله اول</v>
      </c>
      <c r="AA1199" s="1" t="str">
        <f>"شهرداريها"</f>
        <v>شهرداريها</v>
      </c>
      <c r="AB1199" s="1" t="str">
        <f>"96/06/29"</f>
        <v>96/06/29</v>
      </c>
      <c r="AC1199" s="1" t="str">
        <f>"كهكيلويه و بوير احمد"</f>
        <v>كهكيلويه و بوير احمد</v>
      </c>
      <c r="AD1199" s="1" t="str">
        <f>"96/07/03"</f>
        <v>96/07/03</v>
      </c>
      <c r="AE1199" s="1" t="str">
        <f>"اختتام"</f>
        <v>اختتام</v>
      </c>
      <c r="AF1199" s="1" t="str">
        <f>""</f>
        <v/>
      </c>
      <c r="AG1199" s="1" t="str">
        <f>""</f>
        <v/>
      </c>
      <c r="AH1199" s="1" t="str">
        <f>""</f>
        <v/>
      </c>
      <c r="AI1199" s="1" t="str">
        <f>""</f>
        <v/>
      </c>
      <c r="AJ1199" s="1" t="str">
        <f>""</f>
        <v/>
      </c>
      <c r="AK1199" s="1" t="str">
        <f>""</f>
        <v/>
      </c>
    </row>
    <row r="1200" spans="1:37">
      <c r="A1200" s="1">
        <v>68214</v>
      </c>
      <c r="B1200" s="1">
        <v>962000494</v>
      </c>
      <c r="C1200" s="1" t="str">
        <f>"تخليه - کهگيلويه و بويراحمد-ليکک-کارخانه آسفالت خليج فارس"</f>
        <v>تخليه - کهگيلويه و بويراحمد-ليکک-کارخانه آسفالت خليج فارس</v>
      </c>
      <c r="D1200" s="1">
        <v>12820</v>
      </c>
      <c r="E1200" s="1">
        <v>68214</v>
      </c>
      <c r="F1200" s="1">
        <v>96</v>
      </c>
      <c r="G1200" s="1">
        <v>0</v>
      </c>
      <c r="H1200" s="1" t="str">
        <f>"96/09/20"</f>
        <v>96/09/20</v>
      </c>
      <c r="I1200" s="1" t="str">
        <f>"كيلوگرم"</f>
        <v>كيلوگرم</v>
      </c>
      <c r="J1200" s="1" t="str">
        <f>"0000000076"</f>
        <v>0000000076</v>
      </c>
      <c r="K1200" s="1" t="str">
        <f>"قير 60/70 - فله"</f>
        <v>قير 60/70 - فله</v>
      </c>
      <c r="L1200" s="1">
        <v>100</v>
      </c>
      <c r="M1200" s="1" t="str">
        <f>"مخازن قير اصفهان"</f>
        <v>مخازن قير اصفهان</v>
      </c>
      <c r="N1200" s="1">
        <v>11211</v>
      </c>
      <c r="O1200" s="1">
        <v>50037871</v>
      </c>
      <c r="P1200" s="1" t="str">
        <f>"  شهرداري ليكك"</f>
        <v xml:space="preserve">  شهرداري ليكك</v>
      </c>
      <c r="Q1200" s="1">
        <v>20</v>
      </c>
      <c r="R1200" s="1" t="str">
        <f>"فروش داخلي - سازمان شهرداري ها و دهياري هاي كشور"</f>
        <v>فروش داخلي - سازمان شهرداري ها و دهياري هاي كشور</v>
      </c>
      <c r="S1200" s="1" t="str">
        <f>"قرارداد فروش"</f>
        <v>قرارداد فروش</v>
      </c>
      <c r="T1200" s="1" t="str">
        <f>"ندارد"</f>
        <v>ندارد</v>
      </c>
      <c r="U1200" s="1" t="str">
        <f>"تعاوني جم گستر (1001 ج 89)"</f>
        <v>تعاوني جم گستر (1001 ج 89)</v>
      </c>
      <c r="V1200" s="1">
        <v>962000494</v>
      </c>
      <c r="W1200" s="1">
        <v>962000494</v>
      </c>
      <c r="X1200" s="1" t="str">
        <f>"1396529711"</f>
        <v>1396529711</v>
      </c>
      <c r="Y1200" s="1" t="str">
        <f>"96/09/20"</f>
        <v>96/09/20</v>
      </c>
      <c r="Z1200" s="1" t="str">
        <f>"38289مرحله دوم"</f>
        <v>38289مرحله دوم</v>
      </c>
      <c r="AA1200" s="1" t="str">
        <f>"شهرداريها"</f>
        <v>شهرداريها</v>
      </c>
      <c r="AB1200" s="1" t="str">
        <f>"96/09/11"</f>
        <v>96/09/11</v>
      </c>
      <c r="AC1200" s="1" t="str">
        <f>"كهكيلويه و بوير احمد"</f>
        <v>كهكيلويه و بوير احمد</v>
      </c>
      <c r="AD1200" s="1" t="str">
        <f>"96/09/13"</f>
        <v>96/09/13</v>
      </c>
      <c r="AE1200" s="1" t="str">
        <f>"اختتام"</f>
        <v>اختتام</v>
      </c>
      <c r="AF1200" s="1" t="str">
        <f>""</f>
        <v/>
      </c>
      <c r="AG1200" s="1" t="str">
        <f>""</f>
        <v/>
      </c>
      <c r="AH1200" s="1" t="str">
        <f>""</f>
        <v/>
      </c>
      <c r="AI1200" s="1" t="str">
        <f>""</f>
        <v/>
      </c>
      <c r="AJ1200" s="1" t="str">
        <f>""</f>
        <v/>
      </c>
      <c r="AK1200" s="1" t="str">
        <f>""</f>
        <v/>
      </c>
    </row>
    <row r="1201" spans="1:37">
      <c r="A1201" s="1">
        <v>168000</v>
      </c>
      <c r="B1201" s="1">
        <v>966200379</v>
      </c>
      <c r="C1201" s="1" t="str">
        <f>"تخليه - ايلام-جاده قديم صالح آباد -بالاتر از شهرک سرطاف-کارخانه آسفالت شرکت ايلام قيرپاش"</f>
        <v>تخليه - ايلام-جاده قديم صالح آباد -بالاتر از شهرک سرطاف-کارخانه آسفالت شرکت ايلام قيرپاش</v>
      </c>
      <c r="D1201" s="1">
        <v>9716</v>
      </c>
      <c r="E1201" s="1">
        <v>166260</v>
      </c>
      <c r="F1201" s="1">
        <v>96</v>
      </c>
      <c r="G1201" s="1">
        <v>1740</v>
      </c>
      <c r="H1201" s="1" t="str">
        <f>"96/08/20"</f>
        <v>96/08/20</v>
      </c>
      <c r="I1201" s="1" t="str">
        <f>"كيلوگرم"</f>
        <v>كيلوگرم</v>
      </c>
      <c r="J1201" s="1" t="str">
        <f>"0000000092"</f>
        <v>0000000092</v>
      </c>
      <c r="K1201" s="1" t="str">
        <f>"قير  PG64-16"</f>
        <v>قير  PG64-16</v>
      </c>
      <c r="L1201" s="1">
        <v>100</v>
      </c>
      <c r="M1201" s="1" t="str">
        <f>"مخازن قير اصفهان"</f>
        <v>مخازن قير اصفهان</v>
      </c>
      <c r="N1201" s="1">
        <v>11481</v>
      </c>
      <c r="O1201" s="1">
        <v>50037167</v>
      </c>
      <c r="P1201" s="1" t="str">
        <f>"  فلك افرازمانشت"</f>
        <v xml:space="preserve">  فلك افرازمانشت</v>
      </c>
      <c r="Q1201" s="1">
        <v>62</v>
      </c>
      <c r="R1201" s="1" t="str">
        <f>"فروش داخلي - سازمان بنيادمسكن انقلاب اسلامي"</f>
        <v>فروش داخلي - سازمان بنيادمسكن انقلاب اسلامي</v>
      </c>
      <c r="S1201" s="1" t="str">
        <f>"قرارداد فروش"</f>
        <v>قرارداد فروش</v>
      </c>
      <c r="T1201" s="1" t="str">
        <f>"ندارد"</f>
        <v>ندارد</v>
      </c>
      <c r="U1201" s="1" t="str">
        <f>"عظيمي محمد(2842015)"</f>
        <v>عظيمي محمد(2842015)</v>
      </c>
      <c r="V1201" s="1">
        <v>966200379</v>
      </c>
      <c r="W1201" s="1">
        <v>966200379</v>
      </c>
      <c r="X1201" s="1" t="str">
        <f>"1396525027"</f>
        <v>1396525027</v>
      </c>
      <c r="Y1201" s="1" t="str">
        <f>"96/08/20"</f>
        <v>96/08/20</v>
      </c>
      <c r="Z1201" s="1" t="str">
        <f>"37025/د"</f>
        <v>37025/د</v>
      </c>
      <c r="AA1201" s="1" t="str">
        <f>"بنيادمسكن انقلاب اسلامي"</f>
        <v>بنيادمسكن انقلاب اسلامي</v>
      </c>
      <c r="AB1201" s="1" t="str">
        <f>"96/08/20"</f>
        <v>96/08/20</v>
      </c>
      <c r="AC1201" s="1" t="str">
        <f>"استان ايلام"</f>
        <v>استان ايلام</v>
      </c>
      <c r="AD1201" s="1" t="str">
        <f>"96/08/20"</f>
        <v>96/08/20</v>
      </c>
      <c r="AE1201" s="1" t="str">
        <f>"اختتام"</f>
        <v>اختتام</v>
      </c>
      <c r="AF1201" s="1" t="str">
        <f>""</f>
        <v/>
      </c>
      <c r="AG1201" s="1" t="str">
        <f>""</f>
        <v/>
      </c>
      <c r="AH1201" s="1" t="str">
        <f>""</f>
        <v/>
      </c>
      <c r="AI1201" s="1" t="str">
        <f>""</f>
        <v/>
      </c>
      <c r="AJ1201" s="1" t="str">
        <f>""</f>
        <v/>
      </c>
      <c r="AK1201" s="1" t="str">
        <f>""</f>
        <v/>
      </c>
    </row>
    <row r="1202" spans="1:37">
      <c r="A1202" s="1">
        <v>500000</v>
      </c>
      <c r="B1202" s="1">
        <v>961900198</v>
      </c>
      <c r="C1202" s="1" t="str">
        <f>"تخليه ايرانشهرشهرستان چابهاركارخانه آسفالت اسپادانا"</f>
        <v>تخليه ايرانشهرشهرستان چابهاركارخانه آسفالت اسپادانا</v>
      </c>
      <c r="D1202" s="1">
        <v>13600</v>
      </c>
      <c r="E1202" s="1">
        <v>489580</v>
      </c>
      <c r="F1202" s="1">
        <v>96</v>
      </c>
      <c r="G1202" s="1">
        <v>10420</v>
      </c>
      <c r="H1202" s="1" t="str">
        <f>"96/12/19"</f>
        <v>96/12/19</v>
      </c>
      <c r="I1202" s="1" t="str">
        <f>"كيلوگرم"</f>
        <v>كيلوگرم</v>
      </c>
      <c r="J1202" s="1" t="str">
        <f>"0000000092"</f>
        <v>0000000092</v>
      </c>
      <c r="K1202" s="1" t="str">
        <f>"قير  PG64-16"</f>
        <v>قير  PG64-16</v>
      </c>
      <c r="L1202" s="1">
        <v>100</v>
      </c>
      <c r="M1202" s="1" t="str">
        <f>"مخازن قير اصفهان"</f>
        <v>مخازن قير اصفهان</v>
      </c>
      <c r="N1202" s="1">
        <v>11498</v>
      </c>
      <c r="O1202" s="1">
        <v>50038869</v>
      </c>
      <c r="P1202" s="1" t="str">
        <f>"  مهندسي راه وآب و فاضلاب رهاب ايرانشهر"</f>
        <v xml:space="preserve">  مهندسي راه وآب و فاضلاب رهاب ايرانشهر</v>
      </c>
      <c r="Q1202" s="1">
        <v>19</v>
      </c>
      <c r="R120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202" s="1" t="str">
        <f>"قرارداد فروش"</f>
        <v>قرارداد فروش</v>
      </c>
      <c r="T1202" s="1" t="str">
        <f>"ندارد"</f>
        <v>ندارد</v>
      </c>
      <c r="U1202" s="1" t="str">
        <f>"راه وساختماني سنگ وكوه(5859000)"</f>
        <v>راه وساختماني سنگ وكوه(5859000)</v>
      </c>
      <c r="V1202" s="1">
        <v>961900198</v>
      </c>
      <c r="W1202" s="1">
        <v>961900198</v>
      </c>
      <c r="X1202" s="1" t="str">
        <f>"1396529175"</f>
        <v>1396529175</v>
      </c>
      <c r="Y1202" s="1" t="str">
        <f>"96/12/19"</f>
        <v>96/12/19</v>
      </c>
      <c r="Z1202" s="1" t="str">
        <f>"43654/710"</f>
        <v>43654/710</v>
      </c>
      <c r="AA1202" s="1" t="str">
        <f>"سازمان راهداري وحمل نقل جاده اي"</f>
        <v>سازمان راهداري وحمل نقل جاده اي</v>
      </c>
      <c r="AB1202" s="1" t="str">
        <f>"96/08/24"</f>
        <v>96/08/24</v>
      </c>
      <c r="AC1202" s="1" t="str">
        <f>"ايرانشهر"</f>
        <v>ايرانشهر</v>
      </c>
      <c r="AD1202" s="1" t="str">
        <f>"96/09/08"</f>
        <v>96/09/08</v>
      </c>
      <c r="AE1202" s="1" t="str">
        <f>"اختتام"</f>
        <v>اختتام</v>
      </c>
      <c r="AF1202" s="1" t="str">
        <f>""</f>
        <v/>
      </c>
      <c r="AG1202" s="1" t="str">
        <f>""</f>
        <v/>
      </c>
      <c r="AH1202" s="1" t="str">
        <f>""</f>
        <v/>
      </c>
      <c r="AI1202" s="1" t="str">
        <f>""</f>
        <v/>
      </c>
      <c r="AJ1202" s="1" t="str">
        <f>""</f>
        <v/>
      </c>
      <c r="AK1202" s="1" t="str">
        <f>""</f>
        <v/>
      </c>
    </row>
    <row r="1203" spans="1:37">
      <c r="A1203" s="1">
        <v>305000</v>
      </c>
      <c r="B1203" s="1">
        <v>966200233</v>
      </c>
      <c r="C1203" s="1" t="str">
        <f>"تخليه -رشت -فلكه انتظام -كيلومتر3جاده جيرده شركت راهسازي لاتوم"</f>
        <v>تخليه -رشت -فلكه انتظام -كيلومتر3جاده جيرده شركت راهسازي لاتوم</v>
      </c>
      <c r="D1203" s="1">
        <v>9204</v>
      </c>
      <c r="E1203" s="1">
        <v>305000</v>
      </c>
      <c r="F1203" s="1">
        <v>96</v>
      </c>
      <c r="G1203" s="1">
        <v>0</v>
      </c>
      <c r="H1203" s="1" t="str">
        <f>"96/06/21"</f>
        <v>96/06/21</v>
      </c>
      <c r="I1203" s="1" t="str">
        <f>"كيلوگرم"</f>
        <v>كيلوگرم</v>
      </c>
      <c r="J1203" s="1" t="str">
        <f>"0000000093"</f>
        <v>0000000093</v>
      </c>
      <c r="K1203" s="1" t="str">
        <f>"قير  PG64-10"</f>
        <v>قير  PG64-10</v>
      </c>
      <c r="L1203" s="1">
        <v>100</v>
      </c>
      <c r="M1203" s="1" t="str">
        <f>"مخازن قير اصفهان"</f>
        <v>مخازن قير اصفهان</v>
      </c>
      <c r="N1203" s="1">
        <v>4050</v>
      </c>
      <c r="O1203" s="1">
        <v>50035984</v>
      </c>
      <c r="P1203" s="1" t="str">
        <f>"  لاتوم(1849002)"</f>
        <v xml:space="preserve">  لاتوم(1849002)</v>
      </c>
      <c r="Q1203" s="1">
        <v>62</v>
      </c>
      <c r="R1203" s="1" t="str">
        <f>"فروش داخلي - سازمان بنيادمسكن انقلاب اسلامي"</f>
        <v>فروش داخلي - سازمان بنيادمسكن انقلاب اسلامي</v>
      </c>
      <c r="S1203" s="1" t="str">
        <f>"قرارداد فروش"</f>
        <v>قرارداد فروش</v>
      </c>
      <c r="T1203" s="1" t="str">
        <f>"ندارد"</f>
        <v>ندارد</v>
      </c>
      <c r="U1203" s="1" t="str">
        <f>"لاتوم(1849002)"</f>
        <v>لاتوم(1849002)</v>
      </c>
      <c r="V1203" s="1">
        <v>966200233</v>
      </c>
      <c r="W1203" s="1">
        <v>966200233</v>
      </c>
      <c r="X1203" s="1" t="str">
        <f>"1396511623"</f>
        <v>1396511623</v>
      </c>
      <c r="Y1203" s="1" t="str">
        <f>"96/06/21"</f>
        <v>96/06/21</v>
      </c>
      <c r="Z1203" s="1" t="str">
        <f>"26733/د"</f>
        <v>26733/د</v>
      </c>
      <c r="AA1203" s="1" t="str">
        <f>"بنيادمسكن انقلاب اسلامي"</f>
        <v>بنيادمسكن انقلاب اسلامي</v>
      </c>
      <c r="AB1203" s="1" t="str">
        <f>"96/06/19"</f>
        <v>96/06/19</v>
      </c>
      <c r="AC1203" s="1" t="str">
        <f>"استان گيلان"</f>
        <v>استان گيلان</v>
      </c>
      <c r="AD1203" s="1" t="str">
        <f>"96/06/21"</f>
        <v>96/06/21</v>
      </c>
      <c r="AE1203" s="1" t="str">
        <f>"اختتام"</f>
        <v>اختتام</v>
      </c>
      <c r="AF1203" s="1" t="str">
        <f>""</f>
        <v/>
      </c>
      <c r="AG1203" s="1" t="str">
        <f>""</f>
        <v/>
      </c>
      <c r="AH1203" s="1" t="str">
        <f>""</f>
        <v/>
      </c>
      <c r="AI1203" s="1" t="str">
        <f>""</f>
        <v/>
      </c>
      <c r="AJ1203" s="1" t="str">
        <f>""</f>
        <v/>
      </c>
      <c r="AK1203" s="1" t="str">
        <f>""</f>
        <v/>
      </c>
    </row>
    <row r="1204" spans="1:37">
      <c r="A1204" s="1">
        <v>132000</v>
      </c>
      <c r="B1204" s="1">
        <v>966200225</v>
      </c>
      <c r="C1204" s="1" t="str">
        <f>"تخليه - ايلام- ايوان - سه راهي سومار-کارخانه آسفالت شرکت پيمان پويا"</f>
        <v>تخليه - ايلام- ايوان - سه راهي سومار-کارخانه آسفالت شرکت پيمان پويا</v>
      </c>
      <c r="D1204" s="1">
        <v>9204</v>
      </c>
      <c r="E1204" s="1">
        <v>131560</v>
      </c>
      <c r="F1204" s="1">
        <v>96</v>
      </c>
      <c r="G1204" s="1">
        <v>440</v>
      </c>
      <c r="H1204" s="1" t="str">
        <f>"96/06/11"</f>
        <v>96/06/11</v>
      </c>
      <c r="I1204" s="1" t="str">
        <f>"كيلوگرم"</f>
        <v>كيلوگرم</v>
      </c>
      <c r="J1204" s="1" t="str">
        <f>"0000000092"</f>
        <v>0000000092</v>
      </c>
      <c r="K1204" s="1" t="str">
        <f>"قير  PG64-16"</f>
        <v>قير  PG64-16</v>
      </c>
      <c r="L1204" s="1">
        <v>100</v>
      </c>
      <c r="M1204" s="1" t="str">
        <f>"مخازن قير اصفهان"</f>
        <v>مخازن قير اصفهان</v>
      </c>
      <c r="N1204" s="1">
        <v>11401</v>
      </c>
      <c r="O1204" s="1">
        <v>50035890</v>
      </c>
      <c r="P1204" s="1" t="str">
        <f>"  کولاب سازه غرب"</f>
        <v xml:space="preserve">  کولاب سازه غرب</v>
      </c>
      <c r="Q1204" s="1">
        <v>62</v>
      </c>
      <c r="R1204" s="1" t="str">
        <f>"فروش داخلي - سازمان بنيادمسكن انقلاب اسلامي"</f>
        <v>فروش داخلي - سازمان بنيادمسكن انقلاب اسلامي</v>
      </c>
      <c r="S1204" s="1" t="str">
        <f>"قرارداد فروش"</f>
        <v>قرارداد فروش</v>
      </c>
      <c r="T1204" s="1" t="str">
        <f>"ندارد"</f>
        <v>ندارد</v>
      </c>
      <c r="U1204" s="1" t="str">
        <f>"عظيمي محمد(2842015)"</f>
        <v>عظيمي محمد(2842015)</v>
      </c>
      <c r="V1204" s="1">
        <v>966200225</v>
      </c>
      <c r="W1204" s="1">
        <v>966200225</v>
      </c>
      <c r="X1204" s="1" t="str">
        <f>"1396509609"</f>
        <v>1396509609</v>
      </c>
      <c r="Y1204" s="1" t="str">
        <f>"96/06/11"</f>
        <v>96/06/11</v>
      </c>
      <c r="Z1204" s="1" t="str">
        <f>"25119/د"</f>
        <v>25119/د</v>
      </c>
      <c r="AA1204" s="1" t="str">
        <f>"بنيادمسكن انقلاب اسلامي"</f>
        <v>بنيادمسكن انقلاب اسلامي</v>
      </c>
      <c r="AB1204" s="1" t="str">
        <f>"96/06/08"</f>
        <v>96/06/08</v>
      </c>
      <c r="AC1204" s="1" t="str">
        <f>"استان ايلام"</f>
        <v>استان ايلام</v>
      </c>
      <c r="AD1204" s="1" t="str">
        <f>"96/06/11"</f>
        <v>96/06/11</v>
      </c>
      <c r="AE1204" s="1" t="str">
        <f>"اختتام"</f>
        <v>اختتام</v>
      </c>
      <c r="AF1204" s="1" t="str">
        <f>""</f>
        <v/>
      </c>
      <c r="AG1204" s="1" t="str">
        <f>""</f>
        <v/>
      </c>
      <c r="AH1204" s="1" t="str">
        <f>""</f>
        <v/>
      </c>
      <c r="AI1204" s="1" t="str">
        <f>""</f>
        <v/>
      </c>
      <c r="AJ1204" s="1" t="str">
        <f>""</f>
        <v/>
      </c>
      <c r="AK1204" s="1" t="str">
        <f>""</f>
        <v/>
      </c>
    </row>
    <row r="1205" spans="1:37">
      <c r="A1205" s="1">
        <v>60000</v>
      </c>
      <c r="B1205" s="1">
        <v>961700031</v>
      </c>
      <c r="C1205" s="1" t="str">
        <f>"تخليه -گيلان -رودبار-گنجه كارخانه آسفالت شهيدكلانتري -برج سازان كوچان"</f>
        <v>تخليه -گيلان -رودبار-گنجه كارخانه آسفالت شهيدكلانتري -برج سازان كوچان</v>
      </c>
      <c r="D1205" s="1">
        <v>8904</v>
      </c>
      <c r="E1205" s="1">
        <v>59660</v>
      </c>
      <c r="F1205" s="1">
        <v>96</v>
      </c>
      <c r="G1205" s="1">
        <v>340</v>
      </c>
      <c r="H1205" s="1" t="str">
        <f>"96/05/03"</f>
        <v>96/05/03</v>
      </c>
      <c r="I1205" s="1" t="str">
        <f>"كيلوگرم"</f>
        <v>كيلوگرم</v>
      </c>
      <c r="J1205" s="1" t="str">
        <f>"0000000093"</f>
        <v>0000000093</v>
      </c>
      <c r="K1205" s="1" t="str">
        <f>"قير  PG64-10"</f>
        <v>قير  PG64-10</v>
      </c>
      <c r="L1205" s="1">
        <v>100</v>
      </c>
      <c r="M1205" s="1" t="str">
        <f>"مخازن قير اصفهان"</f>
        <v>مخازن قير اصفهان</v>
      </c>
      <c r="N1205" s="1">
        <v>8085</v>
      </c>
      <c r="O1205" s="1">
        <v>50035340</v>
      </c>
      <c r="P1205" s="1" t="str">
        <f>"  اداره كل راه و شهرسازي گيلان"</f>
        <v xml:space="preserve">  اداره كل راه و شهرسازي گيلان</v>
      </c>
      <c r="Q1205" s="1">
        <v>17</v>
      </c>
      <c r="R1205" s="1" t="str">
        <f>"فروش داخلي تهران - وزارت راه - راه روستايي - روکش"</f>
        <v>فروش داخلي تهران - وزارت راه - راه روستايي - روکش</v>
      </c>
      <c r="S1205" s="1" t="str">
        <f>"قرارداد فروش"</f>
        <v>قرارداد فروش</v>
      </c>
      <c r="T1205" s="1" t="str">
        <f>"ندارد"</f>
        <v>ندارد</v>
      </c>
      <c r="U1205" s="1" t="str">
        <f>"حاجيلوئي علي اصغر(2842019)"</f>
        <v>حاجيلوئي علي اصغر(2842019)</v>
      </c>
      <c r="V1205" s="1">
        <v>961700031</v>
      </c>
      <c r="W1205" s="1">
        <v>961700031</v>
      </c>
      <c r="X1205" s="1" t="str">
        <f>"1396499660"</f>
        <v>1396499660</v>
      </c>
      <c r="Y1205" s="1" t="str">
        <f>"96/05/03"</f>
        <v>96/05/03</v>
      </c>
      <c r="Z1205" s="1" t="str">
        <f>"19351/710"</f>
        <v>19351/710</v>
      </c>
      <c r="AA1205" s="1" t="str">
        <f>"راه روستائي -روكش"</f>
        <v>راه روستائي -روكش</v>
      </c>
      <c r="AB1205" s="1" t="str">
        <f>"96/04/27"</f>
        <v>96/04/27</v>
      </c>
      <c r="AC1205" s="1" t="str">
        <f>"استان گيلان"</f>
        <v>استان گيلان</v>
      </c>
      <c r="AD1205" s="1" t="str">
        <f>"96/05/03"</f>
        <v>96/05/03</v>
      </c>
      <c r="AE1205" s="1" t="str">
        <f>"اختتام"</f>
        <v>اختتام</v>
      </c>
      <c r="AF1205" s="1" t="str">
        <f>""</f>
        <v/>
      </c>
      <c r="AG1205" s="1" t="str">
        <f>""</f>
        <v/>
      </c>
      <c r="AH1205" s="1" t="str">
        <f>""</f>
        <v/>
      </c>
      <c r="AI1205" s="1" t="str">
        <f>""</f>
        <v/>
      </c>
      <c r="AJ1205" s="1" t="str">
        <f>""</f>
        <v/>
      </c>
      <c r="AK1205" s="1" t="str">
        <f>""</f>
        <v/>
      </c>
    </row>
    <row r="1206" spans="1:37">
      <c r="A1206" s="1">
        <v>28000</v>
      </c>
      <c r="B1206" s="1">
        <v>966200500</v>
      </c>
      <c r="C1206" s="1" t="str">
        <f>"تخليه-مازندران-کيلومتر 10 جاده آمل محمود آباد-پشت شهرک صنعتي تشبندان-کارخانه آسفالت ارجمنديان"</f>
        <v>تخليه-مازندران-کيلومتر 10 جاده آمل محمود آباد-پشت شهرک صنعتي تشبندان-کارخانه آسفالت ارجمنديان</v>
      </c>
      <c r="D1206" s="1">
        <v>12850</v>
      </c>
      <c r="E1206" s="1">
        <v>28000</v>
      </c>
      <c r="F1206" s="1">
        <v>96</v>
      </c>
      <c r="G1206" s="1">
        <v>0</v>
      </c>
      <c r="H1206" s="1" t="str">
        <f>"96/10/12"</f>
        <v>96/10/12</v>
      </c>
      <c r="I1206" s="1" t="str">
        <f>"كيلوگرم"</f>
        <v>كيلوگرم</v>
      </c>
      <c r="J1206" s="1" t="str">
        <f>"0000000076"</f>
        <v>0000000076</v>
      </c>
      <c r="K1206" s="1" t="str">
        <f>"قير 60/70 - فله"</f>
        <v>قير 60/70 - فله</v>
      </c>
      <c r="L1206" s="1">
        <v>100</v>
      </c>
      <c r="M1206" s="1" t="str">
        <f>"مخازن قير اصفهان"</f>
        <v>مخازن قير اصفهان</v>
      </c>
      <c r="N1206" s="1">
        <v>8903</v>
      </c>
      <c r="O1206" s="1">
        <v>50038030</v>
      </c>
      <c r="P1206" s="1" t="str">
        <f>"  بنيادمسكن انقلاب اسلامي مازندران"</f>
        <v xml:space="preserve">  بنيادمسكن انقلاب اسلامي مازندران</v>
      </c>
      <c r="Q1206" s="1">
        <v>62</v>
      </c>
      <c r="R1206" s="1" t="str">
        <f>"فروش داخلي - سازمان بنيادمسكن انقلاب اسلامي"</f>
        <v>فروش داخلي - سازمان بنيادمسكن انقلاب اسلامي</v>
      </c>
      <c r="S1206" s="1" t="str">
        <f>"قرارداد فروش"</f>
        <v>قرارداد فروش</v>
      </c>
      <c r="T1206" s="1" t="str">
        <f>"ندارد"</f>
        <v>ندارد</v>
      </c>
      <c r="U1206" s="1" t="str">
        <f>"شيشه بر كريم(1841016)"</f>
        <v>شيشه بر كريم(1841016)</v>
      </c>
      <c r="V1206" s="1">
        <v>966200500</v>
      </c>
      <c r="W1206" s="1">
        <v>966200500</v>
      </c>
      <c r="X1206" s="1" t="str">
        <f>"1396536916"</f>
        <v>1396536916</v>
      </c>
      <c r="Y1206" s="1" t="str">
        <f>"96/10/12"</f>
        <v>96/10/12</v>
      </c>
      <c r="Z1206" s="1" t="str">
        <f>"45264/د"</f>
        <v>45264/د</v>
      </c>
      <c r="AA1206" s="1" t="str">
        <f>"بنيادمسكن انقلاب اسلامي"</f>
        <v>بنيادمسكن انقلاب اسلامي</v>
      </c>
      <c r="AB1206" s="1" t="str">
        <f>"96/10/12"</f>
        <v>96/10/12</v>
      </c>
      <c r="AC1206" s="1" t="str">
        <f>"استان مازندران"</f>
        <v>استان مازندران</v>
      </c>
      <c r="AD1206" s="1" t="str">
        <f>"96/10/12"</f>
        <v>96/10/12</v>
      </c>
      <c r="AE1206" s="1" t="str">
        <f>"اختتام"</f>
        <v>اختتام</v>
      </c>
      <c r="AF1206" s="1" t="str">
        <f>""</f>
        <v/>
      </c>
      <c r="AG1206" s="1" t="str">
        <f>""</f>
        <v/>
      </c>
      <c r="AH1206" s="1" t="str">
        <f>""</f>
        <v/>
      </c>
      <c r="AI1206" s="1" t="str">
        <f>""</f>
        <v/>
      </c>
      <c r="AJ1206" s="1" t="str">
        <f>""</f>
        <v/>
      </c>
      <c r="AK1206" s="1" t="str">
        <f>""</f>
        <v/>
      </c>
    </row>
    <row r="1207" spans="1:37">
      <c r="A1207" s="1">
        <v>44000</v>
      </c>
      <c r="B1207" s="1">
        <v>966200524</v>
      </c>
      <c r="C1207" s="1" t="str">
        <f>"تخليه - مازندران -بابل-جاده گنج افروز-کارخانه قائم آسفالت"</f>
        <v>تخليه - مازندران -بابل-جاده گنج افروز-کارخانه قائم آسفالت</v>
      </c>
      <c r="D1207" s="1">
        <v>12850</v>
      </c>
      <c r="E1207" s="1">
        <v>44000</v>
      </c>
      <c r="F1207" s="1">
        <v>96</v>
      </c>
      <c r="G1207" s="1">
        <v>0</v>
      </c>
      <c r="H1207" s="1" t="str">
        <f>"96/10/20"</f>
        <v>96/10/20</v>
      </c>
      <c r="I1207" s="1" t="str">
        <f>"كيلوگرم"</f>
        <v>كيلوگرم</v>
      </c>
      <c r="J1207" s="1" t="str">
        <f>"0000000076"</f>
        <v>0000000076</v>
      </c>
      <c r="K1207" s="1" t="str">
        <f>"قير 60/70 - فله"</f>
        <v>قير 60/70 - فله</v>
      </c>
      <c r="L1207" s="1">
        <v>100</v>
      </c>
      <c r="M1207" s="1" t="str">
        <f>"مخازن قير اصفهان"</f>
        <v>مخازن قير اصفهان</v>
      </c>
      <c r="N1207" s="1">
        <v>8903</v>
      </c>
      <c r="O1207" s="1">
        <v>50038133</v>
      </c>
      <c r="P1207" s="1" t="str">
        <f>"  بنيادمسكن انقلاب اسلامي مازندران"</f>
        <v xml:space="preserve">  بنيادمسكن انقلاب اسلامي مازندران</v>
      </c>
      <c r="Q1207" s="1">
        <v>62</v>
      </c>
      <c r="R1207" s="1" t="str">
        <f>"فروش داخلي - سازمان بنيادمسكن انقلاب اسلامي"</f>
        <v>فروش داخلي - سازمان بنيادمسكن انقلاب اسلامي</v>
      </c>
      <c r="S1207" s="1" t="str">
        <f>"قرارداد فروش"</f>
        <v>قرارداد فروش</v>
      </c>
      <c r="T1207" s="1" t="str">
        <f>"ندارد"</f>
        <v>ندارد</v>
      </c>
      <c r="U1207" s="1" t="str">
        <f>"شيشه بر كريم(1841016)"</f>
        <v>شيشه بر كريم(1841016)</v>
      </c>
      <c r="V1207" s="1">
        <v>966200524</v>
      </c>
      <c r="W1207" s="1">
        <v>966200524</v>
      </c>
      <c r="X1207" s="1" t="str">
        <f>"1396539511"</f>
        <v>1396539511</v>
      </c>
      <c r="Y1207" s="1" t="str">
        <f>"96/10/20"</f>
        <v>96/10/20</v>
      </c>
      <c r="Z1207" s="1" t="str">
        <f>"46742/د"</f>
        <v>46742/د</v>
      </c>
      <c r="AA1207" s="1" t="str">
        <f>"بنيادمسكن انقلاب اسلامي"</f>
        <v>بنيادمسكن انقلاب اسلامي</v>
      </c>
      <c r="AB1207" s="1" t="str">
        <f>"96/10/20"</f>
        <v>96/10/20</v>
      </c>
      <c r="AC1207" s="1" t="str">
        <f>"استان مازندران"</f>
        <v>استان مازندران</v>
      </c>
      <c r="AD1207" s="1" t="str">
        <f>"96/10/20"</f>
        <v>96/10/20</v>
      </c>
      <c r="AE1207" s="1" t="str">
        <f>"اختتام"</f>
        <v>اختتام</v>
      </c>
      <c r="AF1207" s="1" t="str">
        <f>""</f>
        <v/>
      </c>
      <c r="AG1207" s="1" t="str">
        <f>""</f>
        <v/>
      </c>
      <c r="AH1207" s="1" t="str">
        <f>""</f>
        <v/>
      </c>
      <c r="AI1207" s="1" t="str">
        <f>""</f>
        <v/>
      </c>
      <c r="AJ1207" s="1" t="str">
        <f>""</f>
        <v/>
      </c>
      <c r="AK1207" s="1" t="str">
        <f>""</f>
        <v/>
      </c>
    </row>
    <row r="1208" spans="1:37">
      <c r="A1208" s="1">
        <v>58000</v>
      </c>
      <c r="B1208" s="1">
        <v>966200579</v>
      </c>
      <c r="C1208" s="1" t="str">
        <f>"تخليه - مازندران -بابل-جاده گنج افروز-کارخانه قائم آسفالت"</f>
        <v>تخليه - مازندران -بابل-جاده گنج افروز-کارخانه قائم آسفالت</v>
      </c>
      <c r="D1208" s="1">
        <v>13200</v>
      </c>
      <c r="E1208" s="1">
        <v>57220</v>
      </c>
      <c r="F1208" s="1">
        <v>96</v>
      </c>
      <c r="G1208" s="1">
        <v>780</v>
      </c>
      <c r="H1208" s="1" t="str">
        <f>"96/11/24"</f>
        <v>96/11/24</v>
      </c>
      <c r="I1208" s="1" t="str">
        <f>"كيلوگرم"</f>
        <v>كيلوگرم</v>
      </c>
      <c r="J1208" s="1" t="str">
        <f>"0000000076"</f>
        <v>0000000076</v>
      </c>
      <c r="K1208" s="1" t="str">
        <f>"قير 60/70 - فله"</f>
        <v>قير 60/70 - فله</v>
      </c>
      <c r="L1208" s="1">
        <v>100</v>
      </c>
      <c r="M1208" s="1" t="str">
        <f>"مخازن قير اصفهان"</f>
        <v>مخازن قير اصفهان</v>
      </c>
      <c r="N1208" s="1">
        <v>8903</v>
      </c>
      <c r="O1208" s="1">
        <v>50038507</v>
      </c>
      <c r="P1208" s="1" t="str">
        <f>"  بنيادمسكن انقلاب اسلامي مازندران"</f>
        <v xml:space="preserve">  بنيادمسكن انقلاب اسلامي مازندران</v>
      </c>
      <c r="Q1208" s="1">
        <v>62</v>
      </c>
      <c r="R1208" s="1" t="str">
        <f>"فروش داخلي - سازمان بنيادمسكن انقلاب اسلامي"</f>
        <v>فروش داخلي - سازمان بنيادمسكن انقلاب اسلامي</v>
      </c>
      <c r="S1208" s="1" t="str">
        <f>"قرارداد فروش"</f>
        <v>قرارداد فروش</v>
      </c>
      <c r="T1208" s="1" t="str">
        <f>"ندارد"</f>
        <v>ندارد</v>
      </c>
      <c r="U1208" s="1" t="str">
        <f>"شيشه بر كريم(1841016)"</f>
        <v>شيشه بر كريم(1841016)</v>
      </c>
      <c r="V1208" s="1">
        <v>966200579</v>
      </c>
      <c r="W1208" s="1">
        <v>966200579</v>
      </c>
      <c r="X1208" s="1" t="str">
        <f>"1396547682"</f>
        <v>1396547682</v>
      </c>
      <c r="Y1208" s="1" t="str">
        <f>"96/11/24"</f>
        <v>96/11/24</v>
      </c>
      <c r="Z1208" s="1" t="str">
        <f>"52825/د"</f>
        <v>52825/د</v>
      </c>
      <c r="AA1208" s="1" t="str">
        <f>"بنيادمسكن انقلاب اسلامي"</f>
        <v>بنيادمسكن انقلاب اسلامي</v>
      </c>
      <c r="AB1208" s="1" t="str">
        <f>"96/11/23"</f>
        <v>96/11/23</v>
      </c>
      <c r="AC1208" s="1" t="str">
        <f>"استان مازندران"</f>
        <v>استان مازندران</v>
      </c>
      <c r="AD1208" s="1" t="str">
        <f>"96/11/24"</f>
        <v>96/11/24</v>
      </c>
      <c r="AE1208" s="1" t="str">
        <f>"اختتام"</f>
        <v>اختتام</v>
      </c>
      <c r="AF1208" s="1" t="str">
        <f>""</f>
        <v/>
      </c>
      <c r="AG1208" s="1" t="str">
        <f>""</f>
        <v/>
      </c>
      <c r="AH1208" s="1" t="str">
        <f>""</f>
        <v/>
      </c>
      <c r="AI1208" s="1" t="str">
        <f>""</f>
        <v/>
      </c>
      <c r="AJ1208" s="1" t="str">
        <f>""</f>
        <v/>
      </c>
      <c r="AK1208" s="1" t="str">
        <f>""</f>
        <v/>
      </c>
    </row>
    <row r="1209" spans="1:37">
      <c r="A1209" s="1">
        <v>91000</v>
      </c>
      <c r="B1209" s="1">
        <v>966200439</v>
      </c>
      <c r="C1209" s="1" t="str">
        <f>"تخليه - سيستان و بلوچستان-چابهار-روستاي ساندک زهي"</f>
        <v>تخليه - سيستان و بلوچستان-چابهار-روستاي ساندک زهي</v>
      </c>
      <c r="D1209" s="1">
        <v>12820</v>
      </c>
      <c r="E1209" s="1">
        <v>90120</v>
      </c>
      <c r="F1209" s="1">
        <v>96</v>
      </c>
      <c r="G1209" s="1">
        <v>880</v>
      </c>
      <c r="H1209" s="1" t="str">
        <f>"96/09/20"</f>
        <v>96/09/20</v>
      </c>
      <c r="I1209" s="1" t="str">
        <f>"كيلوگرم"</f>
        <v>كيلوگرم</v>
      </c>
      <c r="J1209" s="1" t="str">
        <f>"0000000076"</f>
        <v>0000000076</v>
      </c>
      <c r="K1209" s="1" t="str">
        <f>"قير 60/70 - فله"</f>
        <v>قير 60/70 - فله</v>
      </c>
      <c r="L1209" s="1">
        <v>100</v>
      </c>
      <c r="M1209" s="1" t="str">
        <f>"مخازن قير اصفهان"</f>
        <v>مخازن قير اصفهان</v>
      </c>
      <c r="N1209" s="1">
        <v>11216</v>
      </c>
      <c r="O1209" s="1">
        <v>50037630</v>
      </c>
      <c r="P1209" s="1" t="str">
        <f>"  آکام راه هرمز"</f>
        <v xml:space="preserve">  آکام راه هرمز</v>
      </c>
      <c r="Q1209" s="1">
        <v>62</v>
      </c>
      <c r="R1209" s="1" t="str">
        <f>"فروش داخلي - سازمان بنيادمسكن انقلاب اسلامي"</f>
        <v>فروش داخلي - سازمان بنيادمسكن انقلاب اسلامي</v>
      </c>
      <c r="S1209" s="1" t="str">
        <f>"قرارداد فروش"</f>
        <v>قرارداد فروش</v>
      </c>
      <c r="T1209" s="1" t="str">
        <f>"ندارد"</f>
        <v>ندارد</v>
      </c>
      <c r="U1209" s="1" t="str">
        <f>"راه وساختماني سنگ وكوه(5859000)"</f>
        <v>راه وساختماني سنگ وكوه(5859000)</v>
      </c>
      <c r="V1209" s="1">
        <v>966200439</v>
      </c>
      <c r="W1209" s="1">
        <v>966200439</v>
      </c>
      <c r="X1209" s="1" t="str">
        <f>"1396531357"</f>
        <v>1396531357</v>
      </c>
      <c r="Y1209" s="1" t="str">
        <f>"96/09/20"</f>
        <v>96/09/20</v>
      </c>
      <c r="Z1209" s="1" t="str">
        <f>"41332/د"</f>
        <v>41332/د</v>
      </c>
      <c r="AA1209" s="1" t="str">
        <f>"بنيادمسكن انقلاب اسلامي"</f>
        <v>بنيادمسكن انقلاب اسلامي</v>
      </c>
      <c r="AB1209" s="1" t="str">
        <f>"96/09/20"</f>
        <v>96/09/20</v>
      </c>
      <c r="AC1209" s="1" t="str">
        <f>"استان سيستان بلوچستان"</f>
        <v>استان سيستان بلوچستان</v>
      </c>
      <c r="AD1209" s="1" t="str">
        <f>"96/09/20"</f>
        <v>96/09/20</v>
      </c>
      <c r="AE1209" s="1" t="str">
        <f>"اختتام"</f>
        <v>اختتام</v>
      </c>
      <c r="AF1209" s="1" t="str">
        <f>""</f>
        <v/>
      </c>
      <c r="AG1209" s="1" t="str">
        <f>""</f>
        <v/>
      </c>
      <c r="AH1209" s="1" t="str">
        <f>""</f>
        <v/>
      </c>
      <c r="AI1209" s="1" t="str">
        <f>""</f>
        <v/>
      </c>
      <c r="AJ1209" s="1" t="str">
        <f>""</f>
        <v/>
      </c>
      <c r="AK1209" s="1" t="str">
        <f>""</f>
        <v/>
      </c>
    </row>
    <row r="1210" spans="1:37">
      <c r="A1210" s="1">
        <v>85000</v>
      </c>
      <c r="B1210" s="1">
        <v>966200077</v>
      </c>
      <c r="C1210" s="1" t="str">
        <f>"تخليه - اصفهان-6/5 کيلومتري جنوب جاده اصفهان نايين-امتداد جاده به سمت کشتارگاه روستاي فساران"</f>
        <v>تخليه - اصفهان-6/5 کيلومتري جنوب جاده اصفهان نايين-امتداد جاده به سمت کشتارگاه روستاي فساران</v>
      </c>
      <c r="D1210" s="1">
        <v>8918</v>
      </c>
      <c r="E1210" s="1">
        <v>84420</v>
      </c>
      <c r="F1210" s="1">
        <v>96</v>
      </c>
      <c r="G1210" s="1">
        <v>580</v>
      </c>
      <c r="H1210" s="1" t="str">
        <f>"96/02/26"</f>
        <v>96/02/26</v>
      </c>
      <c r="I1210" s="1" t="str">
        <f>"كيلوگرم"</f>
        <v>كيلوگرم</v>
      </c>
      <c r="J1210" s="1" t="str">
        <f>"0000000076"</f>
        <v>0000000076</v>
      </c>
      <c r="K1210" s="1" t="str">
        <f>"قير 60/70 - فله"</f>
        <v>قير 60/70 - فله</v>
      </c>
      <c r="L1210" s="1">
        <v>100</v>
      </c>
      <c r="M1210" s="1" t="str">
        <f>"مخازن قير اصفهان"</f>
        <v>مخازن قير اصفهان</v>
      </c>
      <c r="N1210" s="1">
        <v>11236</v>
      </c>
      <c r="O1210" s="1">
        <v>50034844</v>
      </c>
      <c r="P1210" s="1" t="str">
        <f>"  ستايش گستر زنده رود"</f>
        <v xml:space="preserve">  ستايش گستر زنده رود</v>
      </c>
      <c r="Q1210" s="1">
        <v>62</v>
      </c>
      <c r="R1210" s="1" t="str">
        <f>"فروش داخلي - سازمان بنيادمسكن انقلاب اسلامي"</f>
        <v>فروش داخلي - سازمان بنيادمسكن انقلاب اسلامي</v>
      </c>
      <c r="S1210" s="1" t="str">
        <f>"قرارداد فروش"</f>
        <v>قرارداد فروش</v>
      </c>
      <c r="T1210" s="1" t="str">
        <f>"ندارد"</f>
        <v>ندارد</v>
      </c>
      <c r="U1210" s="1" t="str">
        <f>"قره باغي مجيد(1871065)"</f>
        <v>قره باغي مجيد(1871065)</v>
      </c>
      <c r="V1210" s="1">
        <v>966200077</v>
      </c>
      <c r="W1210" s="1">
        <v>966200077</v>
      </c>
      <c r="X1210" s="1" t="str">
        <f>"1396481180"</f>
        <v>1396481180</v>
      </c>
      <c r="Y1210" s="1" t="str">
        <f>"96/02/26"</f>
        <v>96/02/26</v>
      </c>
      <c r="Z1210" s="1" t="str">
        <f>"6821/د"</f>
        <v>6821/د</v>
      </c>
      <c r="AA1210" s="1" t="str">
        <f>"بنيادمسكن انقلاب اسلامي"</f>
        <v>بنيادمسكن انقلاب اسلامي</v>
      </c>
      <c r="AB1210" s="1" t="str">
        <f>"96/02/25"</f>
        <v>96/02/25</v>
      </c>
      <c r="AC1210" s="1" t="str">
        <f>"استان اصفهان"</f>
        <v>استان اصفهان</v>
      </c>
      <c r="AD1210" s="1" t="str">
        <f>"96/02/26"</f>
        <v>96/02/26</v>
      </c>
      <c r="AE1210" s="1" t="str">
        <f>"اختتام"</f>
        <v>اختتام</v>
      </c>
      <c r="AF1210" s="1" t="str">
        <f>""</f>
        <v/>
      </c>
      <c r="AG1210" s="1" t="str">
        <f>""</f>
        <v/>
      </c>
      <c r="AH1210" s="1" t="str">
        <f>""</f>
        <v/>
      </c>
      <c r="AI1210" s="1" t="str">
        <f>""</f>
        <v/>
      </c>
      <c r="AJ1210" s="1" t="str">
        <f>""</f>
        <v/>
      </c>
      <c r="AK1210" s="1" t="str">
        <f>""</f>
        <v/>
      </c>
    </row>
    <row r="1211" spans="1:37">
      <c r="A1211" s="1">
        <v>334000</v>
      </c>
      <c r="B1211" s="1">
        <v>966200384</v>
      </c>
      <c r="C1211" s="1" t="str">
        <f>"تخليه - اصفهان-6/5 کيلومتري جنوب جاده اصفهان نايين-امتداد جاده به سمت کشتارگاه روستاي فساران"</f>
        <v>تخليه - اصفهان-6/5 کيلومتري جنوب جاده اصفهان نايين-امتداد جاده به سمت کشتارگاه روستاي فساران</v>
      </c>
      <c r="D1211" s="1">
        <v>12820</v>
      </c>
      <c r="E1211" s="1">
        <v>333480</v>
      </c>
      <c r="F1211" s="1">
        <v>96</v>
      </c>
      <c r="G1211" s="1">
        <v>520</v>
      </c>
      <c r="H1211" s="1" t="str">
        <f>"96/09/08"</f>
        <v>96/09/08</v>
      </c>
      <c r="I1211" s="1" t="str">
        <f>"كيلوگرم"</f>
        <v>كيلوگرم</v>
      </c>
      <c r="J1211" s="1" t="str">
        <f>"0000000076"</f>
        <v>0000000076</v>
      </c>
      <c r="K1211" s="1" t="str">
        <f>"قير 60/70 - فله"</f>
        <v>قير 60/70 - فله</v>
      </c>
      <c r="L1211" s="1">
        <v>100</v>
      </c>
      <c r="M1211" s="1" t="str">
        <f>"مخازن قير اصفهان"</f>
        <v>مخازن قير اصفهان</v>
      </c>
      <c r="N1211" s="1">
        <v>11236</v>
      </c>
      <c r="O1211" s="1">
        <v>50037329</v>
      </c>
      <c r="P1211" s="1" t="str">
        <f>"  ستايش گستر زنده رود"</f>
        <v xml:space="preserve">  ستايش گستر زنده رود</v>
      </c>
      <c r="Q1211" s="1">
        <v>62</v>
      </c>
      <c r="R1211" s="1" t="str">
        <f>"فروش داخلي - سازمان بنيادمسكن انقلاب اسلامي"</f>
        <v>فروش داخلي - سازمان بنيادمسكن انقلاب اسلامي</v>
      </c>
      <c r="S1211" s="1" t="str">
        <f>"قرارداد فروش"</f>
        <v>قرارداد فروش</v>
      </c>
      <c r="T1211" s="1" t="str">
        <f>"ندارد"</f>
        <v>ندارد</v>
      </c>
      <c r="U1211" s="1" t="str">
        <f>"قره باغي مجيد(1871065)"</f>
        <v>قره باغي مجيد(1871065)</v>
      </c>
      <c r="V1211" s="1">
        <v>966200384</v>
      </c>
      <c r="W1211" s="1">
        <v>966200384</v>
      </c>
      <c r="X1211" s="1" t="str">
        <f>"1396529172"</f>
        <v>1396529172</v>
      </c>
      <c r="Y1211" s="1" t="str">
        <f>"96/09/08"</f>
        <v>96/09/08</v>
      </c>
      <c r="Z1211" s="1" t="str">
        <f>"37341/د"</f>
        <v>37341/د</v>
      </c>
      <c r="AA1211" s="1" t="str">
        <f>"بنيادمسكن انقلاب اسلامي"</f>
        <v>بنيادمسكن انقلاب اسلامي</v>
      </c>
      <c r="AB1211" s="1" t="str">
        <f>"96/08/21"</f>
        <v>96/08/21</v>
      </c>
      <c r="AC1211" s="1" t="str">
        <f>"استان اصفهان"</f>
        <v>استان اصفهان</v>
      </c>
      <c r="AD1211" s="1" t="str">
        <f>"96/09/08"</f>
        <v>96/09/08</v>
      </c>
      <c r="AE1211" s="1" t="str">
        <f>"اختتام"</f>
        <v>اختتام</v>
      </c>
      <c r="AF1211" s="1" t="str">
        <f>""</f>
        <v/>
      </c>
      <c r="AG1211" s="1" t="str">
        <f>""</f>
        <v/>
      </c>
      <c r="AH1211" s="1" t="str">
        <f>""</f>
        <v/>
      </c>
      <c r="AI1211" s="1" t="str">
        <f>""</f>
        <v/>
      </c>
      <c r="AJ1211" s="1" t="str">
        <f>""</f>
        <v/>
      </c>
      <c r="AK1211" s="1" t="str">
        <f>""</f>
        <v/>
      </c>
    </row>
    <row r="1212" spans="1:37">
      <c r="A1212" s="1">
        <v>239000</v>
      </c>
      <c r="B1212" s="1">
        <v>966200639</v>
      </c>
      <c r="C1212" s="1" t="str">
        <f>"تخليه - لرستان - ملاير-پشت کوه گرمه-کارخانه آسفالت زهره وند"</f>
        <v>تخليه - لرستان - ملاير-پشت کوه گرمه-کارخانه آسفالت زهره وند</v>
      </c>
      <c r="D1212" s="1">
        <v>13350</v>
      </c>
      <c r="E1212" s="1">
        <v>237680</v>
      </c>
      <c r="F1212" s="1">
        <v>96</v>
      </c>
      <c r="G1212" s="1">
        <v>1320</v>
      </c>
      <c r="H1212" s="1" t="str">
        <f>"96/12/14"</f>
        <v>96/12/14</v>
      </c>
      <c r="I1212" s="1" t="str">
        <f>"كيلوگرم"</f>
        <v>كيلوگرم</v>
      </c>
      <c r="J1212" s="1" t="str">
        <f>"0000000076"</f>
        <v>0000000076</v>
      </c>
      <c r="K1212" s="1" t="str">
        <f>"قير 60/70 - فله"</f>
        <v>قير 60/70 - فله</v>
      </c>
      <c r="L1212" s="1">
        <v>100</v>
      </c>
      <c r="M1212" s="1" t="str">
        <f>"مخازن قير اصفهان"</f>
        <v>مخازن قير اصفهان</v>
      </c>
      <c r="N1212" s="1">
        <v>11252</v>
      </c>
      <c r="O1212" s="1">
        <v>50038760</v>
      </c>
      <c r="P1212" s="1" t="str">
        <f>"  عمران سديدجم"</f>
        <v xml:space="preserve">  عمران سديدجم</v>
      </c>
      <c r="Q1212" s="1">
        <v>62</v>
      </c>
      <c r="R1212" s="1" t="str">
        <f>"فروش داخلي - سازمان بنيادمسكن انقلاب اسلامي"</f>
        <v>فروش داخلي - سازمان بنيادمسكن انقلاب اسلامي</v>
      </c>
      <c r="S1212" s="1" t="str">
        <f>"قرارداد فروش"</f>
        <v>قرارداد فروش</v>
      </c>
      <c r="T1212" s="1" t="str">
        <f>"ندارد"</f>
        <v>ندارد</v>
      </c>
      <c r="U1212" s="1" t="str">
        <f>"حاجيلوئي علي اصغر(2842019)"</f>
        <v>حاجيلوئي علي اصغر(2842019)</v>
      </c>
      <c r="V1212" s="1">
        <v>966200639</v>
      </c>
      <c r="W1212" s="1">
        <v>966200639</v>
      </c>
      <c r="X1212" s="1" t="str">
        <f>"1396552261"</f>
        <v>1396552261</v>
      </c>
      <c r="Y1212" s="1" t="str">
        <f>"96/12/14"</f>
        <v>96/12/14</v>
      </c>
      <c r="Z1212" s="1" t="str">
        <f>"56655/د"</f>
        <v>56655/د</v>
      </c>
      <c r="AA1212" s="1" t="str">
        <f>"بنيادمسكن انقلاب اسلامي"</f>
        <v>بنيادمسكن انقلاب اسلامي</v>
      </c>
      <c r="AB1212" s="1" t="str">
        <f>"96/12/13"</f>
        <v>96/12/13</v>
      </c>
      <c r="AC1212" s="1" t="str">
        <f>"لرستان"</f>
        <v>لرستان</v>
      </c>
      <c r="AD1212" s="1" t="str">
        <f>"96/12/14"</f>
        <v>96/12/14</v>
      </c>
      <c r="AE1212" s="1" t="str">
        <f>"اختتام"</f>
        <v>اختتام</v>
      </c>
      <c r="AF1212" s="1" t="str">
        <f>""</f>
        <v/>
      </c>
      <c r="AG1212" s="1" t="str">
        <f>""</f>
        <v/>
      </c>
      <c r="AH1212" s="1" t="str">
        <f>""</f>
        <v/>
      </c>
      <c r="AI1212" s="1" t="str">
        <f>""</f>
        <v/>
      </c>
      <c r="AJ1212" s="1" t="str">
        <f>""</f>
        <v/>
      </c>
      <c r="AK1212" s="1" t="str">
        <f>""</f>
        <v/>
      </c>
    </row>
    <row r="1213" spans="1:37">
      <c r="A1213" s="1">
        <v>500000</v>
      </c>
      <c r="B1213" s="1">
        <v>961800065</v>
      </c>
      <c r="C1213" s="1" t="str">
        <f>"تخليه گلستان كلاله جنب روستاي خمبرآبادكارخانه آسفالت راهسازان جبال گلستان"</f>
        <v>تخليه گلستان كلاله جنب روستاي خمبرآبادكارخانه آسفالت راهسازان جبال گلستان</v>
      </c>
      <c r="D1213" s="1">
        <v>13600</v>
      </c>
      <c r="E1213" s="1">
        <v>498920</v>
      </c>
      <c r="F1213" s="1">
        <v>96</v>
      </c>
      <c r="G1213" s="1">
        <v>1080</v>
      </c>
      <c r="H1213" s="1" t="str">
        <f>"96/07/17"</f>
        <v>96/07/17</v>
      </c>
      <c r="I1213" s="1" t="str">
        <f>"كيلوگرم"</f>
        <v>كيلوگرم</v>
      </c>
      <c r="J1213" s="1" t="str">
        <f>"0000000093"</f>
        <v>0000000093</v>
      </c>
      <c r="K1213" s="1" t="str">
        <f>"قير  PG64-10"</f>
        <v>قير  PG64-10</v>
      </c>
      <c r="L1213" s="1">
        <v>100</v>
      </c>
      <c r="M1213" s="1" t="str">
        <f>"مخازن قير اصفهان"</f>
        <v>مخازن قير اصفهان</v>
      </c>
      <c r="N1213" s="1">
        <v>10253</v>
      </c>
      <c r="O1213" s="1">
        <v>50036619</v>
      </c>
      <c r="P1213" s="1" t="str">
        <f>"  مهندسي پروژه هاي آب ونيروي ايران (پانير)"</f>
        <v xml:space="preserve">  مهندسي پروژه هاي آب ونيروي ايران (پانير)</v>
      </c>
      <c r="Q1213" s="1">
        <v>18</v>
      </c>
      <c r="R1213" s="1" t="str">
        <f>"فروش داخلي تهران - وزارت راه - شرکت ساخت و توسعه راهها"</f>
        <v>فروش داخلي تهران - وزارت راه - شرکت ساخت و توسعه راهها</v>
      </c>
      <c r="S1213" s="1" t="str">
        <f>"قرارداد فروش"</f>
        <v>قرارداد فروش</v>
      </c>
      <c r="T1213" s="1" t="str">
        <f>"ندارد"</f>
        <v>ندارد</v>
      </c>
      <c r="U1213" s="1" t="str">
        <f>"رضائي كلهر حسن (1901099)"</f>
        <v>رضائي كلهر حسن (1901099)</v>
      </c>
      <c r="V1213" s="1">
        <v>961800065</v>
      </c>
      <c r="W1213" s="1">
        <v>961800065</v>
      </c>
      <c r="X1213" s="1" t="str">
        <f>"1396517394"</f>
        <v>1396517394</v>
      </c>
      <c r="Y1213" s="1" t="str">
        <f>"96/07/17"</f>
        <v>96/07/17</v>
      </c>
      <c r="Z1213" s="1" t="str">
        <f>"33203/710"</f>
        <v>33203/710</v>
      </c>
      <c r="AA1213" s="1" t="str">
        <f>"شركت  ساخت وتوسعه راهها"</f>
        <v>شركت  ساخت وتوسعه راهها</v>
      </c>
      <c r="AB1213" s="1" t="str">
        <f>"96/07/04"</f>
        <v>96/07/04</v>
      </c>
      <c r="AC1213" s="1" t="str">
        <f>"استان گلستان"</f>
        <v>استان گلستان</v>
      </c>
      <c r="AD1213" s="1" t="str">
        <f>"96/07/17"</f>
        <v>96/07/17</v>
      </c>
      <c r="AE1213" s="1" t="str">
        <f>"اختتام"</f>
        <v>اختتام</v>
      </c>
      <c r="AF1213" s="1" t="str">
        <f>""</f>
        <v/>
      </c>
      <c r="AG1213" s="1" t="str">
        <f>""</f>
        <v/>
      </c>
      <c r="AH1213" s="1" t="str">
        <f>""</f>
        <v/>
      </c>
      <c r="AI1213" s="1" t="str">
        <f>""</f>
        <v/>
      </c>
      <c r="AJ1213" s="1" t="str">
        <f>""</f>
        <v/>
      </c>
      <c r="AK1213" s="1" t="str">
        <f>""</f>
        <v/>
      </c>
    </row>
    <row r="1214" spans="1:37">
      <c r="A1214" s="1">
        <v>417000</v>
      </c>
      <c r="B1214" s="1">
        <v>966200250</v>
      </c>
      <c r="C1214" s="1" t="str">
        <f>"تخليه -گيلان -نرسيده به پليس راه رشت آستارا-جنب هواشناسي آستارا-کارخانه آسفالت شرکت ساختکارآفرين"</f>
        <v>تخليه -گيلان -نرسيده به پليس راه رشت آستارا-جنب هواشناسي آستارا-کارخانه آسفالت شرکت ساختکارآفرين</v>
      </c>
      <c r="D1214" s="1">
        <v>9204</v>
      </c>
      <c r="E1214" s="1">
        <v>417000</v>
      </c>
      <c r="F1214" s="1">
        <v>96</v>
      </c>
      <c r="G1214" s="1">
        <v>0</v>
      </c>
      <c r="H1214" s="1" t="str">
        <f>"96/06/27"</f>
        <v>96/06/27</v>
      </c>
      <c r="I1214" s="1" t="str">
        <f>"كيلوگرم"</f>
        <v>كيلوگرم</v>
      </c>
      <c r="J1214" s="1" t="str">
        <f>"0000000093"</f>
        <v>0000000093</v>
      </c>
      <c r="K1214" s="1" t="str">
        <f>"قير  PG64-10"</f>
        <v>قير  PG64-10</v>
      </c>
      <c r="L1214" s="1">
        <v>100</v>
      </c>
      <c r="M1214" s="1" t="str">
        <f>"مخازن قير اصفهان"</f>
        <v>مخازن قير اصفهان</v>
      </c>
      <c r="N1214" s="1">
        <v>10375</v>
      </c>
      <c r="O1214" s="1">
        <v>50036089</v>
      </c>
      <c r="P1214" s="1" t="str">
        <f>"  ساختکارآفرين"</f>
        <v xml:space="preserve">  ساختکارآفرين</v>
      </c>
      <c r="Q1214" s="1">
        <v>62</v>
      </c>
      <c r="R1214" s="1" t="str">
        <f>"فروش داخلي - سازمان بنيادمسكن انقلاب اسلامي"</f>
        <v>فروش داخلي - سازمان بنيادمسكن انقلاب اسلامي</v>
      </c>
      <c r="S1214" s="1" t="str">
        <f>"قرارداد فروش"</f>
        <v>قرارداد فروش</v>
      </c>
      <c r="T1214" s="1" t="str">
        <f>"ندارد"</f>
        <v>ندارد</v>
      </c>
      <c r="U1214" s="1" t="str">
        <f>"خليل الهي حسن(1841005)"</f>
        <v>خليل الهي حسن(1841005)</v>
      </c>
      <c r="V1214" s="1">
        <v>966200250</v>
      </c>
      <c r="W1214" s="1">
        <v>966200250</v>
      </c>
      <c r="X1214" s="1" t="str">
        <f>"1396513019"</f>
        <v>1396513019</v>
      </c>
      <c r="Y1214" s="1" t="str">
        <f>"96/06/27"</f>
        <v>96/06/27</v>
      </c>
      <c r="Z1214" s="1" t="str">
        <f>"27857/د"</f>
        <v>27857/د</v>
      </c>
      <c r="AA1214" s="1" t="str">
        <f>"بنيادمسكن انقلاب اسلامي"</f>
        <v>بنيادمسكن انقلاب اسلامي</v>
      </c>
      <c r="AB1214" s="1" t="str">
        <f>"96/06/26"</f>
        <v>96/06/26</v>
      </c>
      <c r="AC1214" s="1" t="str">
        <f>"استان گيلان"</f>
        <v>استان گيلان</v>
      </c>
      <c r="AD1214" s="1" t="str">
        <f>"96/06/27"</f>
        <v>96/06/27</v>
      </c>
      <c r="AE1214" s="1" t="str">
        <f>"اختتام"</f>
        <v>اختتام</v>
      </c>
      <c r="AF1214" s="1" t="str">
        <f>""</f>
        <v/>
      </c>
      <c r="AG1214" s="1" t="str">
        <f>""</f>
        <v/>
      </c>
      <c r="AH1214" s="1" t="str">
        <f>""</f>
        <v/>
      </c>
      <c r="AI1214" s="1" t="str">
        <f>""</f>
        <v/>
      </c>
      <c r="AJ1214" s="1" t="str">
        <f>""</f>
        <v/>
      </c>
      <c r="AK1214" s="1" t="str">
        <f>""</f>
        <v/>
      </c>
    </row>
    <row r="1215" spans="1:37">
      <c r="A1215" s="1">
        <v>544000</v>
      </c>
      <c r="B1215" s="1">
        <v>966200273</v>
      </c>
      <c r="C1215" s="1" t="str">
        <f>"تخليه -گيلان -نرسيده به پليس راه رشت آستارا-جنب هواشناسي آستارا-کارخانه آسفالت شرکت ساختکارآفرين"</f>
        <v>تخليه -گيلان -نرسيده به پليس راه رشت آستارا-جنب هواشناسي آستارا-کارخانه آسفالت شرکت ساختکارآفرين</v>
      </c>
      <c r="D1215" s="1">
        <v>9363</v>
      </c>
      <c r="E1215" s="1">
        <v>543720</v>
      </c>
      <c r="F1215" s="1">
        <v>96</v>
      </c>
      <c r="G1215" s="1">
        <v>280</v>
      </c>
      <c r="H1215" s="1" t="str">
        <f>"96/07/10"</f>
        <v>96/07/10</v>
      </c>
      <c r="I1215" s="1" t="str">
        <f>"كيلوگرم"</f>
        <v>كيلوگرم</v>
      </c>
      <c r="J1215" s="1" t="str">
        <f>"0000000093"</f>
        <v>0000000093</v>
      </c>
      <c r="K1215" s="1" t="str">
        <f>"قير  PG64-10"</f>
        <v>قير  PG64-10</v>
      </c>
      <c r="L1215" s="1">
        <v>100</v>
      </c>
      <c r="M1215" s="1" t="str">
        <f>"مخازن قير اصفهان"</f>
        <v>مخازن قير اصفهان</v>
      </c>
      <c r="N1215" s="1">
        <v>10375</v>
      </c>
      <c r="O1215" s="1">
        <v>50036478</v>
      </c>
      <c r="P1215" s="1" t="str">
        <f>"  ساختکارآفرين"</f>
        <v xml:space="preserve">  ساختکارآفرين</v>
      </c>
      <c r="Q1215" s="1">
        <v>62</v>
      </c>
      <c r="R1215" s="1" t="str">
        <f>"فروش داخلي - سازمان بنيادمسكن انقلاب اسلامي"</f>
        <v>فروش داخلي - سازمان بنيادمسكن انقلاب اسلامي</v>
      </c>
      <c r="S1215" s="1" t="str">
        <f>"قرارداد فروش"</f>
        <v>قرارداد فروش</v>
      </c>
      <c r="T1215" s="1" t="str">
        <f>"ندارد"</f>
        <v>ندارد</v>
      </c>
      <c r="U1215" s="1" t="str">
        <f>"خليل الهي حسن(1841005)"</f>
        <v>خليل الهي حسن(1841005)</v>
      </c>
      <c r="V1215" s="1">
        <v>966200273</v>
      </c>
      <c r="W1215" s="1">
        <v>966200273</v>
      </c>
      <c r="X1215" s="1" t="str">
        <f>"1396515522"</f>
        <v>1396515522</v>
      </c>
      <c r="Y1215" s="1" t="str">
        <f>"96/07/10"</f>
        <v>96/07/10</v>
      </c>
      <c r="Z1215" s="1" t="str">
        <f>"29644/د"</f>
        <v>29644/د</v>
      </c>
      <c r="AA1215" s="1" t="str">
        <f>"بنيادمسكن انقلاب اسلامي"</f>
        <v>بنيادمسكن انقلاب اسلامي</v>
      </c>
      <c r="AB1215" s="1" t="str">
        <f>"96/07/04"</f>
        <v>96/07/04</v>
      </c>
      <c r="AC1215" s="1" t="str">
        <f>"استان گيلان"</f>
        <v>استان گيلان</v>
      </c>
      <c r="AD1215" s="1" t="str">
        <f>"96/07/05"</f>
        <v>96/07/05</v>
      </c>
      <c r="AE1215" s="1" t="str">
        <f>"اختتام"</f>
        <v>اختتام</v>
      </c>
      <c r="AF1215" s="1" t="str">
        <f>""</f>
        <v/>
      </c>
      <c r="AG1215" s="1" t="str">
        <f>""</f>
        <v/>
      </c>
      <c r="AH1215" s="1" t="str">
        <f>""</f>
        <v/>
      </c>
      <c r="AI1215" s="1" t="str">
        <f>""</f>
        <v/>
      </c>
      <c r="AJ1215" s="1" t="str">
        <f>""</f>
        <v/>
      </c>
      <c r="AK1215" s="1" t="str">
        <f>""</f>
        <v/>
      </c>
    </row>
    <row r="1216" spans="1:37">
      <c r="A1216" s="1">
        <v>271000</v>
      </c>
      <c r="B1216" s="1">
        <v>966200555</v>
      </c>
      <c r="C1216" s="1" t="str">
        <f>"تخليه - کرمان-کيلومتر 13 جاده بهرامجرد-کارخانه آسفالت طلايي"</f>
        <v>تخليه - کرمان-کيلومتر 13 جاده بهرامجرد-کارخانه آسفالت طلايي</v>
      </c>
      <c r="D1216" s="1">
        <v>13200</v>
      </c>
      <c r="E1216" s="1">
        <v>269020</v>
      </c>
      <c r="F1216" s="1">
        <v>96</v>
      </c>
      <c r="G1216" s="1">
        <v>1980</v>
      </c>
      <c r="H1216" s="1" t="str">
        <f>"96/11/14"</f>
        <v>96/11/14</v>
      </c>
      <c r="I1216" s="1" t="str">
        <f>"كيلوگرم"</f>
        <v>كيلوگرم</v>
      </c>
      <c r="J1216" s="1" t="str">
        <f>"0000000076"</f>
        <v>0000000076</v>
      </c>
      <c r="K1216" s="1" t="str">
        <f>"قير 60/70 - فله"</f>
        <v>قير 60/70 - فله</v>
      </c>
      <c r="L1216" s="1">
        <v>100</v>
      </c>
      <c r="M1216" s="1" t="str">
        <f>"مخازن قير اصفهان"</f>
        <v>مخازن قير اصفهان</v>
      </c>
      <c r="N1216" s="1">
        <v>11269</v>
      </c>
      <c r="O1216" s="1">
        <v>50038361</v>
      </c>
      <c r="P1216" s="1" t="str">
        <f>"  نيارش سازه هيرمند"</f>
        <v xml:space="preserve">  نيارش سازه هيرمند</v>
      </c>
      <c r="Q1216" s="1">
        <v>62</v>
      </c>
      <c r="R1216" s="1" t="str">
        <f>"فروش داخلي - سازمان بنيادمسكن انقلاب اسلامي"</f>
        <v>فروش داخلي - سازمان بنيادمسكن انقلاب اسلامي</v>
      </c>
      <c r="S1216" s="1" t="str">
        <f>"قرارداد فروش"</f>
        <v>قرارداد فروش</v>
      </c>
      <c r="T1216" s="1" t="str">
        <f>"ندارد"</f>
        <v>ندارد</v>
      </c>
      <c r="U1216" s="1" t="str">
        <f>"دهقانيان بيژن (4954038)"</f>
        <v>دهقانيان بيژن (4954038)</v>
      </c>
      <c r="V1216" s="1">
        <v>966200555</v>
      </c>
      <c r="W1216" s="1">
        <v>966200555</v>
      </c>
      <c r="X1216" s="1" t="str">
        <f>"1396545121"</f>
        <v>1396545121</v>
      </c>
      <c r="Y1216" s="1" t="str">
        <f>"96/11/14"</f>
        <v>96/11/14</v>
      </c>
      <c r="Z1216" s="1" t="str">
        <f>"50739/د"</f>
        <v>50739/د</v>
      </c>
      <c r="AA1216" s="1" t="str">
        <f>"بنيادمسكن انقلاب اسلامي"</f>
        <v>بنيادمسكن انقلاب اسلامي</v>
      </c>
      <c r="AB1216" s="1" t="str">
        <f>"96/11/11"</f>
        <v>96/11/11</v>
      </c>
      <c r="AC1216" s="1" t="str">
        <f>"استان كرمان"</f>
        <v>استان كرمان</v>
      </c>
      <c r="AD1216" s="1" t="str">
        <f>"96/11/14"</f>
        <v>96/11/14</v>
      </c>
      <c r="AE1216" s="1" t="str">
        <f>"اختتام"</f>
        <v>اختتام</v>
      </c>
      <c r="AF1216" s="1" t="str">
        <f>""</f>
        <v/>
      </c>
      <c r="AG1216" s="1" t="str">
        <f>""</f>
        <v/>
      </c>
      <c r="AH1216" s="1" t="str">
        <f>""</f>
        <v/>
      </c>
      <c r="AI1216" s="1" t="str">
        <f>""</f>
        <v/>
      </c>
      <c r="AJ1216" s="1" t="str">
        <f>""</f>
        <v/>
      </c>
      <c r="AK1216" s="1" t="str">
        <f>""</f>
        <v/>
      </c>
    </row>
    <row r="1217" spans="1:37">
      <c r="A1217" s="1">
        <v>200000</v>
      </c>
      <c r="B1217" s="1">
        <v>966200449</v>
      </c>
      <c r="C1217" s="1" t="str">
        <f>"تخليه -تهران-دماوند -گيلاوند -انتهاي خيابان سپاه-کيلومتر 5 جاده روستاي زره در کارخانه آسفالت پارس دماوند"</f>
        <v>تخليه -تهران-دماوند -گيلاوند -انتهاي خيابان سپاه-کيلومتر 5 جاده روستاي زره در کارخانه آسفالت پارس دماوند</v>
      </c>
      <c r="D1217" s="1">
        <v>12820</v>
      </c>
      <c r="E1217" s="1">
        <v>199300</v>
      </c>
      <c r="F1217" s="1">
        <v>96</v>
      </c>
      <c r="G1217" s="1">
        <v>700</v>
      </c>
      <c r="H1217" s="1" t="str">
        <f>"96/09/23"</f>
        <v>96/09/23</v>
      </c>
      <c r="I1217" s="1" t="str">
        <f>"كيلوگرم"</f>
        <v>كيلوگرم</v>
      </c>
      <c r="J1217" s="1" t="str">
        <f>"0000000076"</f>
        <v>0000000076</v>
      </c>
      <c r="K1217" s="1" t="str">
        <f>"قير 60/70 - فله"</f>
        <v>قير 60/70 - فله</v>
      </c>
      <c r="L1217" s="1">
        <v>100</v>
      </c>
      <c r="M1217" s="1" t="str">
        <f>"مخازن قير اصفهان"</f>
        <v>مخازن قير اصفهان</v>
      </c>
      <c r="N1217" s="1">
        <v>11278</v>
      </c>
      <c r="O1217" s="1">
        <v>50037811</v>
      </c>
      <c r="P1217" s="1" t="str">
        <f>"  آباد بوم آريا"</f>
        <v xml:space="preserve">  آباد بوم آريا</v>
      </c>
      <c r="Q1217" s="1">
        <v>62</v>
      </c>
      <c r="R1217" s="1" t="str">
        <f>"فروش داخلي - سازمان بنيادمسكن انقلاب اسلامي"</f>
        <v>فروش داخلي - سازمان بنيادمسكن انقلاب اسلامي</v>
      </c>
      <c r="S1217" s="1" t="str">
        <f>"قرارداد فروش"</f>
        <v>قرارداد فروش</v>
      </c>
      <c r="T1217" s="1" t="str">
        <f>"ندارد"</f>
        <v>ندارد</v>
      </c>
      <c r="U1217" s="1" t="str">
        <f>"سليمي پارساعارف عماد(1901096)"</f>
        <v>سليمي پارساعارف عماد(1901096)</v>
      </c>
      <c r="V1217" s="1">
        <v>966200449</v>
      </c>
      <c r="W1217" s="1">
        <v>966200449</v>
      </c>
      <c r="X1217" s="1" t="str">
        <f>"1396532538"</f>
        <v>1396532538</v>
      </c>
      <c r="Y1217" s="1" t="str">
        <f>"96/09/23"</f>
        <v>96/09/23</v>
      </c>
      <c r="Z1217" s="1" t="str">
        <f>"41621/د"</f>
        <v>41621/د</v>
      </c>
      <c r="AA1217" s="1" t="str">
        <f>"بنيادمسكن انقلاب اسلامي"</f>
        <v>بنيادمسكن انقلاب اسلامي</v>
      </c>
      <c r="AB1217" s="1" t="str">
        <f>"96/09/21"</f>
        <v>96/09/21</v>
      </c>
      <c r="AC1217" s="1" t="str">
        <f>"استان تهران"</f>
        <v>استان تهران</v>
      </c>
      <c r="AD1217" s="1" t="str">
        <f>"96/09/22"</f>
        <v>96/09/22</v>
      </c>
      <c r="AE1217" s="1" t="str">
        <f>"اختتام"</f>
        <v>اختتام</v>
      </c>
      <c r="AF1217" s="1" t="str">
        <f>""</f>
        <v/>
      </c>
      <c r="AG1217" s="1" t="str">
        <f>""</f>
        <v/>
      </c>
      <c r="AH1217" s="1" t="str">
        <f>""</f>
        <v/>
      </c>
      <c r="AI1217" s="1" t="str">
        <f>""</f>
        <v/>
      </c>
      <c r="AJ1217" s="1" t="str">
        <f>""</f>
        <v/>
      </c>
      <c r="AK1217" s="1" t="str">
        <f>""</f>
        <v/>
      </c>
    </row>
    <row r="1218" spans="1:37">
      <c r="A1218" s="1">
        <v>202000</v>
      </c>
      <c r="B1218" s="1">
        <v>966200246</v>
      </c>
      <c r="C1218" s="1" t="str">
        <f>"تخليه - چهارمحال و بختياري-لردگان-سه راهي کوشکي-کيلومتر 7 جاده ياسوج-سه راهي سلح چين-شرکت کارخانه آسفالت کوثر خانميرزا"</f>
        <v>تخليه - چهارمحال و بختياري-لردگان-سه راهي کوشکي-کيلومتر 7 جاده ياسوج-سه راهي سلح چين-شرکت کارخانه آسفالت کوثر خانميرزا</v>
      </c>
      <c r="D1218" s="1">
        <v>8954</v>
      </c>
      <c r="E1218" s="1">
        <v>200920</v>
      </c>
      <c r="F1218" s="1">
        <v>96</v>
      </c>
      <c r="G1218" s="1">
        <v>1080</v>
      </c>
      <c r="H1218" s="1" t="str">
        <f>"96/06/25"</f>
        <v>96/06/25</v>
      </c>
      <c r="I1218" s="1" t="str">
        <f>"كيلوگرم"</f>
        <v>كيلوگرم</v>
      </c>
      <c r="J1218" s="1" t="str">
        <f>"0000000076"</f>
        <v>0000000076</v>
      </c>
      <c r="K1218" s="1" t="str">
        <f>"قير 60/70 - فله"</f>
        <v>قير 60/70 - فله</v>
      </c>
      <c r="L1218" s="1">
        <v>100</v>
      </c>
      <c r="M1218" s="1" t="str">
        <f>"مخازن قير اصفهان"</f>
        <v>مخازن قير اصفهان</v>
      </c>
      <c r="N1218" s="1">
        <v>11281</v>
      </c>
      <c r="O1218" s="1">
        <v>50036051</v>
      </c>
      <c r="P1218" s="1" t="str">
        <f>"  پوياسازه ارمند"</f>
        <v xml:space="preserve">  پوياسازه ارمند</v>
      </c>
      <c r="Q1218" s="1">
        <v>62</v>
      </c>
      <c r="R1218" s="1" t="str">
        <f>"فروش داخلي - سازمان بنيادمسكن انقلاب اسلامي"</f>
        <v>فروش داخلي - سازمان بنيادمسكن انقلاب اسلامي</v>
      </c>
      <c r="S1218" s="1" t="str">
        <f>"قرارداد فروش"</f>
        <v>قرارداد فروش</v>
      </c>
      <c r="T1218" s="1" t="str">
        <f>"ندارد"</f>
        <v>ندارد</v>
      </c>
      <c r="U1218" s="1" t="str">
        <f>"سيفي پور عبدالمجيد(1009ج89)"</f>
        <v>سيفي پور عبدالمجيد(1009ج89)</v>
      </c>
      <c r="V1218" s="1">
        <v>966200246</v>
      </c>
      <c r="W1218" s="1">
        <v>966200246</v>
      </c>
      <c r="X1218" s="1" t="str">
        <f>"1396512673"</f>
        <v>1396512673</v>
      </c>
      <c r="Y1218" s="1" t="str">
        <f>"96/06/25"</f>
        <v>96/06/25</v>
      </c>
      <c r="Z1218" s="1" t="str">
        <f>"27350/د"</f>
        <v>27350/د</v>
      </c>
      <c r="AA1218" s="1" t="str">
        <f>"بنيادمسكن انقلاب اسلامي"</f>
        <v>بنيادمسكن انقلاب اسلامي</v>
      </c>
      <c r="AB1218" s="1" t="str">
        <f>"96/06/22"</f>
        <v>96/06/22</v>
      </c>
      <c r="AC1218" s="1" t="str">
        <f>"استان چهارمحال بختياري"</f>
        <v>استان چهارمحال بختياري</v>
      </c>
      <c r="AD1218" s="1" t="str">
        <f>"96/06/25"</f>
        <v>96/06/25</v>
      </c>
      <c r="AE1218" s="1" t="str">
        <f>"اختتام"</f>
        <v>اختتام</v>
      </c>
      <c r="AF1218" s="1" t="str">
        <f>""</f>
        <v/>
      </c>
      <c r="AG1218" s="1" t="str">
        <f>""</f>
        <v/>
      </c>
      <c r="AH1218" s="1" t="str">
        <f>""</f>
        <v/>
      </c>
      <c r="AI1218" s="1" t="str">
        <f>""</f>
        <v/>
      </c>
      <c r="AJ1218" s="1" t="str">
        <f>""</f>
        <v/>
      </c>
      <c r="AK1218" s="1" t="str">
        <f>""</f>
        <v/>
      </c>
    </row>
    <row r="1219" spans="1:37">
      <c r="A1219" s="1">
        <v>260000</v>
      </c>
      <c r="B1219" s="1">
        <v>966200374</v>
      </c>
      <c r="C1219" s="1" t="str">
        <f>"تخليه - چهارمحال و بختياري-لردگان-سه راهي کوشکي-کيلومتر 7 جاده ياسوج-سه راهي سلح چين-شرکت کارخانه آسفالت کوثر خانميرزا"</f>
        <v>تخليه - چهارمحال و بختياري-لردگان-سه راهي کوشکي-کيلومتر 7 جاده ياسوج-سه راهي سلح چين-شرکت کارخانه آسفالت کوثر خانميرزا</v>
      </c>
      <c r="D1219" s="1">
        <v>9416</v>
      </c>
      <c r="E1219" s="1">
        <v>260000</v>
      </c>
      <c r="F1219" s="1">
        <v>96</v>
      </c>
      <c r="G1219" s="1">
        <v>0</v>
      </c>
      <c r="H1219" s="1" t="str">
        <f>"96/08/17"</f>
        <v>96/08/17</v>
      </c>
      <c r="I1219" s="1" t="str">
        <f>"كيلوگرم"</f>
        <v>كيلوگرم</v>
      </c>
      <c r="J1219" s="1" t="str">
        <f>"0000000076"</f>
        <v>0000000076</v>
      </c>
      <c r="K1219" s="1" t="str">
        <f>"قير 60/70 - فله"</f>
        <v>قير 60/70 - فله</v>
      </c>
      <c r="L1219" s="1">
        <v>100</v>
      </c>
      <c r="M1219" s="1" t="str">
        <f>"مخازن قير اصفهان"</f>
        <v>مخازن قير اصفهان</v>
      </c>
      <c r="N1219" s="1">
        <v>11281</v>
      </c>
      <c r="O1219" s="1">
        <v>50037120</v>
      </c>
      <c r="P1219" s="1" t="str">
        <f>"  پوياسازه ارمند"</f>
        <v xml:space="preserve">  پوياسازه ارمند</v>
      </c>
      <c r="Q1219" s="1">
        <v>62</v>
      </c>
      <c r="R1219" s="1" t="str">
        <f>"فروش داخلي - سازمان بنيادمسكن انقلاب اسلامي"</f>
        <v>فروش داخلي - سازمان بنيادمسكن انقلاب اسلامي</v>
      </c>
      <c r="S1219" s="1" t="str">
        <f>"قرارداد فروش"</f>
        <v>قرارداد فروش</v>
      </c>
      <c r="T1219" s="1" t="str">
        <f>"ندارد"</f>
        <v>ندارد</v>
      </c>
      <c r="U1219" s="1" t="str">
        <f>"ريسماني حسن(1007ج89)"</f>
        <v>ريسماني حسن(1007ج89)</v>
      </c>
      <c r="V1219" s="1">
        <v>966200374</v>
      </c>
      <c r="W1219" s="1">
        <v>966200374</v>
      </c>
      <c r="X1219" s="1" t="str">
        <f>"1396524777"</f>
        <v>1396524777</v>
      </c>
      <c r="Y1219" s="1" t="str">
        <f>"96/08/17"</f>
        <v>96/08/17</v>
      </c>
      <c r="Z1219" s="1" t="str">
        <f>"36794/د"</f>
        <v>36794/د</v>
      </c>
      <c r="AA1219" s="1" t="str">
        <f>"بنيادمسكن انقلاب اسلامي"</f>
        <v>بنيادمسكن انقلاب اسلامي</v>
      </c>
      <c r="AB1219" s="1" t="str">
        <f>"96/08/16"</f>
        <v>96/08/16</v>
      </c>
      <c r="AC1219" s="1" t="str">
        <f>"استان چهارمحال بختياري"</f>
        <v>استان چهارمحال بختياري</v>
      </c>
      <c r="AD1219" s="1" t="str">
        <f>"96/08/17"</f>
        <v>96/08/17</v>
      </c>
      <c r="AE1219" s="1" t="str">
        <f>"اختتام"</f>
        <v>اختتام</v>
      </c>
      <c r="AF1219" s="1" t="str">
        <f>""</f>
        <v/>
      </c>
      <c r="AG1219" s="1" t="str">
        <f>""</f>
        <v/>
      </c>
      <c r="AH1219" s="1" t="str">
        <f>""</f>
        <v/>
      </c>
      <c r="AI1219" s="1" t="str">
        <f>""</f>
        <v/>
      </c>
      <c r="AJ1219" s="1" t="str">
        <f>""</f>
        <v/>
      </c>
      <c r="AK1219" s="1" t="str">
        <f>""</f>
        <v/>
      </c>
    </row>
    <row r="1220" spans="1:37">
      <c r="A1220" s="1">
        <v>1000000</v>
      </c>
      <c r="B1220" s="1">
        <v>961900069</v>
      </c>
      <c r="C1220" s="1" t="str">
        <f>"تخليه -هرمزگان -محوررودان -كهنوج -كارخانه آسفالت شركت پي وپل جنوب"</f>
        <v>تخليه -هرمزگان -محوررودان -كهنوج -كارخانه آسفالت شركت پي وپل جنوب</v>
      </c>
      <c r="D1220" s="1">
        <v>8854</v>
      </c>
      <c r="E1220" s="1">
        <v>997820</v>
      </c>
      <c r="F1220" s="1">
        <v>96</v>
      </c>
      <c r="G1220" s="1">
        <v>2180</v>
      </c>
      <c r="H1220" s="1" t="str">
        <f>"96/04/21"</f>
        <v>96/04/21</v>
      </c>
      <c r="I1220" s="1" t="str">
        <f>"كيلوگرم"</f>
        <v>كيلوگرم</v>
      </c>
      <c r="J1220" s="1" t="str">
        <f>"0000000092"</f>
        <v>0000000092</v>
      </c>
      <c r="K1220" s="1" t="str">
        <f>"قير  PG64-16"</f>
        <v>قير  PG64-16</v>
      </c>
      <c r="L1220" s="1">
        <v>100</v>
      </c>
      <c r="M1220" s="1" t="str">
        <f>"مخازن قير اصفهان"</f>
        <v>مخازن قير اصفهان</v>
      </c>
      <c r="N1220" s="1">
        <v>10547</v>
      </c>
      <c r="O1220" s="1">
        <v>50035181</v>
      </c>
      <c r="P1220" s="1" t="str">
        <f>"  پي و پل جنوب"</f>
        <v xml:space="preserve">  پي و پل جنوب</v>
      </c>
      <c r="Q1220" s="1">
        <v>19</v>
      </c>
      <c r="R122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220" s="1" t="str">
        <f>"قرارداد فروش"</f>
        <v>قرارداد فروش</v>
      </c>
      <c r="T1220" s="1" t="str">
        <f>"ندارد"</f>
        <v>ندارد</v>
      </c>
      <c r="U1220" s="1" t="str">
        <f>"قره باغي مجيد(1871065)"</f>
        <v>قره باغي مجيد(1871065)</v>
      </c>
      <c r="V1220" s="1">
        <v>961900069</v>
      </c>
      <c r="W1220" s="1">
        <v>961900069</v>
      </c>
      <c r="X1220" s="1" t="str">
        <f>"1396496300"</f>
        <v>1396496300</v>
      </c>
      <c r="Y1220" s="1" t="str">
        <f>"96/04/21"</f>
        <v>96/04/21</v>
      </c>
      <c r="Z1220" s="1" t="str">
        <f>"17758/710"</f>
        <v>17758/710</v>
      </c>
      <c r="AA1220" s="1" t="str">
        <f>"سازمان راهداري وحمل نقل جاده اي"</f>
        <v>سازمان راهداري وحمل نقل جاده اي</v>
      </c>
      <c r="AB1220" s="1" t="str">
        <f>"96/04/20"</f>
        <v>96/04/20</v>
      </c>
      <c r="AC1220" s="1" t="str">
        <f>"استان هرمزگان"</f>
        <v>استان هرمزگان</v>
      </c>
      <c r="AD1220" s="1" t="str">
        <f>"96/04/21"</f>
        <v>96/04/21</v>
      </c>
      <c r="AE1220" s="1" t="str">
        <f>"اختتام"</f>
        <v>اختتام</v>
      </c>
      <c r="AF1220" s="1" t="str">
        <f>""</f>
        <v/>
      </c>
      <c r="AG1220" s="1" t="str">
        <f>""</f>
        <v/>
      </c>
      <c r="AH1220" s="1" t="str">
        <f>""</f>
        <v/>
      </c>
      <c r="AI1220" s="1" t="str">
        <f>""</f>
        <v/>
      </c>
      <c r="AJ1220" s="1" t="str">
        <f>""</f>
        <v/>
      </c>
      <c r="AK1220" s="1" t="str">
        <f>""</f>
        <v/>
      </c>
    </row>
    <row r="1221" spans="1:37">
      <c r="A1221" s="1">
        <v>1000000</v>
      </c>
      <c r="B1221" s="1">
        <v>961700030</v>
      </c>
      <c r="C1221" s="1" t="str">
        <f>"تخليه -هرمزگان -محوررودان -كهنوج -كارخانه آسفالت شركت پي وپل جنوب"</f>
        <v>تخليه -هرمزگان -محوررودان -كهنوج -كارخانه آسفالت شركت پي وپل جنوب</v>
      </c>
      <c r="D1221" s="1">
        <v>8904</v>
      </c>
      <c r="E1221" s="1">
        <v>1000000</v>
      </c>
      <c r="F1221" s="1">
        <v>96</v>
      </c>
      <c r="G1221" s="1">
        <v>0</v>
      </c>
      <c r="H1221" s="1" t="str">
        <f>"96/05/03"</f>
        <v>96/05/03</v>
      </c>
      <c r="I1221" s="1" t="str">
        <f>"كيلوگرم"</f>
        <v>كيلوگرم</v>
      </c>
      <c r="J1221" s="1" t="str">
        <f>"0000000092"</f>
        <v>0000000092</v>
      </c>
      <c r="K1221" s="1" t="str">
        <f>"قير  PG64-16"</f>
        <v>قير  PG64-16</v>
      </c>
      <c r="L1221" s="1">
        <v>100</v>
      </c>
      <c r="M1221" s="1" t="str">
        <f>"مخازن قير اصفهان"</f>
        <v>مخازن قير اصفهان</v>
      </c>
      <c r="N1221" s="1">
        <v>10547</v>
      </c>
      <c r="O1221" s="1">
        <v>50035332</v>
      </c>
      <c r="P1221" s="1" t="str">
        <f>"  پي و پل جنوب"</f>
        <v xml:space="preserve">  پي و پل جنوب</v>
      </c>
      <c r="Q1221" s="1">
        <v>17</v>
      </c>
      <c r="R1221" s="1" t="str">
        <f>"فروش داخلي تهران - وزارت راه - راه روستايي - روکش"</f>
        <v>فروش داخلي تهران - وزارت راه - راه روستايي - روکش</v>
      </c>
      <c r="S1221" s="1" t="str">
        <f>"قرارداد فروش"</f>
        <v>قرارداد فروش</v>
      </c>
      <c r="T1221" s="1" t="str">
        <f>"ندارد"</f>
        <v>ندارد</v>
      </c>
      <c r="U1221" s="1" t="str">
        <f>"قره باغي مجيد(1871065)"</f>
        <v>قره باغي مجيد(1871065)</v>
      </c>
      <c r="V1221" s="1">
        <v>961700030</v>
      </c>
      <c r="W1221" s="1">
        <v>961700030</v>
      </c>
      <c r="X1221" s="1" t="str">
        <f>"1396499656"</f>
        <v>1396499656</v>
      </c>
      <c r="Y1221" s="1" t="str">
        <f>"96/05/03"</f>
        <v>96/05/03</v>
      </c>
      <c r="Z1221" s="1" t="str">
        <f>"19352/710"</f>
        <v>19352/710</v>
      </c>
      <c r="AA1221" s="1" t="str">
        <f>"راه روستائي -روكش"</f>
        <v>راه روستائي -روكش</v>
      </c>
      <c r="AB1221" s="1" t="str">
        <f>"96/04/27"</f>
        <v>96/04/27</v>
      </c>
      <c r="AC1221" s="1" t="str">
        <f>"استان هرمزگان"</f>
        <v>استان هرمزگان</v>
      </c>
      <c r="AD1221" s="1" t="str">
        <f>"96/05/03"</f>
        <v>96/05/03</v>
      </c>
      <c r="AE1221" s="1" t="str">
        <f>"اختتام"</f>
        <v>اختتام</v>
      </c>
      <c r="AF1221" s="1" t="str">
        <f>""</f>
        <v/>
      </c>
      <c r="AG1221" s="1" t="str">
        <f>""</f>
        <v/>
      </c>
      <c r="AH1221" s="1" t="str">
        <f>""</f>
        <v/>
      </c>
      <c r="AI1221" s="1" t="str">
        <f>""</f>
        <v/>
      </c>
      <c r="AJ1221" s="1" t="str">
        <f>""</f>
        <v/>
      </c>
      <c r="AK1221" s="1" t="str">
        <f>""</f>
        <v/>
      </c>
    </row>
    <row r="1222" spans="1:37">
      <c r="A1222" s="1">
        <v>1000000</v>
      </c>
      <c r="B1222" s="1">
        <v>961800064</v>
      </c>
      <c r="C1222" s="1" t="str">
        <f>"تخليه -جنوب كرمان -محوررودان -كهنوج -كارخانه آسفالت شركت پي وپل جنوب"</f>
        <v>تخليه -جنوب كرمان -محوررودان -كهنوج -كارخانه آسفالت شركت پي وپل جنوب</v>
      </c>
      <c r="D1222" s="1">
        <v>9716</v>
      </c>
      <c r="E1222" s="1">
        <v>1000000</v>
      </c>
      <c r="F1222" s="1">
        <v>96</v>
      </c>
      <c r="G1222" s="1">
        <v>0</v>
      </c>
      <c r="H1222" s="1" t="str">
        <f>"96/07/17"</f>
        <v>96/07/17</v>
      </c>
      <c r="I1222" s="1" t="str">
        <f>"كيلوگرم"</f>
        <v>كيلوگرم</v>
      </c>
      <c r="J1222" s="1" t="str">
        <f>"0000000092"</f>
        <v>0000000092</v>
      </c>
      <c r="K1222" s="1" t="str">
        <f>"قير  PG64-16"</f>
        <v>قير  PG64-16</v>
      </c>
      <c r="L1222" s="1">
        <v>100</v>
      </c>
      <c r="M1222" s="1" t="str">
        <f>"مخازن قير اصفهان"</f>
        <v>مخازن قير اصفهان</v>
      </c>
      <c r="N1222" s="1">
        <v>10547</v>
      </c>
      <c r="O1222" s="1">
        <v>50036616</v>
      </c>
      <c r="P1222" s="1" t="str">
        <f>"  پي و پل جنوب"</f>
        <v xml:space="preserve">  پي و پل جنوب</v>
      </c>
      <c r="Q1222" s="1">
        <v>18</v>
      </c>
      <c r="R1222" s="1" t="str">
        <f>"فروش داخلي تهران - وزارت راه - شرکت ساخت و توسعه راهها"</f>
        <v>فروش داخلي تهران - وزارت راه - شرکت ساخت و توسعه راهها</v>
      </c>
      <c r="S1222" s="1" t="str">
        <f>"قرارداد فروش"</f>
        <v>قرارداد فروش</v>
      </c>
      <c r="T1222" s="1" t="str">
        <f>"ندارد"</f>
        <v>ندارد</v>
      </c>
      <c r="U1222" s="1" t="str">
        <f>"قره باغي مجيد(1871065)"</f>
        <v>قره باغي مجيد(1871065)</v>
      </c>
      <c r="V1222" s="1">
        <v>961800064</v>
      </c>
      <c r="W1222" s="1">
        <v>961800064</v>
      </c>
      <c r="X1222" s="1" t="str">
        <f>"1396517387"</f>
        <v>1396517387</v>
      </c>
      <c r="Y1222" s="1" t="str">
        <f>"96/07/17"</f>
        <v>96/07/17</v>
      </c>
      <c r="Z1222" s="1" t="str">
        <f>"34625/710"</f>
        <v>34625/710</v>
      </c>
      <c r="AA1222" s="1" t="str">
        <f>"شركت  ساخت وتوسعه راهها"</f>
        <v>شركت  ساخت وتوسعه راهها</v>
      </c>
      <c r="AB1222" s="1" t="str">
        <f>"96/07/15"</f>
        <v>96/07/15</v>
      </c>
      <c r="AC1222" s="1" t="str">
        <f>"جنوب کرمان"</f>
        <v>جنوب کرمان</v>
      </c>
      <c r="AD1222" s="1" t="str">
        <f>"96/07/17"</f>
        <v>96/07/17</v>
      </c>
      <c r="AE1222" s="1" t="str">
        <f>"اختتام"</f>
        <v>اختتام</v>
      </c>
      <c r="AF1222" s="1" t="str">
        <f>""</f>
        <v/>
      </c>
      <c r="AG1222" s="1" t="str">
        <f>""</f>
        <v/>
      </c>
      <c r="AH1222" s="1" t="str">
        <f>""</f>
        <v/>
      </c>
      <c r="AI1222" s="1" t="str">
        <f>""</f>
        <v/>
      </c>
      <c r="AJ1222" s="1" t="str">
        <f>""</f>
        <v/>
      </c>
      <c r="AK1222" s="1" t="str">
        <f>""</f>
        <v/>
      </c>
    </row>
    <row r="1223" spans="1:37">
      <c r="A1223" s="1">
        <v>25000</v>
      </c>
      <c r="B1223" s="1">
        <v>961700114</v>
      </c>
      <c r="C1223" s="1" t="str">
        <f>"تخليه -جنوب كرمان -محوررودان -كهنوج -كارخانه آسفالت شركت پي وپل جنوب"</f>
        <v>تخليه -جنوب كرمان -محوررودان -كهنوج -كارخانه آسفالت شركت پي وپل جنوب</v>
      </c>
      <c r="D1223" s="1">
        <v>9363</v>
      </c>
      <c r="E1223" s="1">
        <v>25000</v>
      </c>
      <c r="F1223" s="1">
        <v>96</v>
      </c>
      <c r="G1223" s="1">
        <v>0</v>
      </c>
      <c r="H1223" s="1" t="str">
        <f>"96/07/17"</f>
        <v>96/07/17</v>
      </c>
      <c r="I1223" s="1" t="str">
        <f>"كيلوگرم"</f>
        <v>كيلوگرم</v>
      </c>
      <c r="J1223" s="1" t="str">
        <f>"0000000092"</f>
        <v>0000000092</v>
      </c>
      <c r="K1223" s="1" t="str">
        <f>"قير  PG64-16"</f>
        <v>قير  PG64-16</v>
      </c>
      <c r="L1223" s="1">
        <v>100</v>
      </c>
      <c r="M1223" s="1" t="str">
        <f>"مخازن قير اصفهان"</f>
        <v>مخازن قير اصفهان</v>
      </c>
      <c r="N1223" s="1">
        <v>10547</v>
      </c>
      <c r="O1223" s="1">
        <v>50036621</v>
      </c>
      <c r="P1223" s="1" t="str">
        <f>"  پي و پل جنوب"</f>
        <v xml:space="preserve">  پي و پل جنوب</v>
      </c>
      <c r="Q1223" s="1">
        <v>17</v>
      </c>
      <c r="R1223" s="1" t="str">
        <f>"فروش داخلي تهران - وزارت راه - راه روستايي - روکش"</f>
        <v>فروش داخلي تهران - وزارت راه - راه روستايي - روکش</v>
      </c>
      <c r="S1223" s="1" t="str">
        <f>"قرارداد فروش"</f>
        <v>قرارداد فروش</v>
      </c>
      <c r="T1223" s="1" t="str">
        <f>"ندارد"</f>
        <v>ندارد</v>
      </c>
      <c r="U1223" s="1" t="str">
        <f>"قره باغي مجيد(1871065)"</f>
        <v>قره باغي مجيد(1871065)</v>
      </c>
      <c r="V1223" s="1">
        <v>961700114</v>
      </c>
      <c r="W1223" s="1">
        <v>961700114</v>
      </c>
      <c r="X1223" s="1" t="str">
        <f>"1396517387"</f>
        <v>1396517387</v>
      </c>
      <c r="Y1223" s="1" t="str">
        <f>"96/07/17"</f>
        <v>96/07/17</v>
      </c>
      <c r="Z1223" s="1" t="str">
        <f>"34761/710"</f>
        <v>34761/710</v>
      </c>
      <c r="AA1223" s="1" t="str">
        <f>"راه روستائي -روكش"</f>
        <v>راه روستائي -روكش</v>
      </c>
      <c r="AB1223" s="1" t="str">
        <f>"96/07/16"</f>
        <v>96/07/16</v>
      </c>
      <c r="AC1223" s="1" t="str">
        <f>"جنوب کرمان"</f>
        <v>جنوب کرمان</v>
      </c>
      <c r="AD1223" s="1" t="str">
        <f>"96/07/17"</f>
        <v>96/07/17</v>
      </c>
      <c r="AE1223" s="1" t="str">
        <f>"اختتام"</f>
        <v>اختتام</v>
      </c>
      <c r="AF1223" s="1" t="str">
        <f>""</f>
        <v/>
      </c>
      <c r="AG1223" s="1" t="str">
        <f>""</f>
        <v/>
      </c>
      <c r="AH1223" s="1" t="str">
        <f>""</f>
        <v/>
      </c>
      <c r="AI1223" s="1" t="str">
        <f>""</f>
        <v/>
      </c>
      <c r="AJ1223" s="1" t="str">
        <f>""</f>
        <v/>
      </c>
      <c r="AK1223" s="1" t="str">
        <f>""</f>
        <v/>
      </c>
    </row>
    <row r="1224" spans="1:37">
      <c r="A1224" s="1">
        <v>30000</v>
      </c>
      <c r="B1224" s="1">
        <v>961700118</v>
      </c>
      <c r="C1224" s="1" t="str">
        <f>"تخليه -جنوب كرمان -محوررودان -كهنوج -كارخانه آسفالت شركت پي وپل جنوب"</f>
        <v>تخليه -جنوب كرمان -محوررودان -كهنوج -كارخانه آسفالت شركت پي وپل جنوب</v>
      </c>
      <c r="D1224" s="1">
        <v>9363</v>
      </c>
      <c r="E1224" s="1">
        <v>30000</v>
      </c>
      <c r="F1224" s="1">
        <v>96</v>
      </c>
      <c r="G1224" s="1">
        <v>0</v>
      </c>
      <c r="H1224" s="1" t="str">
        <f>"96/07/17"</f>
        <v>96/07/17</v>
      </c>
      <c r="I1224" s="1" t="str">
        <f>"كيلوگرم"</f>
        <v>كيلوگرم</v>
      </c>
      <c r="J1224" s="1" t="str">
        <f>"0000000092"</f>
        <v>0000000092</v>
      </c>
      <c r="K1224" s="1" t="str">
        <f>"قير  PG64-16"</f>
        <v>قير  PG64-16</v>
      </c>
      <c r="L1224" s="1">
        <v>100</v>
      </c>
      <c r="M1224" s="1" t="str">
        <f>"مخازن قير اصفهان"</f>
        <v>مخازن قير اصفهان</v>
      </c>
      <c r="N1224" s="1">
        <v>10547</v>
      </c>
      <c r="O1224" s="1">
        <v>50036625</v>
      </c>
      <c r="P1224" s="1" t="str">
        <f>"  پي و پل جنوب"</f>
        <v xml:space="preserve">  پي و پل جنوب</v>
      </c>
      <c r="Q1224" s="1">
        <v>17</v>
      </c>
      <c r="R1224" s="1" t="str">
        <f>"فروش داخلي تهران - وزارت راه - راه روستايي - روکش"</f>
        <v>فروش داخلي تهران - وزارت راه - راه روستايي - روکش</v>
      </c>
      <c r="S1224" s="1" t="str">
        <f>"قرارداد فروش"</f>
        <v>قرارداد فروش</v>
      </c>
      <c r="T1224" s="1" t="str">
        <f>"ندارد"</f>
        <v>ندارد</v>
      </c>
      <c r="U1224" s="1" t="str">
        <f>"قره باغي مجيد(1871065)"</f>
        <v>قره باغي مجيد(1871065)</v>
      </c>
      <c r="V1224" s="1">
        <v>961700118</v>
      </c>
      <c r="W1224" s="1">
        <v>961700118</v>
      </c>
      <c r="X1224" s="1" t="str">
        <f>"1396517387"</f>
        <v>1396517387</v>
      </c>
      <c r="Y1224" s="1" t="str">
        <f>"96/07/17"</f>
        <v>96/07/17</v>
      </c>
      <c r="Z1224" s="1" t="str">
        <f>"34609/710"</f>
        <v>34609/710</v>
      </c>
      <c r="AA1224" s="1" t="str">
        <f>"راه روستائي -روكش"</f>
        <v>راه روستائي -روكش</v>
      </c>
      <c r="AB1224" s="1" t="str">
        <f>"96/07/15"</f>
        <v>96/07/15</v>
      </c>
      <c r="AC1224" s="1" t="str">
        <f>"جنوب کرمان"</f>
        <v>جنوب کرمان</v>
      </c>
      <c r="AD1224" s="1" t="str">
        <f>"96/07/17"</f>
        <v>96/07/17</v>
      </c>
      <c r="AE1224" s="1" t="str">
        <f>"اختتام"</f>
        <v>اختتام</v>
      </c>
      <c r="AF1224" s="1" t="str">
        <f>""</f>
        <v/>
      </c>
      <c r="AG1224" s="1" t="str">
        <f>""</f>
        <v/>
      </c>
      <c r="AH1224" s="1" t="str">
        <f>""</f>
        <v/>
      </c>
      <c r="AI1224" s="1" t="str">
        <f>""</f>
        <v/>
      </c>
      <c r="AJ1224" s="1" t="str">
        <f>""</f>
        <v/>
      </c>
      <c r="AK1224" s="1" t="str">
        <f>""</f>
        <v/>
      </c>
    </row>
    <row r="1225" spans="1:37">
      <c r="A1225" s="1">
        <v>116000</v>
      </c>
      <c r="B1225" s="1">
        <v>961700123</v>
      </c>
      <c r="C1225" s="1" t="str">
        <f>"تخليه -جنوب كرمان -محوررودان -كهنوج -كارخانه آسفالت شركت پي وپل جنوب"</f>
        <v>تخليه -جنوب كرمان -محوررودان -كهنوج -كارخانه آسفالت شركت پي وپل جنوب</v>
      </c>
      <c r="D1225" s="1">
        <v>9363</v>
      </c>
      <c r="E1225" s="1">
        <v>116000</v>
      </c>
      <c r="F1225" s="1">
        <v>96</v>
      </c>
      <c r="G1225" s="1">
        <v>0</v>
      </c>
      <c r="H1225" s="1" t="str">
        <f>"96/07/17"</f>
        <v>96/07/17</v>
      </c>
      <c r="I1225" s="1" t="str">
        <f>"كيلوگرم"</f>
        <v>كيلوگرم</v>
      </c>
      <c r="J1225" s="1" t="str">
        <f>"0000000092"</f>
        <v>0000000092</v>
      </c>
      <c r="K1225" s="1" t="str">
        <f>"قير  PG64-16"</f>
        <v>قير  PG64-16</v>
      </c>
      <c r="L1225" s="1">
        <v>100</v>
      </c>
      <c r="M1225" s="1" t="str">
        <f>"مخازن قير اصفهان"</f>
        <v>مخازن قير اصفهان</v>
      </c>
      <c r="N1225" s="1">
        <v>10547</v>
      </c>
      <c r="O1225" s="1">
        <v>50036632</v>
      </c>
      <c r="P1225" s="1" t="str">
        <f>"  پي و پل جنوب"</f>
        <v xml:space="preserve">  پي و پل جنوب</v>
      </c>
      <c r="Q1225" s="1">
        <v>17</v>
      </c>
      <c r="R1225" s="1" t="str">
        <f>"فروش داخلي تهران - وزارت راه - راه روستايي - روکش"</f>
        <v>فروش داخلي تهران - وزارت راه - راه روستايي - روکش</v>
      </c>
      <c r="S1225" s="1" t="str">
        <f>"قرارداد فروش"</f>
        <v>قرارداد فروش</v>
      </c>
      <c r="T1225" s="1" t="str">
        <f>"ندارد"</f>
        <v>ندارد</v>
      </c>
      <c r="U1225" s="1" t="str">
        <f>"قره باغي مجيد(1871065)"</f>
        <v>قره باغي مجيد(1871065)</v>
      </c>
      <c r="V1225" s="1">
        <v>961700123</v>
      </c>
      <c r="W1225" s="1">
        <v>961700123</v>
      </c>
      <c r="X1225" s="1" t="str">
        <f>"1396517387"</f>
        <v>1396517387</v>
      </c>
      <c r="Y1225" s="1" t="str">
        <f>"96/07/17"</f>
        <v>96/07/17</v>
      </c>
      <c r="Z1225" s="1" t="str">
        <f>"34621/710"</f>
        <v>34621/710</v>
      </c>
      <c r="AA1225" s="1" t="str">
        <f>"راه روستائي -روكش"</f>
        <v>راه روستائي -روكش</v>
      </c>
      <c r="AB1225" s="1" t="str">
        <f>"96/07/15"</f>
        <v>96/07/15</v>
      </c>
      <c r="AC1225" s="1" t="str">
        <f>"جنوب کرمان"</f>
        <v>جنوب کرمان</v>
      </c>
      <c r="AD1225" s="1" t="str">
        <f>"96/07/17"</f>
        <v>96/07/17</v>
      </c>
      <c r="AE1225" s="1" t="str">
        <f>"اختتام"</f>
        <v>اختتام</v>
      </c>
      <c r="AF1225" s="1" t="str">
        <f>""</f>
        <v/>
      </c>
      <c r="AG1225" s="1" t="str">
        <f>""</f>
        <v/>
      </c>
      <c r="AH1225" s="1" t="str">
        <f>""</f>
        <v/>
      </c>
      <c r="AI1225" s="1" t="str">
        <f>""</f>
        <v/>
      </c>
      <c r="AJ1225" s="1" t="str">
        <f>""</f>
        <v/>
      </c>
      <c r="AK1225" s="1" t="str">
        <f>""</f>
        <v/>
      </c>
    </row>
    <row r="1226" spans="1:37">
      <c r="A1226" s="1">
        <v>1500000</v>
      </c>
      <c r="B1226" s="1">
        <v>961900175</v>
      </c>
      <c r="C1226" s="1" t="str">
        <f>"تخليه -هرمزگان -محوررودان -كهنوج -كارخانه آسفالت شركت پي وپل جنوب"</f>
        <v>تخليه -هرمزگان -محوررودان -كهنوج -كارخانه آسفالت شركت پي وپل جنوب</v>
      </c>
      <c r="D1226" s="1">
        <v>9716</v>
      </c>
      <c r="E1226" s="1">
        <v>1498420</v>
      </c>
      <c r="F1226" s="1">
        <v>96</v>
      </c>
      <c r="G1226" s="1">
        <v>1580</v>
      </c>
      <c r="H1226" s="1" t="str">
        <f>"96/07/26"</f>
        <v>96/07/26</v>
      </c>
      <c r="I1226" s="1" t="str">
        <f>"كيلوگرم"</f>
        <v>كيلوگرم</v>
      </c>
      <c r="J1226" s="1" t="str">
        <f>"0000000092"</f>
        <v>0000000092</v>
      </c>
      <c r="K1226" s="1" t="str">
        <f>"قير  PG64-16"</f>
        <v>قير  PG64-16</v>
      </c>
      <c r="L1226" s="1">
        <v>100</v>
      </c>
      <c r="M1226" s="1" t="str">
        <f>"مخازن قير اصفهان"</f>
        <v>مخازن قير اصفهان</v>
      </c>
      <c r="N1226" s="1">
        <v>10547</v>
      </c>
      <c r="O1226" s="1">
        <v>50036809</v>
      </c>
      <c r="P1226" s="1" t="str">
        <f>"  پي و پل جنوب"</f>
        <v xml:space="preserve">  پي و پل جنوب</v>
      </c>
      <c r="Q1226" s="1">
        <v>19</v>
      </c>
      <c r="R122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226" s="1" t="str">
        <f>"قرارداد فروش"</f>
        <v>قرارداد فروش</v>
      </c>
      <c r="T1226" s="1" t="str">
        <f>"ندارد"</f>
        <v>ندارد</v>
      </c>
      <c r="U1226" s="1" t="str">
        <f>"قره باغي مجيد(1871065)"</f>
        <v>قره باغي مجيد(1871065)</v>
      </c>
      <c r="V1226" s="1">
        <v>961900175</v>
      </c>
      <c r="W1226" s="1">
        <v>961900175</v>
      </c>
      <c r="X1226" s="1" t="str">
        <f>"1396519913"</f>
        <v>1396519913</v>
      </c>
      <c r="Y1226" s="1" t="str">
        <f>"96/07/26"</f>
        <v>96/07/26</v>
      </c>
      <c r="Z1226" s="1" t="str">
        <f>"36810/710"</f>
        <v>36810/710</v>
      </c>
      <c r="AA1226" s="1" t="str">
        <f>"سازمان راهداري وحمل نقل جاده اي"</f>
        <v>سازمان راهداري وحمل نقل جاده اي</v>
      </c>
      <c r="AB1226" s="1" t="str">
        <f>"96/07/25"</f>
        <v>96/07/25</v>
      </c>
      <c r="AC1226" s="1" t="str">
        <f>"استان هرمزگان"</f>
        <v>استان هرمزگان</v>
      </c>
      <c r="AD1226" s="1" t="str">
        <f>"96/07/26"</f>
        <v>96/07/26</v>
      </c>
      <c r="AE1226" s="1" t="str">
        <f>"اختتام"</f>
        <v>اختتام</v>
      </c>
      <c r="AF1226" s="1" t="str">
        <f>""</f>
        <v/>
      </c>
      <c r="AG1226" s="1" t="str">
        <f>""</f>
        <v/>
      </c>
      <c r="AH1226" s="1" t="str">
        <f>""</f>
        <v/>
      </c>
      <c r="AI1226" s="1" t="str">
        <f>""</f>
        <v/>
      </c>
      <c r="AJ1226" s="1" t="str">
        <f>""</f>
        <v/>
      </c>
      <c r="AK1226" s="1" t="str">
        <f>""</f>
        <v/>
      </c>
    </row>
    <row r="1227" spans="1:37">
      <c r="A1227" s="1">
        <v>500000</v>
      </c>
      <c r="B1227" s="1">
        <v>961700258</v>
      </c>
      <c r="C1227" s="1" t="str">
        <f>"تخليه -هرمزگان -محوررودان -كهنوج -كارخانه آسفالت شركت پي وپل جنوب"</f>
        <v>تخليه -هرمزگان -محوررودان -كهنوج -كارخانه آسفالت شركت پي وپل جنوب</v>
      </c>
      <c r="D1227" s="1">
        <v>14000</v>
      </c>
      <c r="E1227" s="1">
        <v>500000</v>
      </c>
      <c r="F1227" s="1">
        <v>96</v>
      </c>
      <c r="G1227" s="1">
        <v>0</v>
      </c>
      <c r="H1227" s="1" t="str">
        <f>"96/12/26"</f>
        <v>96/12/26</v>
      </c>
      <c r="I1227" s="1" t="str">
        <f>"كيلوگرم"</f>
        <v>كيلوگرم</v>
      </c>
      <c r="J1227" s="1" t="str">
        <f>"0000000092"</f>
        <v>0000000092</v>
      </c>
      <c r="K1227" s="1" t="str">
        <f>"قير  PG64-16"</f>
        <v>قير  PG64-16</v>
      </c>
      <c r="L1227" s="1">
        <v>100</v>
      </c>
      <c r="M1227" s="1" t="str">
        <f>"مخازن قير اصفهان"</f>
        <v>مخازن قير اصفهان</v>
      </c>
      <c r="N1227" s="1">
        <v>10547</v>
      </c>
      <c r="O1227" s="1">
        <v>50039060</v>
      </c>
      <c r="P1227" s="1" t="str">
        <f>"  پي و پل جنوب"</f>
        <v xml:space="preserve">  پي و پل جنوب</v>
      </c>
      <c r="Q1227" s="1">
        <v>17</v>
      </c>
      <c r="R1227" s="1" t="str">
        <f>"فروش داخلي تهران - وزارت راه - راه روستايي - روکش"</f>
        <v>فروش داخلي تهران - وزارت راه - راه روستايي - روکش</v>
      </c>
      <c r="S1227" s="1" t="str">
        <f>"قرارداد فروش"</f>
        <v>قرارداد فروش</v>
      </c>
      <c r="T1227" s="1" t="str">
        <f>"ندارد"</f>
        <v>ندارد</v>
      </c>
      <c r="U1227" s="1" t="str">
        <f>"قره باغي مجيد(1871065)"</f>
        <v>قره باغي مجيد(1871065)</v>
      </c>
      <c r="V1227" s="1">
        <v>961700258</v>
      </c>
      <c r="W1227" s="1">
        <v>961700258</v>
      </c>
      <c r="X1227" s="1" t="str">
        <f>"1396555377"</f>
        <v>1396555377</v>
      </c>
      <c r="Y1227" s="1" t="str">
        <f>"96/12/26"</f>
        <v>96/12/26</v>
      </c>
      <c r="Z1227" s="1" t="str">
        <f>"300077/870"</f>
        <v>300077/870</v>
      </c>
      <c r="AA1227" s="1" t="str">
        <f>"راه روستائي -روكش"</f>
        <v>راه روستائي -روكش</v>
      </c>
      <c r="AB1227" s="1" t="str">
        <f>"96/12/22"</f>
        <v>96/12/22</v>
      </c>
      <c r="AC1227" s="1" t="str">
        <f>"استان هرمزگان"</f>
        <v>استان هرمزگان</v>
      </c>
      <c r="AD1227" s="1" t="str">
        <f>"96/12/26"</f>
        <v>96/12/26</v>
      </c>
      <c r="AE1227" s="1" t="str">
        <f>"اختتام"</f>
        <v>اختتام</v>
      </c>
      <c r="AF1227" s="1" t="str">
        <f>""</f>
        <v/>
      </c>
      <c r="AG1227" s="1" t="str">
        <f>""</f>
        <v/>
      </c>
      <c r="AH1227" s="1" t="str">
        <f>""</f>
        <v/>
      </c>
      <c r="AI1227" s="1" t="str">
        <f>""</f>
        <v/>
      </c>
      <c r="AJ1227" s="1" t="str">
        <f>""</f>
        <v/>
      </c>
      <c r="AK1227" s="1" t="str">
        <f>""</f>
        <v/>
      </c>
    </row>
    <row r="1228" spans="1:37">
      <c r="A1228" s="1">
        <v>40000</v>
      </c>
      <c r="B1228" s="1">
        <v>966200520</v>
      </c>
      <c r="C1228" s="1" t="str">
        <f>"تخليه - گيلان -لوشان-ورودي گنجه-کارخانه آسفالت رامتين سازه گيلان"</f>
        <v>تخليه - گيلان -لوشان-ورودي گنجه-کارخانه آسفالت رامتين سازه گيلان</v>
      </c>
      <c r="D1228" s="1">
        <v>13100</v>
      </c>
      <c r="E1228" s="1">
        <v>39380</v>
      </c>
      <c r="F1228" s="1">
        <v>96</v>
      </c>
      <c r="G1228" s="1">
        <v>620</v>
      </c>
      <c r="H1228" s="1" t="str">
        <f>"96/10/20"</f>
        <v>96/10/20</v>
      </c>
      <c r="I1228" s="1" t="str">
        <f>"كيلوگرم"</f>
        <v>كيلوگرم</v>
      </c>
      <c r="J1228" s="1" t="str">
        <f>"0000000093"</f>
        <v>0000000093</v>
      </c>
      <c r="K1228" s="1" t="str">
        <f>"قير  PG64-10"</f>
        <v>قير  PG64-10</v>
      </c>
      <c r="L1228" s="1">
        <v>100</v>
      </c>
      <c r="M1228" s="1" t="str">
        <f>"مخازن قير اصفهان"</f>
        <v>مخازن قير اصفهان</v>
      </c>
      <c r="N1228" s="1">
        <v>10458</v>
      </c>
      <c r="O1228" s="1">
        <v>50038123</v>
      </c>
      <c r="P1228" s="1" t="str">
        <f>"  رامتين سازه گيلان"</f>
        <v xml:space="preserve">  رامتين سازه گيلان</v>
      </c>
      <c r="Q1228" s="1">
        <v>62</v>
      </c>
      <c r="R1228" s="1" t="str">
        <f>"فروش داخلي - سازمان بنيادمسكن انقلاب اسلامي"</f>
        <v>فروش داخلي - سازمان بنيادمسكن انقلاب اسلامي</v>
      </c>
      <c r="S1228" s="1" t="str">
        <f>"قرارداد فروش"</f>
        <v>قرارداد فروش</v>
      </c>
      <c r="T1228" s="1" t="str">
        <f>"ندارد"</f>
        <v>ندارد</v>
      </c>
      <c r="U1228" s="1" t="str">
        <f>"حاج صادقي باقر(1841027)"</f>
        <v>حاج صادقي باقر(1841027)</v>
      </c>
      <c r="V1228" s="1">
        <v>966200520</v>
      </c>
      <c r="W1228" s="1">
        <v>966200520</v>
      </c>
      <c r="X1228" s="1" t="str">
        <f>"1396539512"</f>
        <v>1396539512</v>
      </c>
      <c r="Y1228" s="1" t="str">
        <f>"96/10/20"</f>
        <v>96/10/20</v>
      </c>
      <c r="Z1228" s="1" t="str">
        <f>"46754/د"</f>
        <v>46754/د</v>
      </c>
      <c r="AA1228" s="1" t="str">
        <f>"بنيادمسكن انقلاب اسلامي"</f>
        <v>بنيادمسكن انقلاب اسلامي</v>
      </c>
      <c r="AB1228" s="1" t="str">
        <f>"96/10/20"</f>
        <v>96/10/20</v>
      </c>
      <c r="AC1228" s="1" t="str">
        <f>"استان گيلان"</f>
        <v>استان گيلان</v>
      </c>
      <c r="AD1228" s="1" t="str">
        <f>"96/10/20"</f>
        <v>96/10/20</v>
      </c>
      <c r="AE1228" s="1" t="str">
        <f>"اختتام"</f>
        <v>اختتام</v>
      </c>
      <c r="AF1228" s="1" t="str">
        <f>""</f>
        <v/>
      </c>
      <c r="AG1228" s="1" t="str">
        <f>""</f>
        <v/>
      </c>
      <c r="AH1228" s="1" t="str">
        <f>""</f>
        <v/>
      </c>
      <c r="AI1228" s="1" t="str">
        <f>""</f>
        <v/>
      </c>
      <c r="AJ1228" s="1" t="str">
        <f>""</f>
        <v/>
      </c>
      <c r="AK1228" s="1" t="str">
        <f>""</f>
        <v/>
      </c>
    </row>
    <row r="1229" spans="1:37">
      <c r="A1229" s="1">
        <v>695000</v>
      </c>
      <c r="B1229" s="1">
        <v>966200254</v>
      </c>
      <c r="C1229" s="1" t="str">
        <f>"تخليه - گيلان-رضوانشهر-پره سر-دينال چال -کوچه آزادگان"</f>
        <v>تخليه - گيلان-رضوانشهر-پره سر-دينال چال -کوچه آزادگان</v>
      </c>
      <c r="D1229" s="1">
        <v>9363</v>
      </c>
      <c r="E1229" s="1">
        <v>695000</v>
      </c>
      <c r="F1229" s="1">
        <v>96</v>
      </c>
      <c r="G1229" s="1">
        <v>0</v>
      </c>
      <c r="H1229" s="1" t="str">
        <f>"96/07/05"</f>
        <v>96/07/05</v>
      </c>
      <c r="I1229" s="1" t="str">
        <f>"كيلوگرم"</f>
        <v>كيلوگرم</v>
      </c>
      <c r="J1229" s="1" t="str">
        <f>"0000000093"</f>
        <v>0000000093</v>
      </c>
      <c r="K1229" s="1" t="str">
        <f>"قير  PG64-10"</f>
        <v>قير  PG64-10</v>
      </c>
      <c r="L1229" s="1">
        <v>100</v>
      </c>
      <c r="M1229" s="1" t="str">
        <f>"مخازن قير اصفهان"</f>
        <v>مخازن قير اصفهان</v>
      </c>
      <c r="N1229" s="1">
        <v>11326</v>
      </c>
      <c r="O1229" s="1">
        <v>50036291</v>
      </c>
      <c r="P1229" s="1" t="str">
        <f>"  گيلسار پايا پي"</f>
        <v xml:space="preserve">  گيلسار پايا پي</v>
      </c>
      <c r="Q1229" s="1">
        <v>62</v>
      </c>
      <c r="R1229" s="1" t="str">
        <f>"فروش داخلي - سازمان بنيادمسكن انقلاب اسلامي"</f>
        <v>فروش داخلي - سازمان بنيادمسكن انقلاب اسلامي</v>
      </c>
      <c r="S1229" s="1" t="str">
        <f>"قرارداد فروش"</f>
        <v>قرارداد فروش</v>
      </c>
      <c r="T1229" s="1" t="str">
        <f>"ندارد"</f>
        <v>ندارد</v>
      </c>
      <c r="U1229" s="1" t="str">
        <f>"حاج صادقي باقر(1841027)"</f>
        <v>حاج صادقي باقر(1841027)</v>
      </c>
      <c r="V1229" s="1">
        <v>966200254</v>
      </c>
      <c r="W1229" s="1">
        <v>966200254</v>
      </c>
      <c r="X1229" s="1" t="str">
        <f>"1396514735"</f>
        <v>1396514735</v>
      </c>
      <c r="Y1229" s="1" t="str">
        <f>"96/07/05"</f>
        <v>96/07/05</v>
      </c>
      <c r="Z1229" s="1" t="str">
        <f>"29249/د"</f>
        <v>29249/د</v>
      </c>
      <c r="AA1229" s="1" t="str">
        <f>"بنيادمسكن انقلاب اسلامي"</f>
        <v>بنيادمسكن انقلاب اسلامي</v>
      </c>
      <c r="AB1229" s="1" t="str">
        <f>"96/07/02"</f>
        <v>96/07/02</v>
      </c>
      <c r="AC1229" s="1" t="str">
        <f>"استان گيلان"</f>
        <v>استان گيلان</v>
      </c>
      <c r="AD1229" s="1" t="str">
        <f>"96/07/04"</f>
        <v>96/07/04</v>
      </c>
      <c r="AE1229" s="1" t="str">
        <f>"اختتام"</f>
        <v>اختتام</v>
      </c>
      <c r="AF1229" s="1" t="str">
        <f>""</f>
        <v/>
      </c>
      <c r="AG1229" s="1" t="str">
        <f>""</f>
        <v/>
      </c>
      <c r="AH1229" s="1" t="str">
        <f>""</f>
        <v/>
      </c>
      <c r="AI1229" s="1" t="str">
        <f>""</f>
        <v/>
      </c>
      <c r="AJ1229" s="1" t="str">
        <f>""</f>
        <v/>
      </c>
      <c r="AK1229" s="1" t="str">
        <f>""</f>
        <v/>
      </c>
    </row>
    <row r="1230" spans="1:37">
      <c r="A1230" s="1">
        <v>578000</v>
      </c>
      <c r="B1230" s="1">
        <v>966200260</v>
      </c>
      <c r="C1230" s="1" t="str">
        <f>"گيلان -تالش-ليسار-کارخانه آسفالت ايران پل"</f>
        <v>گيلان -تالش-ليسار-کارخانه آسفالت ايران پل</v>
      </c>
      <c r="D1230" s="1">
        <v>9363</v>
      </c>
      <c r="E1230" s="1">
        <v>577540</v>
      </c>
      <c r="F1230" s="1">
        <v>96</v>
      </c>
      <c r="G1230" s="1">
        <v>460</v>
      </c>
      <c r="H1230" s="1" t="str">
        <f>"96/07/05"</f>
        <v>96/07/05</v>
      </c>
      <c r="I1230" s="1" t="str">
        <f>"كيلوگرم"</f>
        <v>كيلوگرم</v>
      </c>
      <c r="J1230" s="1" t="str">
        <f>"0000000093"</f>
        <v>0000000093</v>
      </c>
      <c r="K1230" s="1" t="str">
        <f>"قير  PG64-10"</f>
        <v>قير  PG64-10</v>
      </c>
      <c r="L1230" s="1">
        <v>100</v>
      </c>
      <c r="M1230" s="1" t="str">
        <f>"مخازن قير اصفهان"</f>
        <v>مخازن قير اصفهان</v>
      </c>
      <c r="N1230" s="1">
        <v>11399</v>
      </c>
      <c r="O1230" s="1">
        <v>50036297</v>
      </c>
      <c r="P1230" s="1" t="str">
        <f>"  پادير ساز خزر"</f>
        <v xml:space="preserve">  پادير ساز خزر</v>
      </c>
      <c r="Q1230" s="1">
        <v>62</v>
      </c>
      <c r="R1230" s="1" t="str">
        <f>"فروش داخلي - سازمان بنيادمسكن انقلاب اسلامي"</f>
        <v>فروش داخلي - سازمان بنيادمسكن انقلاب اسلامي</v>
      </c>
      <c r="S1230" s="1" t="str">
        <f>"قرارداد فروش"</f>
        <v>قرارداد فروش</v>
      </c>
      <c r="T1230" s="1" t="str">
        <f>"ندارد"</f>
        <v>ندارد</v>
      </c>
      <c r="U1230" s="1" t="str">
        <f>"حاج صادقي باقر(1841027)"</f>
        <v>حاج صادقي باقر(1841027)</v>
      </c>
      <c r="V1230" s="1">
        <v>966200260</v>
      </c>
      <c r="W1230" s="1">
        <v>966200260</v>
      </c>
      <c r="X1230" s="1" t="str">
        <f>"1396514735"</f>
        <v>1396514735</v>
      </c>
      <c r="Y1230" s="1" t="str">
        <f>"96/07/05"</f>
        <v>96/07/05</v>
      </c>
      <c r="Z1230" s="1" t="str">
        <f>"29277/د"</f>
        <v>29277/د</v>
      </c>
      <c r="AA1230" s="1" t="str">
        <f>"بنيادمسكن انقلاب اسلامي"</f>
        <v>بنيادمسكن انقلاب اسلامي</v>
      </c>
      <c r="AB1230" s="1" t="str">
        <f>"96/07/02"</f>
        <v>96/07/02</v>
      </c>
      <c r="AC1230" s="1" t="str">
        <f>"استان گيلان"</f>
        <v>استان گيلان</v>
      </c>
      <c r="AD1230" s="1" t="str">
        <f>"96/07/04"</f>
        <v>96/07/04</v>
      </c>
      <c r="AE1230" s="1" t="str">
        <f>"اختتام"</f>
        <v>اختتام</v>
      </c>
      <c r="AF1230" s="1" t="str">
        <f>""</f>
        <v/>
      </c>
      <c r="AG1230" s="1" t="str">
        <f>""</f>
        <v/>
      </c>
      <c r="AH1230" s="1" t="str">
        <f>""</f>
        <v/>
      </c>
      <c r="AI1230" s="1" t="str">
        <f>""</f>
        <v/>
      </c>
      <c r="AJ1230" s="1" t="str">
        <f>""</f>
        <v/>
      </c>
      <c r="AK1230" s="1" t="str">
        <f>""</f>
        <v/>
      </c>
    </row>
    <row r="1231" spans="1:37">
      <c r="A1231" s="1">
        <v>498000</v>
      </c>
      <c r="B1231" s="1">
        <v>966200282</v>
      </c>
      <c r="C1231" s="1" t="str">
        <f>"تخليه - گيلان - رضوانشهر-پره سر-خيابان آزادگان-کارخانه آسفالت هشت نم"</f>
        <v>تخليه - گيلان - رضوانشهر-پره سر-خيابان آزادگان-کارخانه آسفالت هشت نم</v>
      </c>
      <c r="D1231" s="1">
        <v>9363</v>
      </c>
      <c r="E1231" s="1">
        <v>498000</v>
      </c>
      <c r="F1231" s="1">
        <v>96</v>
      </c>
      <c r="G1231" s="1">
        <v>0</v>
      </c>
      <c r="H1231" s="1" t="str">
        <f>"96/07/11"</f>
        <v>96/07/11</v>
      </c>
      <c r="I1231" s="1" t="str">
        <f>"كيلوگرم"</f>
        <v>كيلوگرم</v>
      </c>
      <c r="J1231" s="1" t="str">
        <f>"0000000093"</f>
        <v>0000000093</v>
      </c>
      <c r="K1231" s="1" t="str">
        <f>"قير  PG64-10"</f>
        <v>قير  PG64-10</v>
      </c>
      <c r="L1231" s="1">
        <v>100</v>
      </c>
      <c r="M1231" s="1" t="str">
        <f>"مخازن قير اصفهان"</f>
        <v>مخازن قير اصفهان</v>
      </c>
      <c r="N1231" s="1">
        <v>11399</v>
      </c>
      <c r="O1231" s="1">
        <v>50036503</v>
      </c>
      <c r="P1231" s="1" t="str">
        <f>"  پادير ساز خزر"</f>
        <v xml:space="preserve">  پادير ساز خزر</v>
      </c>
      <c r="Q1231" s="1">
        <v>62</v>
      </c>
      <c r="R1231" s="1" t="str">
        <f>"فروش داخلي - سازمان بنيادمسكن انقلاب اسلامي"</f>
        <v>فروش داخلي - سازمان بنيادمسكن انقلاب اسلامي</v>
      </c>
      <c r="S1231" s="1" t="str">
        <f>"قرارداد فروش"</f>
        <v>قرارداد فروش</v>
      </c>
      <c r="T1231" s="1" t="str">
        <f>"ندارد"</f>
        <v>ندارد</v>
      </c>
      <c r="U1231" s="1" t="str">
        <f>"حاج صادقي باقر(1841027)"</f>
        <v>حاج صادقي باقر(1841027)</v>
      </c>
      <c r="V1231" s="1">
        <v>966200282</v>
      </c>
      <c r="W1231" s="1">
        <v>966200282</v>
      </c>
      <c r="X1231" s="1" t="str">
        <f>"1396515926"</f>
        <v>1396515926</v>
      </c>
      <c r="Y1231" s="1" t="str">
        <f>"96/07/11"</f>
        <v>96/07/11</v>
      </c>
      <c r="Z1231" s="1" t="str">
        <f>"30183/د"</f>
        <v>30183/د</v>
      </c>
      <c r="AA1231" s="1" t="str">
        <f>"بنيادمسكن انقلاب اسلامي"</f>
        <v>بنيادمسكن انقلاب اسلامي</v>
      </c>
      <c r="AB1231" s="1" t="str">
        <f>"96/07/10"</f>
        <v>96/07/10</v>
      </c>
      <c r="AC1231" s="1" t="str">
        <f>"استان گيلان"</f>
        <v>استان گيلان</v>
      </c>
      <c r="AD1231" s="1" t="str">
        <f>"96/07/11"</f>
        <v>96/07/11</v>
      </c>
      <c r="AE1231" s="1" t="str">
        <f>"اختتام"</f>
        <v>اختتام</v>
      </c>
      <c r="AF1231" s="1" t="str">
        <f>""</f>
        <v/>
      </c>
      <c r="AG1231" s="1" t="str">
        <f>""</f>
        <v/>
      </c>
      <c r="AH1231" s="1" t="str">
        <f>""</f>
        <v/>
      </c>
      <c r="AI1231" s="1" t="str">
        <f>""</f>
        <v/>
      </c>
      <c r="AJ1231" s="1" t="str">
        <f>""</f>
        <v/>
      </c>
      <c r="AK1231" s="1" t="str">
        <f>""</f>
        <v/>
      </c>
    </row>
    <row r="1232" spans="1:37">
      <c r="A1232" s="1">
        <v>50000</v>
      </c>
      <c r="B1232" s="1">
        <v>966200315</v>
      </c>
      <c r="C1232" s="1" t="str">
        <f>"گيلان -تالش-ليسار-کارخانه آسفالت ايران پل"</f>
        <v>گيلان -تالش-ليسار-کارخانه آسفالت ايران پل</v>
      </c>
      <c r="D1232" s="1">
        <v>9363</v>
      </c>
      <c r="E1232" s="1">
        <v>49300</v>
      </c>
      <c r="F1232" s="1">
        <v>96</v>
      </c>
      <c r="G1232" s="1">
        <v>700</v>
      </c>
      <c r="H1232" s="1" t="str">
        <f>"96/07/24"</f>
        <v>96/07/24</v>
      </c>
      <c r="I1232" s="1" t="str">
        <f>"كيلوگرم"</f>
        <v>كيلوگرم</v>
      </c>
      <c r="J1232" s="1" t="str">
        <f>"0000000093"</f>
        <v>0000000093</v>
      </c>
      <c r="K1232" s="1" t="str">
        <f>"قير  PG64-10"</f>
        <v>قير  PG64-10</v>
      </c>
      <c r="L1232" s="1">
        <v>100</v>
      </c>
      <c r="M1232" s="1" t="str">
        <f>"مخازن قير اصفهان"</f>
        <v>مخازن قير اصفهان</v>
      </c>
      <c r="N1232" s="1">
        <v>11399</v>
      </c>
      <c r="O1232" s="1">
        <v>50036744</v>
      </c>
      <c r="P1232" s="1" t="str">
        <f>"  پادير ساز خزر"</f>
        <v xml:space="preserve">  پادير ساز خزر</v>
      </c>
      <c r="Q1232" s="1">
        <v>62</v>
      </c>
      <c r="R1232" s="1" t="str">
        <f>"فروش داخلي - سازمان بنيادمسكن انقلاب اسلامي"</f>
        <v>فروش داخلي - سازمان بنيادمسكن انقلاب اسلامي</v>
      </c>
      <c r="S1232" s="1" t="str">
        <f>"قرارداد فروش"</f>
        <v>قرارداد فروش</v>
      </c>
      <c r="T1232" s="1" t="str">
        <f>"ندارد"</f>
        <v>ندارد</v>
      </c>
      <c r="U1232" s="1" t="str">
        <f>"هيزچي مرتضي(1841036)"</f>
        <v>هيزچي مرتضي(1841036)</v>
      </c>
      <c r="V1232" s="1">
        <v>966200315</v>
      </c>
      <c r="W1232" s="1">
        <v>966200315</v>
      </c>
      <c r="X1232" s="1" t="str">
        <f>"1396518910"</f>
        <v>1396518910</v>
      </c>
      <c r="Y1232" s="1" t="str">
        <f>"96/07/24"</f>
        <v>96/07/24</v>
      </c>
      <c r="Z1232" s="1" t="str">
        <f>"32931/د"</f>
        <v>32931/د</v>
      </c>
      <c r="AA1232" s="1" t="str">
        <f>"بنيادمسكن انقلاب اسلامي"</f>
        <v>بنيادمسكن انقلاب اسلامي</v>
      </c>
      <c r="AB1232" s="1" t="str">
        <f>"96/07/24"</f>
        <v>96/07/24</v>
      </c>
      <c r="AC1232" s="1" t="str">
        <f>"استان گيلان"</f>
        <v>استان گيلان</v>
      </c>
      <c r="AD1232" s="1" t="str">
        <f>"96/07/24"</f>
        <v>96/07/24</v>
      </c>
      <c r="AE1232" s="1" t="str">
        <f>"اختتام"</f>
        <v>اختتام</v>
      </c>
      <c r="AF1232" s="1" t="str">
        <f>""</f>
        <v/>
      </c>
      <c r="AG1232" s="1" t="str">
        <f>""</f>
        <v/>
      </c>
      <c r="AH1232" s="1" t="str">
        <f>""</f>
        <v/>
      </c>
      <c r="AI1232" s="1" t="str">
        <f>""</f>
        <v/>
      </c>
      <c r="AJ1232" s="1" t="str">
        <f>""</f>
        <v/>
      </c>
      <c r="AK1232" s="1" t="str">
        <f>""</f>
        <v/>
      </c>
    </row>
    <row r="1233" spans="1:37">
      <c r="A1233" s="1">
        <v>1000000</v>
      </c>
      <c r="B1233" s="1">
        <v>961900098</v>
      </c>
      <c r="C1233" s="1" t="str">
        <f>"تخليه -هرمزگان بستك دوراهي جناح -خلوص كارخانه آسفالت شركت راه سازگوده"</f>
        <v>تخليه -هرمزگان بستك دوراهي جناح -خلوص كارخانه آسفالت شركت راه سازگوده</v>
      </c>
      <c r="D1233" s="1">
        <v>9204</v>
      </c>
      <c r="E1233" s="1">
        <v>999860</v>
      </c>
      <c r="F1233" s="1">
        <v>96</v>
      </c>
      <c r="G1233" s="1">
        <v>140</v>
      </c>
      <c r="H1233" s="1" t="str">
        <f>"96/05/10"</f>
        <v>96/05/10</v>
      </c>
      <c r="I1233" s="1" t="str">
        <f>"كيلوگرم"</f>
        <v>كيلوگرم</v>
      </c>
      <c r="J1233" s="1" t="str">
        <f>"0000000092"</f>
        <v>0000000092</v>
      </c>
      <c r="K1233" s="1" t="str">
        <f>"قير  PG64-16"</f>
        <v>قير  PG64-16</v>
      </c>
      <c r="L1233" s="1">
        <v>100</v>
      </c>
      <c r="M1233" s="1" t="str">
        <f>"مخازن قير اصفهان"</f>
        <v>مخازن قير اصفهان</v>
      </c>
      <c r="N1233" s="1">
        <v>11012</v>
      </c>
      <c r="O1233" s="1">
        <v>50035446</v>
      </c>
      <c r="P1233" s="1" t="str">
        <f>"  راه سازگوده"</f>
        <v xml:space="preserve">  راه سازگوده</v>
      </c>
      <c r="Q1233" s="1">
        <v>19</v>
      </c>
      <c r="R123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233" s="1" t="str">
        <f>"قرارداد فروش"</f>
        <v>قرارداد فروش</v>
      </c>
      <c r="T1233" s="1" t="str">
        <f>"ندارد"</f>
        <v>ندارد</v>
      </c>
      <c r="U1233" s="1" t="str">
        <f>"حاصليان ترابرجنوب مرتضي حاصلي (4844006)"</f>
        <v>حاصليان ترابرجنوب مرتضي حاصلي (4844006)</v>
      </c>
      <c r="V1233" s="1">
        <v>961900098</v>
      </c>
      <c r="W1233" s="1">
        <v>961900098</v>
      </c>
      <c r="X1233" s="1" t="str">
        <f>"1396501696"</f>
        <v>1396501696</v>
      </c>
      <c r="Y1233" s="1" t="str">
        <f>"96/05/10"</f>
        <v>96/05/10</v>
      </c>
      <c r="Z1233" s="1" t="str">
        <f>"21900/710"</f>
        <v>21900/710</v>
      </c>
      <c r="AA1233" s="1" t="str">
        <f>"سازمان راهداري وحمل نقل جاده اي"</f>
        <v>سازمان راهداري وحمل نقل جاده اي</v>
      </c>
      <c r="AB1233" s="1" t="str">
        <f>"96/05/08"</f>
        <v>96/05/08</v>
      </c>
      <c r="AC1233" s="1" t="str">
        <f>"استان هرمزگان"</f>
        <v>استان هرمزگان</v>
      </c>
      <c r="AD1233" s="1" t="str">
        <f>"96/05/10"</f>
        <v>96/05/10</v>
      </c>
      <c r="AE1233" s="1" t="str">
        <f>"اختتام"</f>
        <v>اختتام</v>
      </c>
      <c r="AF1233" s="1" t="str">
        <f>""</f>
        <v/>
      </c>
      <c r="AG1233" s="1" t="str">
        <f>""</f>
        <v/>
      </c>
      <c r="AH1233" s="1" t="str">
        <f>""</f>
        <v/>
      </c>
      <c r="AI1233" s="1" t="str">
        <f>""</f>
        <v/>
      </c>
      <c r="AJ1233" s="1" t="str">
        <f>""</f>
        <v/>
      </c>
      <c r="AK1233" s="1" t="str">
        <f>""</f>
        <v/>
      </c>
    </row>
    <row r="1234" spans="1:37">
      <c r="A1234" s="1">
        <v>500000</v>
      </c>
      <c r="B1234" s="1">
        <v>961900090</v>
      </c>
      <c r="C1234" s="1" t="str">
        <f>"تخليه-هرمزگان رودان كيلومتر5جاده كهنوج جنب پل آبنماكارگاه شركت پل پي ساحل"</f>
        <v>تخليه-هرمزگان رودان كيلومتر5جاده كهنوج جنب پل آبنماكارگاه شركت پل پي ساحل</v>
      </c>
      <c r="D1234" s="1">
        <v>8904</v>
      </c>
      <c r="E1234" s="1">
        <v>497020</v>
      </c>
      <c r="F1234" s="1">
        <v>96</v>
      </c>
      <c r="G1234" s="1">
        <v>2980</v>
      </c>
      <c r="H1234" s="1" t="str">
        <f>"96/05/08"</f>
        <v>96/05/08</v>
      </c>
      <c r="I1234" s="1" t="str">
        <f>"كيلوگرم"</f>
        <v>كيلوگرم</v>
      </c>
      <c r="J1234" s="1" t="str">
        <f>"0000000092"</f>
        <v>0000000092</v>
      </c>
      <c r="K1234" s="1" t="str">
        <f>"قير  PG64-16"</f>
        <v>قير  PG64-16</v>
      </c>
      <c r="L1234" s="1">
        <v>100</v>
      </c>
      <c r="M1234" s="1" t="str">
        <f>"مخازن قير اصفهان"</f>
        <v>مخازن قير اصفهان</v>
      </c>
      <c r="N1234" s="1">
        <v>11038</v>
      </c>
      <c r="O1234" s="1">
        <v>50035396</v>
      </c>
      <c r="P1234" s="1" t="str">
        <f>"  پل پي ساحل"</f>
        <v xml:space="preserve">  پل پي ساحل</v>
      </c>
      <c r="Q1234" s="1">
        <v>19</v>
      </c>
      <c r="R123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234" s="1" t="str">
        <f>"قرارداد فروش"</f>
        <v>قرارداد فروش</v>
      </c>
      <c r="T1234" s="1" t="str">
        <f>"ندارد"</f>
        <v>ندارد</v>
      </c>
      <c r="U1234" s="1" t="str">
        <f>"حاصليان ترابرجنوب مرتضي حاصلي (4844006)"</f>
        <v>حاصليان ترابرجنوب مرتضي حاصلي (4844006)</v>
      </c>
      <c r="V1234" s="1">
        <v>961900090</v>
      </c>
      <c r="W1234" s="1">
        <v>961900090</v>
      </c>
      <c r="X1234" s="1" t="str">
        <f>"1396500987"</f>
        <v>1396500987</v>
      </c>
      <c r="Y1234" s="1" t="str">
        <f>"96/05/08"</f>
        <v>96/05/08</v>
      </c>
      <c r="Z1234" s="1" t="str">
        <f>"20967/710"</f>
        <v>20967/710</v>
      </c>
      <c r="AA1234" s="1" t="str">
        <f>"سازمان راهداري وحمل نقل جاده اي"</f>
        <v>سازمان راهداري وحمل نقل جاده اي</v>
      </c>
      <c r="AB1234" s="1" t="str">
        <f>"96/05/03"</f>
        <v>96/05/03</v>
      </c>
      <c r="AC1234" s="1" t="str">
        <f>"استان هرمزگان"</f>
        <v>استان هرمزگان</v>
      </c>
      <c r="AD1234" s="1" t="str">
        <f>"96/05/08"</f>
        <v>96/05/08</v>
      </c>
      <c r="AE1234" s="1" t="str">
        <f>"اختتام"</f>
        <v>اختتام</v>
      </c>
      <c r="AF1234" s="1" t="str">
        <f>""</f>
        <v/>
      </c>
      <c r="AG1234" s="1" t="str">
        <f>""</f>
        <v/>
      </c>
      <c r="AH1234" s="1" t="str">
        <f>""</f>
        <v/>
      </c>
      <c r="AI1234" s="1" t="str">
        <f>""</f>
        <v/>
      </c>
      <c r="AJ1234" s="1" t="str">
        <f>""</f>
        <v/>
      </c>
      <c r="AK1234" s="1" t="str">
        <f>""</f>
        <v/>
      </c>
    </row>
    <row r="1235" spans="1:37">
      <c r="A1235" s="1">
        <v>570000</v>
      </c>
      <c r="B1235" s="1">
        <v>961900173</v>
      </c>
      <c r="C1235" s="1" t="str">
        <f>"تخليه جنوب كرمان جيرفت ساردوئيه كارخانه پوزولان بتن"</f>
        <v>تخليه جنوب كرمان جيرفت ساردوئيه كارخانه پوزولان بتن</v>
      </c>
      <c r="D1235" s="1">
        <v>9716</v>
      </c>
      <c r="E1235" s="1">
        <v>568880</v>
      </c>
      <c r="F1235" s="1">
        <v>96</v>
      </c>
      <c r="G1235" s="1">
        <v>1120</v>
      </c>
      <c r="H1235" s="1" t="str">
        <f>"96/07/20"</f>
        <v>96/07/20</v>
      </c>
      <c r="I1235" s="1" t="str">
        <f>"كيلوگرم"</f>
        <v>كيلوگرم</v>
      </c>
      <c r="J1235" s="1" t="str">
        <f>"0000000092"</f>
        <v>0000000092</v>
      </c>
      <c r="K1235" s="1" t="str">
        <f>"قير  PG64-16"</f>
        <v>قير  PG64-16</v>
      </c>
      <c r="L1235" s="1">
        <v>100</v>
      </c>
      <c r="M1235" s="1" t="str">
        <f>"مخازن قير اصفهان"</f>
        <v>مخازن قير اصفهان</v>
      </c>
      <c r="N1235" s="1">
        <v>11066</v>
      </c>
      <c r="O1235" s="1">
        <v>50036697</v>
      </c>
      <c r="P1235" s="1" t="str">
        <f>"  برج سازان شاهوار"</f>
        <v xml:space="preserve">  برج سازان شاهوار</v>
      </c>
      <c r="Q1235" s="1">
        <v>19</v>
      </c>
      <c r="R123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235" s="1" t="str">
        <f>"قرارداد فروش"</f>
        <v>قرارداد فروش</v>
      </c>
      <c r="T1235" s="1" t="str">
        <f>"ندارد"</f>
        <v>ندارد</v>
      </c>
      <c r="U1235" s="1" t="str">
        <f>"حاصليان ترابرجنوب مرتضي حاصلي (4844006)"</f>
        <v>حاصليان ترابرجنوب مرتضي حاصلي (4844006)</v>
      </c>
      <c r="V1235" s="1">
        <v>961900173</v>
      </c>
      <c r="W1235" s="1">
        <v>961900173</v>
      </c>
      <c r="X1235" s="1" t="str">
        <f>"1396518387"</f>
        <v>1396518387</v>
      </c>
      <c r="Y1235" s="1" t="str">
        <f>"96/07/20"</f>
        <v>96/07/20</v>
      </c>
      <c r="Z1235" s="1" t="str">
        <f>"34915/710"</f>
        <v>34915/710</v>
      </c>
      <c r="AA1235" s="1" t="str">
        <f>"سازمان راهداري وحمل نقل جاده اي"</f>
        <v>سازمان راهداري وحمل نقل جاده اي</v>
      </c>
      <c r="AB1235" s="1" t="str">
        <f>"96/07/16"</f>
        <v>96/07/16</v>
      </c>
      <c r="AC1235" s="1" t="str">
        <f>"جنوب کرمان"</f>
        <v>جنوب کرمان</v>
      </c>
      <c r="AD1235" s="1" t="str">
        <f>"96/07/19"</f>
        <v>96/07/19</v>
      </c>
      <c r="AE1235" s="1" t="str">
        <f>"اختتام"</f>
        <v>اختتام</v>
      </c>
      <c r="AF1235" s="1" t="str">
        <f>""</f>
        <v/>
      </c>
      <c r="AG1235" s="1" t="str">
        <f>""</f>
        <v/>
      </c>
      <c r="AH1235" s="1" t="str">
        <f>""</f>
        <v/>
      </c>
      <c r="AI1235" s="1" t="str">
        <f>""</f>
        <v/>
      </c>
      <c r="AJ1235" s="1" t="str">
        <f>""</f>
        <v/>
      </c>
      <c r="AK1235" s="1" t="str">
        <f>""</f>
        <v/>
      </c>
    </row>
    <row r="1236" spans="1:37">
      <c r="A1236" s="1">
        <v>475000</v>
      </c>
      <c r="B1236" s="1">
        <v>966200068</v>
      </c>
      <c r="C1236" s="1" t="str">
        <f>"تخليه - گيلان-رضوانشهر-پره سر-دينال چال -کوچه آزادگان"</f>
        <v>تخليه - گيلان-رضوانشهر-پره سر-دينال چال -کوچه آزادگان</v>
      </c>
      <c r="D1236" s="1">
        <v>9068</v>
      </c>
      <c r="E1236" s="1">
        <v>474140</v>
      </c>
      <c r="F1236" s="1">
        <v>96</v>
      </c>
      <c r="G1236" s="1">
        <v>860</v>
      </c>
      <c r="H1236" s="1" t="str">
        <f>"96/02/23"</f>
        <v>96/02/23</v>
      </c>
      <c r="I1236" s="1" t="str">
        <f>"كيلوگرم"</f>
        <v>كيلوگرم</v>
      </c>
      <c r="J1236" s="1" t="str">
        <f>"0000000093"</f>
        <v>0000000093</v>
      </c>
      <c r="K1236" s="1" t="str">
        <f>"قير  PG64-10"</f>
        <v>قير  PG64-10</v>
      </c>
      <c r="L1236" s="1">
        <v>100</v>
      </c>
      <c r="M1236" s="1" t="str">
        <f>"مخازن قير اصفهان"</f>
        <v>مخازن قير اصفهان</v>
      </c>
      <c r="N1236" s="1">
        <v>11326</v>
      </c>
      <c r="O1236" s="1">
        <v>50034830</v>
      </c>
      <c r="P1236" s="1" t="str">
        <f>"  گيلسار پايا پي"</f>
        <v xml:space="preserve">  گيلسار پايا پي</v>
      </c>
      <c r="Q1236" s="1">
        <v>62</v>
      </c>
      <c r="R1236" s="1" t="str">
        <f>"فروش داخلي - سازمان بنيادمسكن انقلاب اسلامي"</f>
        <v>فروش داخلي - سازمان بنيادمسكن انقلاب اسلامي</v>
      </c>
      <c r="S1236" s="1" t="str">
        <f>"قرارداد فروش"</f>
        <v>قرارداد فروش</v>
      </c>
      <c r="T1236" s="1" t="str">
        <f>"ندارد"</f>
        <v>ندارد</v>
      </c>
      <c r="U1236" s="1" t="str">
        <f>"حاج صادقي باقر(1841027)"</f>
        <v>حاج صادقي باقر(1841027)</v>
      </c>
      <c r="V1236" s="1">
        <v>966200068</v>
      </c>
      <c r="W1236" s="1">
        <v>966200068</v>
      </c>
      <c r="X1236" s="1" t="str">
        <f>"1396480497"</f>
        <v>1396480497</v>
      </c>
      <c r="Y1236" s="1" t="str">
        <f>"96/02/23"</f>
        <v>96/02/23</v>
      </c>
      <c r="Z1236" s="1" t="str">
        <f>"5845/د"</f>
        <v>5845/د</v>
      </c>
      <c r="AA1236" s="1" t="str">
        <f>"بنيادمسكن انقلاب اسلامي"</f>
        <v>بنيادمسكن انقلاب اسلامي</v>
      </c>
      <c r="AB1236" s="1" t="str">
        <f>"96/02/19"</f>
        <v>96/02/19</v>
      </c>
      <c r="AC1236" s="1" t="str">
        <f>"استان گيلان"</f>
        <v>استان گيلان</v>
      </c>
      <c r="AD1236" s="1" t="str">
        <f>"96/02/23"</f>
        <v>96/02/23</v>
      </c>
      <c r="AE1236" s="1" t="str">
        <f>"اختتام"</f>
        <v>اختتام</v>
      </c>
      <c r="AF1236" s="1" t="str">
        <f>""</f>
        <v/>
      </c>
      <c r="AG1236" s="1" t="str">
        <f>""</f>
        <v/>
      </c>
      <c r="AH1236" s="1" t="str">
        <f>""</f>
        <v/>
      </c>
      <c r="AI1236" s="1" t="str">
        <f>""</f>
        <v/>
      </c>
      <c r="AJ1236" s="1" t="str">
        <f>""</f>
        <v/>
      </c>
      <c r="AK1236" s="1" t="str">
        <f>""</f>
        <v/>
      </c>
    </row>
    <row r="1237" spans="1:37">
      <c r="A1237" s="1">
        <v>379000</v>
      </c>
      <c r="B1237" s="1">
        <v>966200268</v>
      </c>
      <c r="C1237" s="1" t="str">
        <f>"تخليه - گيلان-لوشان-ورودي شهرک صنعتي لوشان-کارخانه آسفالت باروساز شمال"</f>
        <v>تخليه - گيلان-لوشان-ورودي شهرک صنعتي لوشان-کارخانه آسفالت باروساز شمال</v>
      </c>
      <c r="D1237" s="1">
        <v>9363</v>
      </c>
      <c r="E1237" s="1">
        <v>379000</v>
      </c>
      <c r="F1237" s="1">
        <v>96</v>
      </c>
      <c r="G1237" s="1">
        <v>0</v>
      </c>
      <c r="H1237" s="1" t="str">
        <f>"96/07/06"</f>
        <v>96/07/06</v>
      </c>
      <c r="I1237" s="1" t="str">
        <f>"كيلوگرم"</f>
        <v>كيلوگرم</v>
      </c>
      <c r="J1237" s="1" t="str">
        <f>"0000000093"</f>
        <v>0000000093</v>
      </c>
      <c r="K1237" s="1" t="str">
        <f>"قير  PG64-10"</f>
        <v>قير  PG64-10</v>
      </c>
      <c r="L1237" s="1">
        <v>100</v>
      </c>
      <c r="M1237" s="1" t="str">
        <f>"مخازن قير اصفهان"</f>
        <v>مخازن قير اصفهان</v>
      </c>
      <c r="N1237" s="1">
        <v>11460</v>
      </c>
      <c r="O1237" s="1">
        <v>50036441</v>
      </c>
      <c r="P1237" s="1" t="str">
        <f>"  بارو ساز شمال"</f>
        <v xml:space="preserve">  بارو ساز شمال</v>
      </c>
      <c r="Q1237" s="1">
        <v>62</v>
      </c>
      <c r="R1237" s="1" t="str">
        <f>"فروش داخلي - سازمان بنيادمسكن انقلاب اسلامي"</f>
        <v>فروش داخلي - سازمان بنيادمسكن انقلاب اسلامي</v>
      </c>
      <c r="S1237" s="1" t="str">
        <f>"قرارداد فروش"</f>
        <v>قرارداد فروش</v>
      </c>
      <c r="T1237" s="1" t="str">
        <f>"ندارد"</f>
        <v>ندارد</v>
      </c>
      <c r="U1237" s="1" t="str">
        <f>"قره باغي مجيد(1871065)"</f>
        <v>قره باغي مجيد(1871065)</v>
      </c>
      <c r="V1237" s="1">
        <v>966200268</v>
      </c>
      <c r="W1237" s="1">
        <v>966200268</v>
      </c>
      <c r="X1237" s="1" t="str">
        <f>"1396514775"</f>
        <v>1396514775</v>
      </c>
      <c r="Y1237" s="1" t="str">
        <f>"96/07/06"</f>
        <v>96/07/06</v>
      </c>
      <c r="Z1237" s="1" t="str">
        <f>"29274/د"</f>
        <v>29274/د</v>
      </c>
      <c r="AA1237" s="1" t="str">
        <f>"بنيادمسكن انقلاب اسلامي"</f>
        <v>بنيادمسكن انقلاب اسلامي</v>
      </c>
      <c r="AB1237" s="1" t="str">
        <f>"96/07/02"</f>
        <v>96/07/02</v>
      </c>
      <c r="AC1237" s="1" t="str">
        <f>"استان گيلان"</f>
        <v>استان گيلان</v>
      </c>
      <c r="AD1237" s="1" t="str">
        <f>"96/07/04"</f>
        <v>96/07/04</v>
      </c>
      <c r="AE1237" s="1" t="str">
        <f>"اختتام"</f>
        <v>اختتام</v>
      </c>
      <c r="AF1237" s="1" t="str">
        <f>""</f>
        <v/>
      </c>
      <c r="AG1237" s="1" t="str">
        <f>""</f>
        <v/>
      </c>
      <c r="AH1237" s="1" t="str">
        <f>""</f>
        <v/>
      </c>
      <c r="AI1237" s="1" t="str">
        <f>""</f>
        <v/>
      </c>
      <c r="AJ1237" s="1" t="str">
        <f>""</f>
        <v/>
      </c>
      <c r="AK1237" s="1" t="str">
        <f>""</f>
        <v/>
      </c>
    </row>
    <row r="1238" spans="1:37">
      <c r="A1238" s="1">
        <v>146000</v>
      </c>
      <c r="B1238" s="1">
        <v>966200687</v>
      </c>
      <c r="C1238" s="1" t="str">
        <f>"تخليه-گيلان - رشت - جاده جيرده - شهرک صنعتي سپيدرود-کارخانه آسفالت آقاي اشکان نصيري"</f>
        <v>تخليه-گيلان - رشت - جاده جيرده - شهرک صنعتي سپيدرود-کارخانه آسفالت آقاي اشکان نصيري</v>
      </c>
      <c r="D1238" s="1">
        <v>13600</v>
      </c>
      <c r="E1238" s="1">
        <v>146000</v>
      </c>
      <c r="F1238" s="1">
        <v>96</v>
      </c>
      <c r="G1238" s="1">
        <v>0</v>
      </c>
      <c r="H1238" s="1" t="str">
        <f>"96/12/21"</f>
        <v>96/12/21</v>
      </c>
      <c r="I1238" s="1" t="str">
        <f>"كيلوگرم"</f>
        <v>كيلوگرم</v>
      </c>
      <c r="J1238" s="1" t="str">
        <f>"0000000093"</f>
        <v>0000000093</v>
      </c>
      <c r="K1238" s="1" t="str">
        <f>"قير  PG64-10"</f>
        <v>قير  PG64-10</v>
      </c>
      <c r="L1238" s="1">
        <v>100</v>
      </c>
      <c r="M1238" s="1" t="str">
        <f>"مخازن قير اصفهان"</f>
        <v>مخازن قير اصفهان</v>
      </c>
      <c r="N1238" s="1">
        <v>11526</v>
      </c>
      <c r="O1238" s="1">
        <v>50038898</v>
      </c>
      <c r="P1238" s="1" t="str">
        <f>"  بنياد مسکن انقلاب اسلامي گيلان"</f>
        <v xml:space="preserve">  بنياد مسکن انقلاب اسلامي گيلان</v>
      </c>
      <c r="Q1238" s="1">
        <v>62</v>
      </c>
      <c r="R1238" s="1" t="str">
        <f>"فروش داخلي - سازمان بنيادمسكن انقلاب اسلامي"</f>
        <v>فروش داخلي - سازمان بنيادمسكن انقلاب اسلامي</v>
      </c>
      <c r="S1238" s="1" t="str">
        <f>"قرارداد فروش"</f>
        <v>قرارداد فروش</v>
      </c>
      <c r="T1238" s="1" t="str">
        <f>"ندارد"</f>
        <v>ندارد</v>
      </c>
      <c r="U1238" s="1" t="str">
        <f>"شيشه بر كريم(1841016)"</f>
        <v>شيشه بر كريم(1841016)</v>
      </c>
      <c r="V1238" s="1">
        <v>966200687</v>
      </c>
      <c r="W1238" s="1">
        <v>966200687</v>
      </c>
      <c r="X1238" s="1" t="str">
        <f>"1396554111"</f>
        <v>1396554111</v>
      </c>
      <c r="Y1238" s="1" t="str">
        <f>"96/12/21"</f>
        <v>96/12/21</v>
      </c>
      <c r="Z1238" s="1" t="str">
        <f>"58319/د"</f>
        <v>58319/د</v>
      </c>
      <c r="AA1238" s="1" t="str">
        <f>"بنيادمسكن انقلاب اسلامي"</f>
        <v>بنيادمسكن انقلاب اسلامي</v>
      </c>
      <c r="AB1238" s="1" t="str">
        <f>"96/12/20"</f>
        <v>96/12/20</v>
      </c>
      <c r="AC1238" s="1" t="str">
        <f>"استان گيلان"</f>
        <v>استان گيلان</v>
      </c>
      <c r="AD1238" s="1" t="str">
        <f>"96/12/21"</f>
        <v>96/12/21</v>
      </c>
      <c r="AE1238" s="1" t="str">
        <f>"اختتام"</f>
        <v>اختتام</v>
      </c>
      <c r="AF1238" s="1" t="str">
        <f>""</f>
        <v/>
      </c>
      <c r="AG1238" s="1" t="str">
        <f>""</f>
        <v/>
      </c>
      <c r="AH1238" s="1" t="str">
        <f>""</f>
        <v/>
      </c>
      <c r="AI1238" s="1" t="str">
        <f>""</f>
        <v/>
      </c>
      <c r="AJ1238" s="1" t="str">
        <f>""</f>
        <v/>
      </c>
      <c r="AK1238" s="1" t="str">
        <f>""</f>
        <v/>
      </c>
    </row>
    <row r="1239" spans="1:37">
      <c r="A1239" s="1">
        <v>195000</v>
      </c>
      <c r="B1239" s="1">
        <v>966200436</v>
      </c>
      <c r="C1239" s="1" t="str">
        <f>"تخليه-اردبيل -کيلومتر 25 اردبيل به نمين-سه راهي کارخانه سيمان شرکت آبادان يول"</f>
        <v>تخليه-اردبيل -کيلومتر 25 اردبيل به نمين-سه راهي کارخانه سيمان شرکت آبادان يول</v>
      </c>
      <c r="D1239" s="1">
        <v>12970</v>
      </c>
      <c r="E1239" s="1">
        <v>193820</v>
      </c>
      <c r="F1239" s="1">
        <v>96</v>
      </c>
      <c r="G1239" s="1">
        <v>1180</v>
      </c>
      <c r="H1239" s="1" t="str">
        <f>"96/09/19"</f>
        <v>96/09/19</v>
      </c>
      <c r="I1239" s="1" t="str">
        <f>"كيلوگرم"</f>
        <v>كيلوگرم</v>
      </c>
      <c r="J1239" s="1" t="str">
        <f>"0000000093"</f>
        <v>0000000093</v>
      </c>
      <c r="K1239" s="1" t="str">
        <f>"قير  PG64-10"</f>
        <v>قير  PG64-10</v>
      </c>
      <c r="L1239" s="1">
        <v>100</v>
      </c>
      <c r="M1239" s="1" t="str">
        <f>"مخازن قير اصفهان"</f>
        <v>مخازن قير اصفهان</v>
      </c>
      <c r="N1239" s="1">
        <v>11518</v>
      </c>
      <c r="O1239" s="1">
        <v>50037579</v>
      </c>
      <c r="P1239" s="1" t="str">
        <f>"  ترانشه بتن ميلاد"</f>
        <v xml:space="preserve">  ترانشه بتن ميلاد</v>
      </c>
      <c r="Q1239" s="1">
        <v>62</v>
      </c>
      <c r="R1239" s="1" t="str">
        <f>"فروش داخلي - سازمان بنيادمسكن انقلاب اسلامي"</f>
        <v>فروش داخلي - سازمان بنيادمسكن انقلاب اسلامي</v>
      </c>
      <c r="S1239" s="1" t="str">
        <f>"قرارداد فروش"</f>
        <v>قرارداد فروش</v>
      </c>
      <c r="T1239" s="1" t="str">
        <f>"ندارد"</f>
        <v>ندارد</v>
      </c>
      <c r="U1239" s="1" t="str">
        <f>"ولي اصلاني صداقت (1841054)"</f>
        <v>ولي اصلاني صداقت (1841054)</v>
      </c>
      <c r="V1239" s="1">
        <v>966200436</v>
      </c>
      <c r="W1239" s="1">
        <v>966200436</v>
      </c>
      <c r="X1239" s="1" t="str">
        <f>"1396531059"</f>
        <v>1396531059</v>
      </c>
      <c r="Y1239" s="1" t="str">
        <f>"96/09/19"</f>
        <v>96/09/19</v>
      </c>
      <c r="Z1239" s="1" t="str">
        <f>"40629/د"</f>
        <v>40629/د</v>
      </c>
      <c r="AA1239" s="1" t="str">
        <f>"بنيادمسكن انقلاب اسلامي"</f>
        <v>بنيادمسكن انقلاب اسلامي</v>
      </c>
      <c r="AB1239" s="1" t="str">
        <f>"96/09/14"</f>
        <v>96/09/14</v>
      </c>
      <c r="AC1239" s="1" t="str">
        <f>"استان گيلان"</f>
        <v>استان گيلان</v>
      </c>
      <c r="AD1239" s="1" t="str">
        <f>"96/09/18"</f>
        <v>96/09/18</v>
      </c>
      <c r="AE1239" s="1" t="str">
        <f>"اختتام"</f>
        <v>اختتام</v>
      </c>
      <c r="AF1239" s="1" t="str">
        <f>""</f>
        <v/>
      </c>
      <c r="AG1239" s="1" t="str">
        <f>""</f>
        <v/>
      </c>
      <c r="AH1239" s="1" t="str">
        <f>""</f>
        <v/>
      </c>
      <c r="AI1239" s="1" t="str">
        <f>""</f>
        <v/>
      </c>
      <c r="AJ1239" s="1" t="str">
        <f>""</f>
        <v/>
      </c>
      <c r="AK1239" s="1" t="str">
        <f>""</f>
        <v/>
      </c>
    </row>
    <row r="1240" spans="1:37">
      <c r="A1240" s="1">
        <v>500000</v>
      </c>
      <c r="B1240" s="1">
        <v>961700172</v>
      </c>
      <c r="C1240" s="1" t="str">
        <f>"تخليه سيستان وبلوچستان زاهدان كارخانه آسفالت سازمان عمران شهرداري زاهدان"</f>
        <v>تخليه سيستان وبلوچستان زاهدان كارخانه آسفالت سازمان عمران شهرداري زاهدان</v>
      </c>
      <c r="D1240" s="1">
        <v>16750</v>
      </c>
      <c r="E1240" s="1">
        <v>493840</v>
      </c>
      <c r="F1240" s="1">
        <v>96</v>
      </c>
      <c r="G1240" s="1">
        <v>6160</v>
      </c>
      <c r="H1240" s="1" t="str">
        <f>"96/12/06"</f>
        <v>96/12/06</v>
      </c>
      <c r="I1240" s="1" t="str">
        <f>"كيلوگرم"</f>
        <v>كيلوگرم</v>
      </c>
      <c r="J1240" s="1" t="str">
        <f>"0000000094"</f>
        <v>0000000094</v>
      </c>
      <c r="K1240" s="1" t="str">
        <f>"قير  PG70-10"</f>
        <v>قير  PG70-10</v>
      </c>
      <c r="L1240" s="1">
        <v>100</v>
      </c>
      <c r="M1240" s="1" t="str">
        <f>"مخازن قير اصفهان"</f>
        <v>مخازن قير اصفهان</v>
      </c>
      <c r="N1240" s="1">
        <v>4095</v>
      </c>
      <c r="O1240" s="1">
        <v>50038612</v>
      </c>
      <c r="P1240" s="1" t="str">
        <f>"  اداره كل راه وشهرسازي سيستان وبلوچستان"</f>
        <v xml:space="preserve">  اداره كل راه وشهرسازي سيستان وبلوچستان</v>
      </c>
      <c r="Q1240" s="1">
        <v>17</v>
      </c>
      <c r="R1240" s="1" t="str">
        <f>"فروش داخلي تهران - وزارت راه - راه روستايي - روکش"</f>
        <v>فروش داخلي تهران - وزارت راه - راه روستايي - روکش</v>
      </c>
      <c r="S1240" s="1" t="str">
        <f>"قرارداد فروش"</f>
        <v>قرارداد فروش</v>
      </c>
      <c r="T1240" s="1" t="str">
        <f>"ندارد"</f>
        <v>ندارد</v>
      </c>
      <c r="U1240" s="1" t="str">
        <f>"ميرحسيني سيناترابر سيدمحمد(4854031)"</f>
        <v>ميرحسيني سيناترابر سيدمحمد(4854031)</v>
      </c>
      <c r="V1240" s="1">
        <v>961700172</v>
      </c>
      <c r="W1240" s="1">
        <v>961700172</v>
      </c>
      <c r="X1240" s="1" t="str">
        <f>"1396550460"</f>
        <v>1396550460</v>
      </c>
      <c r="Y1240" s="1" t="str">
        <f>"96/12/06"</f>
        <v>96/12/06</v>
      </c>
      <c r="Z1240" s="1" t="str">
        <f>"51632/710"</f>
        <v>51632/710</v>
      </c>
      <c r="AA1240" s="1" t="str">
        <f>"راه روستائي -روكش"</f>
        <v>راه روستائي -روكش</v>
      </c>
      <c r="AB1240" s="1" t="str">
        <f>"96/10/06"</f>
        <v>96/10/06</v>
      </c>
      <c r="AC1240" s="1" t="str">
        <f>"استان سيستان بلوچستان"</f>
        <v>استان سيستان بلوچستان</v>
      </c>
      <c r="AD1240" s="1" t="str">
        <f>"96/12/06"</f>
        <v>96/12/06</v>
      </c>
      <c r="AE1240" s="1" t="str">
        <f>"اختتام"</f>
        <v>اختتام</v>
      </c>
      <c r="AF1240" s="1" t="str">
        <f>""</f>
        <v/>
      </c>
      <c r="AG1240" s="1" t="str">
        <f>""</f>
        <v/>
      </c>
      <c r="AH1240" s="1" t="str">
        <f>""</f>
        <v/>
      </c>
      <c r="AI1240" s="1" t="str">
        <f>""</f>
        <v/>
      </c>
      <c r="AJ1240" s="1" t="str">
        <f>""</f>
        <v/>
      </c>
      <c r="AK1240" s="1" t="str">
        <f>""</f>
        <v/>
      </c>
    </row>
    <row r="1241" spans="1:37">
      <c r="A1241" s="1">
        <v>484000</v>
      </c>
      <c r="B1241" s="1">
        <v>961900036</v>
      </c>
      <c r="C1241" s="1" t="str">
        <f>"تخليه -سمنان -كيلومتر55محورگرمسار-سمنان -كارگاه شركت زرين سپاهان"</f>
        <v>تخليه -سمنان -كيلومتر55محورگرمسار-سمنان -كارگاه شركت زرين سپاهان</v>
      </c>
      <c r="D1241" s="1">
        <v>9654</v>
      </c>
      <c r="E1241" s="1">
        <v>483180</v>
      </c>
      <c r="F1241" s="1">
        <v>96</v>
      </c>
      <c r="G1241" s="1">
        <v>820</v>
      </c>
      <c r="H1241" s="1" t="str">
        <f>"96/01/16"</f>
        <v>96/01/16</v>
      </c>
      <c r="I1241" s="1" t="str">
        <f>"كيلوگرم"</f>
        <v>كيلوگرم</v>
      </c>
      <c r="J1241" s="1" t="str">
        <f>"0000000094"</f>
        <v>0000000094</v>
      </c>
      <c r="K1241" s="1" t="str">
        <f>"قير  PG70-10"</f>
        <v>قير  PG70-10</v>
      </c>
      <c r="L1241" s="1">
        <v>100</v>
      </c>
      <c r="M1241" s="1" t="str">
        <f>"مخازن قير اصفهان"</f>
        <v>مخازن قير اصفهان</v>
      </c>
      <c r="N1241" s="1">
        <v>7140</v>
      </c>
      <c r="O1241" s="1">
        <v>50034415</v>
      </c>
      <c r="P1241" s="1" t="str">
        <f>"  زرين سپاهان"</f>
        <v xml:space="preserve">  زرين سپاهان</v>
      </c>
      <c r="Q1241" s="1">
        <v>19</v>
      </c>
      <c r="R124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241" s="1" t="str">
        <f>"قرارداد فروش"</f>
        <v>قرارداد فروش</v>
      </c>
      <c r="T1241" s="1" t="str">
        <f>"ندارد"</f>
        <v>ندارد</v>
      </c>
      <c r="U1241" s="1" t="str">
        <f>"دهقانيان بيژن (4954038)"</f>
        <v>دهقانيان بيژن (4954038)</v>
      </c>
      <c r="V1241" s="1">
        <v>961900036</v>
      </c>
      <c r="W1241" s="1">
        <v>961900036</v>
      </c>
      <c r="X1241" s="1" t="str">
        <f>"1395471089"</f>
        <v>1395471089</v>
      </c>
      <c r="Y1241" s="1" t="str">
        <f>"96/01/16"</f>
        <v>96/01/16</v>
      </c>
      <c r="Z1241" s="1" t="str">
        <f>"66481/710"</f>
        <v>66481/710</v>
      </c>
      <c r="AA1241" s="1" t="str">
        <f>"سازمان راهداري وحمل نقل جاده اي"</f>
        <v>سازمان راهداري وحمل نقل جاده اي</v>
      </c>
      <c r="AB1241" s="1" t="str">
        <f>"95/12/24"</f>
        <v>95/12/24</v>
      </c>
      <c r="AC1241" s="1" t="str">
        <f>"استان سمنان"</f>
        <v>استان سمنان</v>
      </c>
      <c r="AD1241" s="1" t="str">
        <f>"95/12/28"</f>
        <v>95/12/28</v>
      </c>
      <c r="AE1241" s="1" t="str">
        <f>"اختتام"</f>
        <v>اختتام</v>
      </c>
      <c r="AF1241" s="1" t="str">
        <f>""</f>
        <v/>
      </c>
      <c r="AG1241" s="1" t="str">
        <f>""</f>
        <v/>
      </c>
      <c r="AH1241" s="1" t="str">
        <f>""</f>
        <v/>
      </c>
      <c r="AI1241" s="1" t="str">
        <f>""</f>
        <v/>
      </c>
      <c r="AJ1241" s="1" t="str">
        <f>""</f>
        <v/>
      </c>
      <c r="AK1241" s="1" t="str">
        <f>""</f>
        <v/>
      </c>
    </row>
    <row r="1242" spans="1:37">
      <c r="A1242" s="1">
        <v>750000</v>
      </c>
      <c r="B1242" s="1">
        <v>961900070</v>
      </c>
      <c r="C1242" s="1" t="str">
        <f>"تخليه سه راهي پليس راه جندق - كارگاه شركت زرين سپاهان - 5 كيلومتر به سمت خوركارخانه آسفالت خور"</f>
        <v>تخليه سه راهي پليس راه جندق - كارگاه شركت زرين سپاهان - 5 كيلومتر به سمت خوركارخانه آسفالت خور</v>
      </c>
      <c r="D1242" s="1">
        <v>9204</v>
      </c>
      <c r="E1242" s="1">
        <v>747760</v>
      </c>
      <c r="F1242" s="1">
        <v>96</v>
      </c>
      <c r="G1242" s="1">
        <v>2240</v>
      </c>
      <c r="H1242" s="1" t="str">
        <f>"96/04/22"</f>
        <v>96/04/22</v>
      </c>
      <c r="I1242" s="1" t="str">
        <f>"كيلوگرم"</f>
        <v>كيلوگرم</v>
      </c>
      <c r="J1242" s="1" t="str">
        <f>"0000000094"</f>
        <v>0000000094</v>
      </c>
      <c r="K1242" s="1" t="str">
        <f>"قير  PG70-10"</f>
        <v>قير  PG70-10</v>
      </c>
      <c r="L1242" s="1">
        <v>100</v>
      </c>
      <c r="M1242" s="1" t="str">
        <f>"مخازن قير اصفهان"</f>
        <v>مخازن قير اصفهان</v>
      </c>
      <c r="N1242" s="1">
        <v>7140</v>
      </c>
      <c r="O1242" s="1">
        <v>50035190</v>
      </c>
      <c r="P1242" s="1" t="str">
        <f>"  زرين سپاهان"</f>
        <v xml:space="preserve">  زرين سپاهان</v>
      </c>
      <c r="Q1242" s="1">
        <v>19</v>
      </c>
      <c r="R124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242" s="1" t="str">
        <f>"قرارداد فروش"</f>
        <v>قرارداد فروش</v>
      </c>
      <c r="T1242" s="1" t="str">
        <f>"ندارد"</f>
        <v>ندارد</v>
      </c>
      <c r="U1242" s="1" t="str">
        <f>"مرادي نجاتعلي(1020ج89)"</f>
        <v>مرادي نجاتعلي(1020ج89)</v>
      </c>
      <c r="V1242" s="1">
        <v>961900070</v>
      </c>
      <c r="W1242" s="1">
        <v>961900070</v>
      </c>
      <c r="X1242" s="1" t="str">
        <f>"1396496306"</f>
        <v>1396496306</v>
      </c>
      <c r="Y1242" s="1" t="str">
        <f>"96/04/21"</f>
        <v>96/04/21</v>
      </c>
      <c r="Z1242" s="1" t="str">
        <f>"17686/710"</f>
        <v>17686/710</v>
      </c>
      <c r="AA1242" s="1" t="str">
        <f>"سازمان راهداري وحمل نقل جاده اي"</f>
        <v>سازمان راهداري وحمل نقل جاده اي</v>
      </c>
      <c r="AB1242" s="1" t="str">
        <f>"96/04/20"</f>
        <v>96/04/20</v>
      </c>
      <c r="AC1242" s="1" t="str">
        <f>"استان اصفهان"</f>
        <v>استان اصفهان</v>
      </c>
      <c r="AD1242" s="1" t="str">
        <f>"96/04/21"</f>
        <v>96/04/21</v>
      </c>
      <c r="AE1242" s="1" t="str">
        <f>"اختتام"</f>
        <v>اختتام</v>
      </c>
      <c r="AF1242" s="1" t="str">
        <f>""</f>
        <v/>
      </c>
      <c r="AG1242" s="1" t="str">
        <f>""</f>
        <v/>
      </c>
      <c r="AH1242" s="1" t="str">
        <f>""</f>
        <v/>
      </c>
      <c r="AI1242" s="1" t="str">
        <f>""</f>
        <v/>
      </c>
      <c r="AJ1242" s="1" t="str">
        <f>""</f>
        <v/>
      </c>
      <c r="AK1242" s="1" t="str">
        <f>""</f>
        <v/>
      </c>
    </row>
    <row r="1243" spans="1:37">
      <c r="A1243" s="1">
        <v>250000</v>
      </c>
      <c r="B1243" s="1">
        <v>961900167</v>
      </c>
      <c r="C1243" s="1" t="str">
        <f>"تخليه لرستان الشتركيلومتر6جاده خرگوش ناب كارخانه آسفالت شركت دانه بندي سلسله"</f>
        <v>تخليه لرستان الشتركيلومتر6جاده خرگوش ناب كارخانه آسفالت شركت دانه بندي سلسله</v>
      </c>
      <c r="D1243" s="1">
        <v>12970</v>
      </c>
      <c r="E1243" s="1">
        <v>248620</v>
      </c>
      <c r="F1243" s="1">
        <v>96</v>
      </c>
      <c r="G1243" s="1">
        <v>1380</v>
      </c>
      <c r="H1243" s="1" t="str">
        <f>"96/07/11"</f>
        <v>96/07/11</v>
      </c>
      <c r="I1243" s="1" t="str">
        <f>"كيلوگرم"</f>
        <v>كيلوگرم</v>
      </c>
      <c r="J1243" s="1" t="str">
        <f>"0000000092"</f>
        <v>0000000092</v>
      </c>
      <c r="K1243" s="1" t="str">
        <f>"قير  PG64-16"</f>
        <v>قير  PG64-16</v>
      </c>
      <c r="L1243" s="1">
        <v>100</v>
      </c>
      <c r="M1243" s="1" t="str">
        <f>"مخازن قير اصفهان"</f>
        <v>مخازن قير اصفهان</v>
      </c>
      <c r="N1243" s="1">
        <v>11295</v>
      </c>
      <c r="O1243" s="1">
        <v>50036527</v>
      </c>
      <c r="P1243" s="1" t="str">
        <f>"  اداره كل راهداري وحمل ونقل جاده اي لرستان"</f>
        <v xml:space="preserve">  اداره كل راهداري وحمل ونقل جاده اي لرستان</v>
      </c>
      <c r="Q1243" s="1">
        <v>19</v>
      </c>
      <c r="R124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243" s="1" t="str">
        <f>"قرارداد فروش"</f>
        <v>قرارداد فروش</v>
      </c>
      <c r="T1243" s="1" t="str">
        <f>"ندارد"</f>
        <v>ندارد</v>
      </c>
      <c r="U1243" s="1" t="str">
        <f>"ريسماني حسن(1007ج89)"</f>
        <v>ريسماني حسن(1007ج89)</v>
      </c>
      <c r="V1243" s="1">
        <v>961900167</v>
      </c>
      <c r="W1243" s="1">
        <v>961900167</v>
      </c>
      <c r="X1243" s="1" t="str">
        <f>"1396516181"</f>
        <v>1396516181</v>
      </c>
      <c r="Y1243" s="1" t="str">
        <f>"96/07/11"</f>
        <v>96/07/11</v>
      </c>
      <c r="Z1243" s="1" t="str">
        <f>"33342/710"</f>
        <v>33342/710</v>
      </c>
      <c r="AA1243" s="1" t="str">
        <f>"سازمان راهداري وحمل نقل جاده اي"</f>
        <v>سازمان راهداري وحمل نقل جاده اي</v>
      </c>
      <c r="AB1243" s="1" t="str">
        <f>"96/07/04"</f>
        <v>96/07/04</v>
      </c>
      <c r="AC1243" s="1" t="str">
        <f>"لرستان"</f>
        <v>لرستان</v>
      </c>
      <c r="AD1243" s="1" t="str">
        <f>"96/07/11"</f>
        <v>96/07/11</v>
      </c>
      <c r="AE1243" s="1" t="str">
        <f>"اختتام"</f>
        <v>اختتام</v>
      </c>
      <c r="AF1243" s="1" t="str">
        <f>""</f>
        <v/>
      </c>
      <c r="AG1243" s="1" t="str">
        <f>""</f>
        <v/>
      </c>
      <c r="AH1243" s="1" t="str">
        <f>""</f>
        <v/>
      </c>
      <c r="AI1243" s="1" t="str">
        <f>""</f>
        <v/>
      </c>
      <c r="AJ1243" s="1" t="str">
        <f>""</f>
        <v/>
      </c>
      <c r="AK1243" s="1" t="str">
        <f>""</f>
        <v/>
      </c>
    </row>
    <row r="1244" spans="1:37">
      <c r="A1244" s="1">
        <v>1500000</v>
      </c>
      <c r="B1244" s="1">
        <v>961900195</v>
      </c>
      <c r="C1244" s="1" t="str">
        <f>"تخليه اصفهان آزادراه اصفهان كاشان راهداري كيلومتر205كارخانه آسفالت شركت سان آرا"</f>
        <v>تخليه اصفهان آزادراه اصفهان كاشان راهداري كيلومتر205كارخانه آسفالت شركت سان آرا</v>
      </c>
      <c r="D1244" s="1">
        <v>16350</v>
      </c>
      <c r="E1244" s="1">
        <v>1498820</v>
      </c>
      <c r="F1244" s="1">
        <v>96</v>
      </c>
      <c r="G1244" s="1">
        <v>1180</v>
      </c>
      <c r="H1244" s="1" t="str">
        <f>"96/12/16"</f>
        <v>96/12/16</v>
      </c>
      <c r="I1244" s="1" t="str">
        <f>"كيلوگرم"</f>
        <v>كيلوگرم</v>
      </c>
      <c r="J1244" s="1" t="str">
        <f>"0000000092"</f>
        <v>0000000092</v>
      </c>
      <c r="K1244" s="1" t="str">
        <f>"قير  PG64-16"</f>
        <v>قير  PG64-16</v>
      </c>
      <c r="L1244" s="1">
        <v>100</v>
      </c>
      <c r="M1244" s="1" t="str">
        <f>"مخازن قير اصفهان"</f>
        <v>مخازن قير اصفهان</v>
      </c>
      <c r="N1244" s="1">
        <v>11524</v>
      </c>
      <c r="O1244" s="1">
        <v>50038903</v>
      </c>
      <c r="P1244" s="1" t="str">
        <f>"  اداره كل راهداري وحمل ونقل جاده اي استان اصفهان"</f>
        <v xml:space="preserve">  اداره كل راهداري وحمل ونقل جاده اي استان اصفهان</v>
      </c>
      <c r="Q1244" s="1">
        <v>19</v>
      </c>
      <c r="R124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244" s="1" t="str">
        <f>"قرارداد فروش"</f>
        <v>قرارداد فروش</v>
      </c>
      <c r="T1244" s="1" t="str">
        <f>"ندارد"</f>
        <v>ندارد</v>
      </c>
      <c r="U1244" s="1" t="str">
        <f>"سيفي پور عبدالمجيد(1009ج89)"</f>
        <v>سيفي پور عبدالمجيد(1009ج89)</v>
      </c>
      <c r="V1244" s="1">
        <v>961900195</v>
      </c>
      <c r="W1244" s="1">
        <v>961900195</v>
      </c>
      <c r="X1244" s="1" t="str">
        <f>"1396553443"</f>
        <v>1396553443</v>
      </c>
      <c r="Y1244" s="1" t="str">
        <f>"96/12/16"</f>
        <v>96/12/16</v>
      </c>
      <c r="Z1244" s="1" t="str">
        <f>"56871/710"</f>
        <v>56871/710</v>
      </c>
      <c r="AA1244" s="1" t="str">
        <f>"سازمان راهداري وحمل نقل جاده اي"</f>
        <v>سازمان راهداري وحمل نقل جاده اي</v>
      </c>
      <c r="AB1244" s="1" t="str">
        <f>"96/11/02"</f>
        <v>96/11/02</v>
      </c>
      <c r="AC1244" s="1" t="str">
        <f>"استان اصفهان"</f>
        <v>استان اصفهان</v>
      </c>
      <c r="AD1244" s="1" t="str">
        <f>"96/12/16"</f>
        <v>96/12/16</v>
      </c>
      <c r="AE1244" s="1" t="str">
        <f>"اختتام"</f>
        <v>اختتام</v>
      </c>
      <c r="AF1244" s="1" t="str">
        <f>""</f>
        <v/>
      </c>
      <c r="AG1244" s="1" t="str">
        <f>""</f>
        <v/>
      </c>
      <c r="AH1244" s="1" t="str">
        <f>""</f>
        <v/>
      </c>
      <c r="AI1244" s="1" t="str">
        <f>""</f>
        <v/>
      </c>
      <c r="AJ1244" s="1" t="str">
        <f>""</f>
        <v/>
      </c>
      <c r="AK1244" s="1" t="str">
        <f>""</f>
        <v/>
      </c>
    </row>
    <row r="1245" spans="1:37">
      <c r="A1245" s="1">
        <v>242000</v>
      </c>
      <c r="B1245" s="1">
        <v>966200003</v>
      </c>
      <c r="C1245" s="1" t="str">
        <f>"تخليه-کرمان-کيلومتر13جاده بهرامجرد-کارخانه آسفالت طلائي"</f>
        <v>تخليه-کرمان-کيلومتر13جاده بهرامجرد-کارخانه آسفالت طلائي</v>
      </c>
      <c r="D1245" s="1">
        <v>8198</v>
      </c>
      <c r="E1245" s="1">
        <v>240700</v>
      </c>
      <c r="F1245" s="1">
        <v>96</v>
      </c>
      <c r="G1245" s="1">
        <v>1300</v>
      </c>
      <c r="H1245" s="1" t="str">
        <f>"96/01/19"</f>
        <v>96/01/19</v>
      </c>
      <c r="I1245" s="1" t="str">
        <f>"كيلوگرم"</f>
        <v>كيلوگرم</v>
      </c>
      <c r="J1245" s="1" t="str">
        <f>"0000000076"</f>
        <v>0000000076</v>
      </c>
      <c r="K1245" s="1" t="str">
        <f>"قير 60/70 - فله"</f>
        <v>قير 60/70 - فله</v>
      </c>
      <c r="L1245" s="1">
        <v>100</v>
      </c>
      <c r="M1245" s="1" t="str">
        <f>"مخازن قير اصفهان"</f>
        <v>مخازن قير اصفهان</v>
      </c>
      <c r="N1245" s="1">
        <v>11300</v>
      </c>
      <c r="O1245" s="1">
        <v>50034428</v>
      </c>
      <c r="P1245" s="1" t="str">
        <f>"  افرنگ خشت پارينا"</f>
        <v xml:space="preserve">  افرنگ خشت پارينا</v>
      </c>
      <c r="Q1245" s="1">
        <v>62</v>
      </c>
      <c r="R1245" s="1" t="str">
        <f>"فروش داخلي - سازمان بنيادمسكن انقلاب اسلامي"</f>
        <v>فروش داخلي - سازمان بنيادمسكن انقلاب اسلامي</v>
      </c>
      <c r="S1245" s="1" t="str">
        <f>"قرارداد فروش"</f>
        <v>قرارداد فروش</v>
      </c>
      <c r="T1245" s="1" t="str">
        <f>"ندارد"</f>
        <v>ندارد</v>
      </c>
      <c r="U1245" s="1" t="str">
        <f>"دهقانيان بيژن (4954038)"</f>
        <v>دهقانيان بيژن (4954038)</v>
      </c>
      <c r="V1245" s="1">
        <v>966200003</v>
      </c>
      <c r="W1245" s="1">
        <v>966200003</v>
      </c>
      <c r="X1245" s="1" t="str">
        <f>"1396472562"</f>
        <v>1396472562</v>
      </c>
      <c r="Y1245" s="1" t="str">
        <f>"96/01/19"</f>
        <v>96/01/19</v>
      </c>
      <c r="Z1245" s="1" t="str">
        <f>"920/د"</f>
        <v>920/د</v>
      </c>
      <c r="AA1245" s="1" t="str">
        <f>"بنيادمسكن انقلاب اسلامي"</f>
        <v>بنيادمسكن انقلاب اسلامي</v>
      </c>
      <c r="AB1245" s="1" t="str">
        <f>"96/01/19"</f>
        <v>96/01/19</v>
      </c>
      <c r="AC1245" s="1" t="str">
        <f>"استان كرمان"</f>
        <v>استان كرمان</v>
      </c>
      <c r="AD1245" s="1" t="str">
        <f>"96/01/19"</f>
        <v>96/01/19</v>
      </c>
      <c r="AE1245" s="1" t="str">
        <f>"اختتام"</f>
        <v>اختتام</v>
      </c>
      <c r="AF1245" s="1" t="str">
        <f>""</f>
        <v/>
      </c>
      <c r="AG1245" s="1" t="str">
        <f>""</f>
        <v/>
      </c>
      <c r="AH1245" s="1" t="str">
        <f>""</f>
        <v/>
      </c>
      <c r="AI1245" s="1" t="str">
        <f>""</f>
        <v/>
      </c>
      <c r="AJ1245" s="1" t="str">
        <f>""</f>
        <v/>
      </c>
      <c r="AK1245" s="1" t="str">
        <f>""</f>
        <v/>
      </c>
    </row>
    <row r="1246" spans="1:37">
      <c r="A1246" s="1">
        <v>223000</v>
      </c>
      <c r="B1246" s="1">
        <v>966200581</v>
      </c>
      <c r="C1246" s="1" t="str">
        <f>"تخليه-کرمان-کيلومتر13جاده بهرامجرد-کارخانه آسفالت طلائي"</f>
        <v>تخليه-کرمان-کيلومتر13جاده بهرامجرد-کارخانه آسفالت طلائي</v>
      </c>
      <c r="D1246" s="1">
        <v>13200</v>
      </c>
      <c r="E1246" s="1">
        <v>222580</v>
      </c>
      <c r="F1246" s="1">
        <v>96</v>
      </c>
      <c r="G1246" s="1">
        <v>420</v>
      </c>
      <c r="H1246" s="1" t="str">
        <f>"96/11/24"</f>
        <v>96/11/24</v>
      </c>
      <c r="I1246" s="1" t="str">
        <f>"كيلوگرم"</f>
        <v>كيلوگرم</v>
      </c>
      <c r="J1246" s="1" t="str">
        <f>"0000000076"</f>
        <v>0000000076</v>
      </c>
      <c r="K1246" s="1" t="str">
        <f>"قير 60/70 - فله"</f>
        <v>قير 60/70 - فله</v>
      </c>
      <c r="L1246" s="1">
        <v>100</v>
      </c>
      <c r="M1246" s="1" t="str">
        <f>"مخازن قير اصفهان"</f>
        <v>مخازن قير اصفهان</v>
      </c>
      <c r="N1246" s="1">
        <v>11300</v>
      </c>
      <c r="O1246" s="1">
        <v>50038510</v>
      </c>
      <c r="P1246" s="1" t="str">
        <f>"  افرنگ خشت پارينا"</f>
        <v xml:space="preserve">  افرنگ خشت پارينا</v>
      </c>
      <c r="Q1246" s="1">
        <v>62</v>
      </c>
      <c r="R1246" s="1" t="str">
        <f>"فروش داخلي - سازمان بنيادمسكن انقلاب اسلامي"</f>
        <v>فروش داخلي - سازمان بنيادمسكن انقلاب اسلامي</v>
      </c>
      <c r="S1246" s="1" t="str">
        <f>"قرارداد فروش"</f>
        <v>قرارداد فروش</v>
      </c>
      <c r="T1246" s="1" t="str">
        <f>"ندارد"</f>
        <v>ندارد</v>
      </c>
      <c r="U1246" s="1" t="str">
        <f>"قره باغي مجيد(1871065)"</f>
        <v>قره باغي مجيد(1871065)</v>
      </c>
      <c r="V1246" s="1">
        <v>966200581</v>
      </c>
      <c r="W1246" s="1">
        <v>966200581</v>
      </c>
      <c r="X1246" s="1" t="str">
        <f>"1396547682"</f>
        <v>1396547682</v>
      </c>
      <c r="Y1246" s="1" t="str">
        <f>"96/11/24"</f>
        <v>96/11/24</v>
      </c>
      <c r="Z1246" s="1" t="str">
        <f>"52937/د"</f>
        <v>52937/د</v>
      </c>
      <c r="AA1246" s="1" t="str">
        <f>"بنيادمسكن انقلاب اسلامي"</f>
        <v>بنيادمسكن انقلاب اسلامي</v>
      </c>
      <c r="AB1246" s="1" t="str">
        <f>"96/11/24"</f>
        <v>96/11/24</v>
      </c>
      <c r="AC1246" s="1" t="str">
        <f>"استان كرمان"</f>
        <v>استان كرمان</v>
      </c>
      <c r="AD1246" s="1" t="str">
        <f>"96/11/24"</f>
        <v>96/11/24</v>
      </c>
      <c r="AE1246" s="1" t="str">
        <f>"اختتام"</f>
        <v>اختتام</v>
      </c>
      <c r="AF1246" s="1" t="str">
        <f>""</f>
        <v/>
      </c>
      <c r="AG1246" s="1" t="str">
        <f>""</f>
        <v/>
      </c>
      <c r="AH1246" s="1" t="str">
        <f>""</f>
        <v/>
      </c>
      <c r="AI1246" s="1" t="str">
        <f>""</f>
        <v/>
      </c>
      <c r="AJ1246" s="1" t="str">
        <f>""</f>
        <v/>
      </c>
      <c r="AK1246" s="1" t="str">
        <f>""</f>
        <v/>
      </c>
    </row>
    <row r="1247" spans="1:37">
      <c r="A1247" s="1">
        <v>190000</v>
      </c>
      <c r="B1247" s="1">
        <v>966200469</v>
      </c>
      <c r="C1247" s="1" t="str">
        <f>"تخليه - کهگيلويه-دهدشت-روستاي خيرآباد-کارخانه آسفالت مظفر"</f>
        <v>تخليه - کهگيلويه-دهدشت-روستاي خيرآباد-کارخانه آسفالت مظفر</v>
      </c>
      <c r="D1247" s="1">
        <v>12820</v>
      </c>
      <c r="E1247" s="1">
        <v>189280</v>
      </c>
      <c r="F1247" s="1">
        <v>96</v>
      </c>
      <c r="G1247" s="1">
        <v>720</v>
      </c>
      <c r="H1247" s="1" t="str">
        <f>"96/09/27"</f>
        <v>96/09/27</v>
      </c>
      <c r="I1247" s="1" t="str">
        <f>"كيلوگرم"</f>
        <v>كيلوگرم</v>
      </c>
      <c r="J1247" s="1" t="str">
        <f>"0000000076"</f>
        <v>0000000076</v>
      </c>
      <c r="K1247" s="1" t="str">
        <f>"قير 60/70 - فله"</f>
        <v>قير 60/70 - فله</v>
      </c>
      <c r="L1247" s="1">
        <v>100</v>
      </c>
      <c r="M1247" s="1" t="str">
        <f>"مخازن قير اصفهان"</f>
        <v>مخازن قير اصفهان</v>
      </c>
      <c r="N1247" s="1">
        <v>11302</v>
      </c>
      <c r="O1247" s="1">
        <v>50037914</v>
      </c>
      <c r="P1247" s="1" t="str">
        <f>"  باربد کاژه"</f>
        <v xml:space="preserve">  باربد کاژه</v>
      </c>
      <c r="Q1247" s="1">
        <v>62</v>
      </c>
      <c r="R1247" s="1" t="str">
        <f>"فروش داخلي - سازمان بنيادمسكن انقلاب اسلامي"</f>
        <v>فروش داخلي - سازمان بنيادمسكن انقلاب اسلامي</v>
      </c>
      <c r="S1247" s="1" t="str">
        <f>"قرارداد فروش"</f>
        <v>قرارداد فروش</v>
      </c>
      <c r="T1247" s="1" t="str">
        <f>"ندارد"</f>
        <v>ندارد</v>
      </c>
      <c r="U1247" s="1" t="str">
        <f>"غلام نجفي سيامك‌‌‌‌‌‌(1881082)"</f>
        <v>غلام نجفي سيامك‌‌‌‌‌‌(1881082)</v>
      </c>
      <c r="V1247" s="1">
        <v>966200469</v>
      </c>
      <c r="W1247" s="1">
        <v>966200469</v>
      </c>
      <c r="X1247" s="1" t="str">
        <f>"1396533043"</f>
        <v>1396533043</v>
      </c>
      <c r="Y1247" s="1" t="str">
        <f>"96/09/27"</f>
        <v>96/09/27</v>
      </c>
      <c r="Z1247" s="1" t="str">
        <f>"42431/د"</f>
        <v>42431/د</v>
      </c>
      <c r="AA1247" s="1" t="str">
        <f>"بنيادمسكن انقلاب اسلامي"</f>
        <v>بنيادمسكن انقلاب اسلامي</v>
      </c>
      <c r="AB1247" s="1" t="str">
        <f>"96/09/26"</f>
        <v>96/09/26</v>
      </c>
      <c r="AC1247" s="1" t="str">
        <f>"كهكيلويه و بوير احمد"</f>
        <v>كهكيلويه و بوير احمد</v>
      </c>
      <c r="AD1247" s="1" t="str">
        <f>"96/09/27"</f>
        <v>96/09/27</v>
      </c>
      <c r="AE1247" s="1" t="str">
        <f>"اختتام"</f>
        <v>اختتام</v>
      </c>
      <c r="AF1247" s="1" t="str">
        <f>""</f>
        <v/>
      </c>
      <c r="AG1247" s="1" t="str">
        <f>""</f>
        <v/>
      </c>
      <c r="AH1247" s="1" t="str">
        <f>""</f>
        <v/>
      </c>
      <c r="AI1247" s="1" t="str">
        <f>""</f>
        <v/>
      </c>
      <c r="AJ1247" s="1" t="str">
        <f>""</f>
        <v/>
      </c>
      <c r="AK1247" s="1" t="str">
        <f>""</f>
        <v/>
      </c>
    </row>
    <row r="1248" spans="1:37">
      <c r="A1248" s="1">
        <v>2000000</v>
      </c>
      <c r="B1248" s="1">
        <v>961100010</v>
      </c>
      <c r="C1248" s="1" t="str">
        <f>"تخليه اصفهان خيابان ارغوانيه سه راه گردنه زينل كارخانه آسفالت سازمان عمران شهرداري اصفهان"</f>
        <v>تخليه اصفهان خيابان ارغوانيه سه راه گردنه زينل كارخانه آسفالت سازمان عمران شهرداري اصفهان</v>
      </c>
      <c r="D1248" s="1">
        <v>8918</v>
      </c>
      <c r="E1248" s="1">
        <v>2000000</v>
      </c>
      <c r="F1248" s="1">
        <v>96</v>
      </c>
      <c r="G1248" s="1">
        <v>0</v>
      </c>
      <c r="H1248" s="1" t="str">
        <f>"96/02/11"</f>
        <v>96/02/11</v>
      </c>
      <c r="I1248" s="1" t="str">
        <f>"كيلوگرم"</f>
        <v>كيلوگرم</v>
      </c>
      <c r="J1248" s="1" t="str">
        <f>"0000000076"</f>
        <v>0000000076</v>
      </c>
      <c r="K1248" s="1" t="str">
        <f>"قير 60/70 - فله"</f>
        <v>قير 60/70 - فله</v>
      </c>
      <c r="L1248" s="1">
        <v>100</v>
      </c>
      <c r="M1248" s="1" t="str">
        <f>"مخازن قير اصفهان"</f>
        <v>مخازن قير اصفهان</v>
      </c>
      <c r="N1248" s="1">
        <v>11346</v>
      </c>
      <c r="O1248" s="1">
        <v>50034726</v>
      </c>
      <c r="P1248" s="1" t="str">
        <f>"  شهرداري اصفهان(شهرداري منطقه 12)"</f>
        <v xml:space="preserve">  شهرداري اصفهان(شهرداري منطقه 12)</v>
      </c>
      <c r="Q1248" s="1">
        <v>11</v>
      </c>
      <c r="R1248" s="1" t="str">
        <f>"فروش داخلي تهران - بورس"</f>
        <v>فروش داخلي تهران - بورس</v>
      </c>
      <c r="S1248" s="1" t="str">
        <f>"قرارداد فروش"</f>
        <v>قرارداد فروش</v>
      </c>
      <c r="T1248" s="1" t="str">
        <f>"ندارد"</f>
        <v>ندارد</v>
      </c>
      <c r="U1248" s="1" t="str">
        <f>"ترك شاهسوندي مهدي(1022ج89)"</f>
        <v>ترك شاهسوندي مهدي(1022ج89)</v>
      </c>
      <c r="V1248" s="1">
        <v>961100010</v>
      </c>
      <c r="W1248" s="1">
        <v>961100010</v>
      </c>
      <c r="X1248" s="1" t="str">
        <f>"1396477689"</f>
        <v>1396477689</v>
      </c>
      <c r="Y1248" s="1" t="str">
        <f>"96/02/11"</f>
        <v>96/02/11</v>
      </c>
      <c r="Z1248" s="1" t="str">
        <f>"12/96/962"</f>
        <v>12/96/962</v>
      </c>
      <c r="AA1248" s="1" t="str">
        <f>"شهرداريها"</f>
        <v>شهرداريها</v>
      </c>
      <c r="AB1248" s="1" t="str">
        <f>"96/02/06"</f>
        <v>96/02/06</v>
      </c>
      <c r="AC1248" s="1" t="str">
        <f>"استان اصفهان"</f>
        <v>استان اصفهان</v>
      </c>
      <c r="AD1248" s="1" t="str">
        <f>"96/02/10"</f>
        <v>96/02/10</v>
      </c>
      <c r="AE1248" s="1" t="str">
        <f>"اختتام"</f>
        <v>اختتام</v>
      </c>
      <c r="AF1248" s="1" t="str">
        <f>""</f>
        <v/>
      </c>
      <c r="AG1248" s="1" t="str">
        <f>""</f>
        <v/>
      </c>
      <c r="AH1248" s="1" t="str">
        <f>""</f>
        <v/>
      </c>
      <c r="AI1248" s="1" t="str">
        <f>""</f>
        <v/>
      </c>
      <c r="AJ1248" s="1" t="str">
        <f>""</f>
        <v/>
      </c>
      <c r="AK1248" s="1" t="str">
        <f>""</f>
        <v/>
      </c>
    </row>
    <row r="1249" spans="1:37">
      <c r="A1249" s="1">
        <v>3000000</v>
      </c>
      <c r="B1249" s="1">
        <v>961100019</v>
      </c>
      <c r="C1249" s="1" t="str">
        <f>"تخليه اصفهان خيابان ارغوانيه سه راه گردنه زينل كارخانه آسفالت سازمان عمران شهرداري اصفهان"</f>
        <v>تخليه اصفهان خيابان ارغوانيه سه راه گردنه زينل كارخانه آسفالت سازمان عمران شهرداري اصفهان</v>
      </c>
      <c r="D1249" s="1">
        <v>8918</v>
      </c>
      <c r="E1249" s="1">
        <v>3000000</v>
      </c>
      <c r="F1249" s="1">
        <v>96</v>
      </c>
      <c r="G1249" s="1">
        <v>0</v>
      </c>
      <c r="H1249" s="1" t="str">
        <f>"96/02/30"</f>
        <v>96/02/30</v>
      </c>
      <c r="I1249" s="1" t="str">
        <f>"كيلوگرم"</f>
        <v>كيلوگرم</v>
      </c>
      <c r="J1249" s="1" t="str">
        <f>"0000000076"</f>
        <v>0000000076</v>
      </c>
      <c r="K1249" s="1" t="str">
        <f>"قير 60/70 - فله"</f>
        <v>قير 60/70 - فله</v>
      </c>
      <c r="L1249" s="1">
        <v>100</v>
      </c>
      <c r="M1249" s="1" t="str">
        <f>"مخازن قير اصفهان"</f>
        <v>مخازن قير اصفهان</v>
      </c>
      <c r="N1249" s="1">
        <v>11346</v>
      </c>
      <c r="O1249" s="1">
        <v>50034870</v>
      </c>
      <c r="P1249" s="1" t="str">
        <f>"  شهرداري اصفهان(شهرداري منطقه 12)"</f>
        <v xml:space="preserve">  شهرداري اصفهان(شهرداري منطقه 12)</v>
      </c>
      <c r="Q1249" s="1">
        <v>11</v>
      </c>
      <c r="R1249" s="1" t="str">
        <f>"فروش داخلي تهران - بورس"</f>
        <v>فروش داخلي تهران - بورس</v>
      </c>
      <c r="S1249" s="1" t="str">
        <f>"قرارداد فروش"</f>
        <v>قرارداد فروش</v>
      </c>
      <c r="T1249" s="1" t="str">
        <f>"ندارد"</f>
        <v>ندارد</v>
      </c>
      <c r="U1249" s="1" t="str">
        <f>"ترك شاهسوندي مهدي(1022ج89)"</f>
        <v>ترك شاهسوندي مهدي(1022ج89)</v>
      </c>
      <c r="V1249" s="1">
        <v>961100019</v>
      </c>
      <c r="W1249" s="1">
        <v>961100019</v>
      </c>
      <c r="X1249" s="1" t="str">
        <f>"1396480779"</f>
        <v>1396480779</v>
      </c>
      <c r="Y1249" s="1" t="str">
        <f>"96/02/30"</f>
        <v>96/02/30</v>
      </c>
      <c r="Z1249" s="1" t="str">
        <f>"12/96/1912"</f>
        <v>12/96/1912</v>
      </c>
      <c r="AA1249" s="1" t="str">
        <f>"شهرداريها"</f>
        <v>شهرداريها</v>
      </c>
      <c r="AB1249" s="1" t="str">
        <f>"96/02/27"</f>
        <v>96/02/27</v>
      </c>
      <c r="AC1249" s="1" t="str">
        <f>"استان اصفهان"</f>
        <v>استان اصفهان</v>
      </c>
      <c r="AD1249" s="1" t="str">
        <f>"96/02/25"</f>
        <v>96/02/25</v>
      </c>
      <c r="AE1249" s="1" t="str">
        <f>"اختتام"</f>
        <v>اختتام</v>
      </c>
      <c r="AF1249" s="1" t="str">
        <f>""</f>
        <v/>
      </c>
      <c r="AG1249" s="1" t="str">
        <f>""</f>
        <v/>
      </c>
      <c r="AH1249" s="1" t="str">
        <f>""</f>
        <v/>
      </c>
      <c r="AI1249" s="1" t="str">
        <f>""</f>
        <v/>
      </c>
      <c r="AJ1249" s="1" t="str">
        <f>""</f>
        <v/>
      </c>
      <c r="AK1249" s="1" t="str">
        <f>""</f>
        <v/>
      </c>
    </row>
    <row r="1250" spans="1:37">
      <c r="A1250" s="1">
        <v>1000000</v>
      </c>
      <c r="B1250" s="1">
        <v>961600004</v>
      </c>
      <c r="C1250" s="1" t="str">
        <f>"تخليه سيستان وبلوچستان پروژه قطعه پنجم بانددوم محورزابل زاهدان جهادنصرسيستان وبلوچستان"</f>
        <v>تخليه سيستان وبلوچستان پروژه قطعه پنجم بانددوم محورزابل زاهدان جهادنصرسيستان وبلوچستان</v>
      </c>
      <c r="D1250" s="1">
        <v>9154</v>
      </c>
      <c r="E1250" s="1">
        <v>997580</v>
      </c>
      <c r="F1250" s="1">
        <v>96</v>
      </c>
      <c r="G1250" s="1">
        <v>2420</v>
      </c>
      <c r="H1250" s="1" t="str">
        <f>"96/02/31"</f>
        <v>96/02/31</v>
      </c>
      <c r="I1250" s="1" t="str">
        <f>"كيلوگرم"</f>
        <v>كيلوگرم</v>
      </c>
      <c r="J1250" s="1" t="str">
        <f>"0000000094"</f>
        <v>0000000094</v>
      </c>
      <c r="K1250" s="1" t="str">
        <f>"قير  PG70-10"</f>
        <v>قير  PG70-10</v>
      </c>
      <c r="L1250" s="1">
        <v>100</v>
      </c>
      <c r="M1250" s="1" t="str">
        <f>"مخازن قير اصفهان"</f>
        <v>مخازن قير اصفهان</v>
      </c>
      <c r="N1250" s="1">
        <v>4063</v>
      </c>
      <c r="O1250" s="1">
        <v>50034876</v>
      </c>
      <c r="P1250" s="1" t="str">
        <f>"  جهاد نصر كرمان"</f>
        <v xml:space="preserve">  جهاد نصر كرمان</v>
      </c>
      <c r="Q1250" s="1">
        <v>16</v>
      </c>
      <c r="R1250" s="1" t="str">
        <f>"فروش داخلي تهران - وزارت راه - معاونت اقتصاد"</f>
        <v>فروش داخلي تهران - وزارت راه - معاونت اقتصاد</v>
      </c>
      <c r="S1250" s="1" t="str">
        <f>"قرارداد فروش"</f>
        <v>قرارداد فروش</v>
      </c>
      <c r="T1250" s="1" t="str">
        <f>"ندارد"</f>
        <v>ندارد</v>
      </c>
      <c r="U1250" s="1" t="str">
        <f>"ميرحسيني سيناترابر سيدمحمد(4854031)"</f>
        <v>ميرحسيني سيناترابر سيدمحمد(4854031)</v>
      </c>
      <c r="V1250" s="1">
        <v>961600004</v>
      </c>
      <c r="W1250" s="1">
        <v>961600004</v>
      </c>
      <c r="X1250" s="1" t="str">
        <f>"1396482233"</f>
        <v>1396482233</v>
      </c>
      <c r="Y1250" s="1" t="str">
        <f>"96/02/31"</f>
        <v>96/02/31</v>
      </c>
      <c r="Z1250" s="1" t="str">
        <f>"8452/710"</f>
        <v>8452/710</v>
      </c>
      <c r="AA1250" s="1" t="str">
        <f>"معاونت اقتصادوزارت راه وشهرسازي"</f>
        <v>معاونت اقتصادوزارت راه وشهرسازي</v>
      </c>
      <c r="AB1250" s="1" t="str">
        <f>"96/02/26"</f>
        <v>96/02/26</v>
      </c>
      <c r="AC1250" s="1" t="str">
        <f>"استان سيستان بلوچستان"</f>
        <v>استان سيستان بلوچستان</v>
      </c>
      <c r="AD1250" s="1" t="str">
        <f>"96/02/31"</f>
        <v>96/02/31</v>
      </c>
      <c r="AE1250" s="1" t="str">
        <f>"اختتام"</f>
        <v>اختتام</v>
      </c>
      <c r="AF1250" s="1" t="str">
        <f>""</f>
        <v/>
      </c>
      <c r="AG1250" s="1" t="str">
        <f>""</f>
        <v/>
      </c>
      <c r="AH1250" s="1" t="str">
        <f>""</f>
        <v/>
      </c>
      <c r="AI1250" s="1" t="str">
        <f>""</f>
        <v/>
      </c>
      <c r="AJ1250" s="1" t="str">
        <f>""</f>
        <v/>
      </c>
      <c r="AK1250" s="1" t="str">
        <f>""</f>
        <v/>
      </c>
    </row>
    <row r="1251" spans="1:37">
      <c r="A1251" s="1">
        <v>400000</v>
      </c>
      <c r="B1251" s="1">
        <v>961700095</v>
      </c>
      <c r="C1251" s="1" t="str">
        <f>"تخليه -سيستان و بلوچستان-سراوان-کارخانه آسفالت شهرداري سراوان"</f>
        <v>تخليه -سيستان و بلوچستان-سراوان-کارخانه آسفالت شهرداري سراوان</v>
      </c>
      <c r="D1251" s="1">
        <v>13400</v>
      </c>
      <c r="E1251" s="1">
        <v>390380</v>
      </c>
      <c r="F1251" s="1">
        <v>96</v>
      </c>
      <c r="G1251" s="1">
        <v>9620</v>
      </c>
      <c r="H1251" s="1" t="str">
        <f>"96/06/21"</f>
        <v>96/06/21</v>
      </c>
      <c r="I1251" s="1" t="str">
        <f>"كيلوگرم"</f>
        <v>كيلوگرم</v>
      </c>
      <c r="J1251" s="1" t="str">
        <f>"0000000094"</f>
        <v>0000000094</v>
      </c>
      <c r="K1251" s="1" t="str">
        <f>"قير  PG70-10"</f>
        <v>قير  PG70-10</v>
      </c>
      <c r="L1251" s="1">
        <v>100</v>
      </c>
      <c r="M1251" s="1" t="str">
        <f>"مخازن قير اصفهان"</f>
        <v>مخازن قير اصفهان</v>
      </c>
      <c r="N1251" s="1">
        <v>4095</v>
      </c>
      <c r="O1251" s="1">
        <v>50036351</v>
      </c>
      <c r="P1251" s="1" t="str">
        <f>"  اداره كل راه وشهرسازي سيستان وبلوچستان"</f>
        <v xml:space="preserve">  اداره كل راه وشهرسازي سيستان وبلوچستان</v>
      </c>
      <c r="Q1251" s="1">
        <v>17</v>
      </c>
      <c r="R1251" s="1" t="str">
        <f>"فروش داخلي تهران - وزارت راه - راه روستايي - روکش"</f>
        <v>فروش داخلي تهران - وزارت راه - راه روستايي - روکش</v>
      </c>
      <c r="S1251" s="1" t="str">
        <f>"قرارداد فروش"</f>
        <v>قرارداد فروش</v>
      </c>
      <c r="T1251" s="1" t="str">
        <f>"ندارد"</f>
        <v>ندارد</v>
      </c>
      <c r="U1251" s="1" t="str">
        <f>"افناني اسفندآبادي سعيد(4844002)"</f>
        <v>افناني اسفندآبادي سعيد(4844002)</v>
      </c>
      <c r="V1251" s="1">
        <v>961700095</v>
      </c>
      <c r="W1251" s="1">
        <v>961700095</v>
      </c>
      <c r="X1251" s="1" t="str">
        <f>"1396511618"</f>
        <v>1396511618</v>
      </c>
      <c r="Y1251" s="1" t="str">
        <f>"96/06/21"</f>
        <v>96/06/21</v>
      </c>
      <c r="Z1251" s="1" t="str">
        <f>"29798/710"</f>
        <v>29798/710</v>
      </c>
      <c r="AA1251" s="1" t="str">
        <f>"راه روستائي -روكش"</f>
        <v>راه روستائي -روكش</v>
      </c>
      <c r="AB1251" s="1" t="str">
        <f>"96/06/15"</f>
        <v>96/06/15</v>
      </c>
      <c r="AC1251" s="1" t="str">
        <f>"استان سيستان بلوچستان"</f>
        <v>استان سيستان بلوچستان</v>
      </c>
      <c r="AD1251" s="1" t="str">
        <f>"96/06/21"</f>
        <v>96/06/21</v>
      </c>
      <c r="AE1251" s="1" t="str">
        <f>"اختتام"</f>
        <v>اختتام</v>
      </c>
      <c r="AF1251" s="1" t="str">
        <f>""</f>
        <v/>
      </c>
      <c r="AG1251" s="1" t="str">
        <f>""</f>
        <v/>
      </c>
      <c r="AH1251" s="1" t="str">
        <f>""</f>
        <v/>
      </c>
      <c r="AI1251" s="1" t="str">
        <f>""</f>
        <v/>
      </c>
      <c r="AJ1251" s="1" t="str">
        <f>""</f>
        <v/>
      </c>
      <c r="AK1251" s="1" t="str">
        <f>""</f>
        <v/>
      </c>
    </row>
    <row r="1252" spans="1:37">
      <c r="A1252" s="1">
        <v>500000</v>
      </c>
      <c r="B1252" s="1">
        <v>961800071</v>
      </c>
      <c r="C1252" s="1" t="str">
        <f>"تخليه -زاهدان -كارگاه ساختماني پاريز"</f>
        <v>تخليه -زاهدان -كارگاه ساختماني پاريز</v>
      </c>
      <c r="D1252" s="1">
        <v>16750</v>
      </c>
      <c r="E1252" s="1">
        <v>496480</v>
      </c>
      <c r="F1252" s="1">
        <v>96</v>
      </c>
      <c r="G1252" s="1">
        <v>3520</v>
      </c>
      <c r="H1252" s="1" t="str">
        <f>"96/12/24"</f>
        <v>96/12/24</v>
      </c>
      <c r="I1252" s="1" t="str">
        <f>"كيلوگرم"</f>
        <v>كيلوگرم</v>
      </c>
      <c r="J1252" s="1" t="str">
        <f>"0000000094"</f>
        <v>0000000094</v>
      </c>
      <c r="K1252" s="1" t="str">
        <f>"قير  PG70-10"</f>
        <v>قير  PG70-10</v>
      </c>
      <c r="L1252" s="1">
        <v>100</v>
      </c>
      <c r="M1252" s="1" t="str">
        <f>"مخازن قير اصفهان"</f>
        <v>مخازن قير اصفهان</v>
      </c>
      <c r="N1252" s="1">
        <v>8224</v>
      </c>
      <c r="O1252" s="1">
        <v>50039020</v>
      </c>
      <c r="P1252" s="1" t="str">
        <f>"  ساختماني پاريز"</f>
        <v xml:space="preserve">  ساختماني پاريز</v>
      </c>
      <c r="Q1252" s="1">
        <v>18</v>
      </c>
      <c r="R1252" s="1" t="str">
        <f>"فروش داخلي تهران - وزارت راه - شرکت ساخت و توسعه راهها"</f>
        <v>فروش داخلي تهران - وزارت راه - شرکت ساخت و توسعه راهها</v>
      </c>
      <c r="S1252" s="1" t="str">
        <f>"قرارداد فروش"</f>
        <v>قرارداد فروش</v>
      </c>
      <c r="T1252" s="1" t="str">
        <f>"ندارد"</f>
        <v>ندارد</v>
      </c>
      <c r="U1252" s="1" t="str">
        <f>"ميرحسيني چاپارحقيقت كرمان(4844008)"</f>
        <v>ميرحسيني چاپارحقيقت كرمان(4844008)</v>
      </c>
      <c r="V1252" s="1">
        <v>961800071</v>
      </c>
      <c r="W1252" s="1">
        <v>961800071</v>
      </c>
      <c r="X1252" s="1" t="str">
        <f>"1396554109"</f>
        <v>1396554109</v>
      </c>
      <c r="Y1252" s="1" t="str">
        <f>"96/12/24"</f>
        <v>96/12/24</v>
      </c>
      <c r="Z1252" s="1" t="str">
        <f>"52339/710"</f>
        <v>52339/710</v>
      </c>
      <c r="AA1252" s="1" t="str">
        <f>"شركت  ساخت وتوسعه راهها"</f>
        <v>شركت  ساخت وتوسعه راهها</v>
      </c>
      <c r="AB1252" s="1" t="str">
        <f>"96/10/10"</f>
        <v>96/10/10</v>
      </c>
      <c r="AC1252" s="1" t="str">
        <f>"استان سيستان بلوچستان"</f>
        <v>استان سيستان بلوچستان</v>
      </c>
      <c r="AD1252" s="1" t="str">
        <f>"96/12/21"</f>
        <v>96/12/21</v>
      </c>
      <c r="AE1252" s="1" t="str">
        <f>"اختتام"</f>
        <v>اختتام</v>
      </c>
      <c r="AF1252" s="1" t="str">
        <f>""</f>
        <v/>
      </c>
      <c r="AG1252" s="1" t="str">
        <f>""</f>
        <v/>
      </c>
      <c r="AH1252" s="1" t="str">
        <f>""</f>
        <v/>
      </c>
      <c r="AI1252" s="1" t="str">
        <f>""</f>
        <v/>
      </c>
      <c r="AJ1252" s="1" t="str">
        <f>""</f>
        <v/>
      </c>
      <c r="AK1252" s="1" t="str">
        <f>""</f>
        <v/>
      </c>
    </row>
    <row r="1253" spans="1:37">
      <c r="A1253" s="1">
        <v>135000</v>
      </c>
      <c r="B1253" s="1">
        <v>966200371</v>
      </c>
      <c r="C1253" s="1" t="str">
        <f>"تخليه -ايلام -دهلران-سه راهي موسيان -پشت نيروي انتظامي -شركت نصرراه معين"</f>
        <v>تخليه -ايلام -دهلران-سه راهي موسيان -پشت نيروي انتظامي -شركت نصرراه معين</v>
      </c>
      <c r="D1253" s="1">
        <v>10016</v>
      </c>
      <c r="E1253" s="1">
        <v>133960</v>
      </c>
      <c r="F1253" s="1">
        <v>96</v>
      </c>
      <c r="G1253" s="1">
        <v>1040</v>
      </c>
      <c r="H1253" s="1" t="str">
        <f>"96/08/14"</f>
        <v>96/08/14</v>
      </c>
      <c r="I1253" s="1" t="str">
        <f>"كيلوگرم"</f>
        <v>كيلوگرم</v>
      </c>
      <c r="J1253" s="1" t="str">
        <f>"0000000094"</f>
        <v>0000000094</v>
      </c>
      <c r="K1253" s="1" t="str">
        <f>"قير  PG70-10"</f>
        <v>قير  PG70-10</v>
      </c>
      <c r="L1253" s="1">
        <v>100</v>
      </c>
      <c r="M1253" s="1" t="str">
        <f>"مخازن قير اصفهان"</f>
        <v>مخازن قير اصفهان</v>
      </c>
      <c r="N1253" s="1">
        <v>9958</v>
      </c>
      <c r="O1253" s="1">
        <v>50037055</v>
      </c>
      <c r="P1253" s="1" t="str">
        <f>"  نصر راه معين"</f>
        <v xml:space="preserve">  نصر راه معين</v>
      </c>
      <c r="Q1253" s="1">
        <v>62</v>
      </c>
      <c r="R1253" s="1" t="str">
        <f>"فروش داخلي - سازمان بنيادمسكن انقلاب اسلامي"</f>
        <v>فروش داخلي - سازمان بنيادمسكن انقلاب اسلامي</v>
      </c>
      <c r="S1253" s="1" t="str">
        <f>"قرارداد فروش"</f>
        <v>قرارداد فروش</v>
      </c>
      <c r="T1253" s="1" t="str">
        <f>"ندارد"</f>
        <v>ندارد</v>
      </c>
      <c r="U1253" s="1" t="str">
        <f>"عظيمي محمد(2842015)"</f>
        <v>عظيمي محمد(2842015)</v>
      </c>
      <c r="V1253" s="1">
        <v>966200371</v>
      </c>
      <c r="W1253" s="1">
        <v>966200371</v>
      </c>
      <c r="X1253" s="1" t="str">
        <f>"1396523701"</f>
        <v>1396523701</v>
      </c>
      <c r="Y1253" s="1" t="str">
        <f>"96/08/14"</f>
        <v>96/08/14</v>
      </c>
      <c r="Z1253" s="1" t="str">
        <f>"36113/د"</f>
        <v>36113/د</v>
      </c>
      <c r="AA1253" s="1" t="str">
        <f>"بنيادمسكن انقلاب اسلامي"</f>
        <v>بنيادمسكن انقلاب اسلامي</v>
      </c>
      <c r="AB1253" s="1" t="str">
        <f>"96/08/13"</f>
        <v>96/08/13</v>
      </c>
      <c r="AC1253" s="1" t="str">
        <f>"استان ايلام"</f>
        <v>استان ايلام</v>
      </c>
      <c r="AD1253" s="1" t="str">
        <f>"96/08/14"</f>
        <v>96/08/14</v>
      </c>
      <c r="AE1253" s="1" t="str">
        <f>"اختتام"</f>
        <v>اختتام</v>
      </c>
      <c r="AF1253" s="1" t="str">
        <f>""</f>
        <v/>
      </c>
      <c r="AG1253" s="1" t="str">
        <f>""</f>
        <v/>
      </c>
      <c r="AH1253" s="1" t="str">
        <f>""</f>
        <v/>
      </c>
      <c r="AI1253" s="1" t="str">
        <f>""</f>
        <v/>
      </c>
      <c r="AJ1253" s="1" t="str">
        <f>""</f>
        <v/>
      </c>
      <c r="AK1253" s="1" t="str">
        <f>""</f>
        <v/>
      </c>
    </row>
    <row r="1254" spans="1:37">
      <c r="A1254" s="1">
        <v>1400000</v>
      </c>
      <c r="B1254" s="1">
        <v>961800049</v>
      </c>
      <c r="C1254" s="1" t="str">
        <f>"تخليه -کيلومتر13جاده گنابادفردوس -کارخانه آسفالت کيهان راه شرق"</f>
        <v>تخليه -کيلومتر13جاده گنابادفردوس -کارخانه آسفالت کيهان راه شرق</v>
      </c>
      <c r="D1254" s="1">
        <v>14000</v>
      </c>
      <c r="E1254" s="1">
        <v>1398860</v>
      </c>
      <c r="F1254" s="1">
        <v>96</v>
      </c>
      <c r="G1254" s="1">
        <v>1140</v>
      </c>
      <c r="H1254" s="1" t="str">
        <f>"96/07/03"</f>
        <v>96/07/03</v>
      </c>
      <c r="I1254" s="1" t="str">
        <f>"كيلوگرم"</f>
        <v>كيلوگرم</v>
      </c>
      <c r="J1254" s="1" t="str">
        <f>"0000000093"</f>
        <v>0000000093</v>
      </c>
      <c r="K1254" s="1" t="str">
        <f>"قير  PG64-10"</f>
        <v>قير  PG64-10</v>
      </c>
      <c r="L1254" s="1">
        <v>100</v>
      </c>
      <c r="M1254" s="1" t="str">
        <f>"مخازن قير اصفهان"</f>
        <v>مخازن قير اصفهان</v>
      </c>
      <c r="N1254" s="1">
        <v>8679</v>
      </c>
      <c r="O1254" s="1">
        <v>50036151</v>
      </c>
      <c r="P1254" s="1" t="str">
        <f>"  ساختماني راهسازي كيهان راه شرق"</f>
        <v xml:space="preserve">  ساختماني راهسازي كيهان راه شرق</v>
      </c>
      <c r="Q1254" s="1">
        <v>18</v>
      </c>
      <c r="R1254" s="1" t="str">
        <f>"فروش داخلي تهران - وزارت راه - شرکت ساخت و توسعه راهها"</f>
        <v>فروش داخلي تهران - وزارت راه - شرکت ساخت و توسعه راهها</v>
      </c>
      <c r="S1254" s="1" t="str">
        <f>"قرارداد فروش"</f>
        <v>قرارداد فروش</v>
      </c>
      <c r="T1254" s="1" t="str">
        <f>"ندارد"</f>
        <v>ندارد</v>
      </c>
      <c r="U1254" s="1" t="str">
        <f>"نظام دوست امين (1911102)"</f>
        <v>نظام دوست امين (1911102)</v>
      </c>
      <c r="V1254" s="1">
        <v>961800049</v>
      </c>
      <c r="W1254" s="1">
        <v>961800049</v>
      </c>
      <c r="X1254" s="1" t="str">
        <f>"1396514464"</f>
        <v>1396514464</v>
      </c>
      <c r="Y1254" s="1" t="str">
        <f>"96/07/03"</f>
        <v>96/07/03</v>
      </c>
      <c r="Z1254" s="1" t="str">
        <f>"31966/710"</f>
        <v>31966/710</v>
      </c>
      <c r="AA1254" s="1" t="str">
        <f>"شركت  ساخت وتوسعه راهها"</f>
        <v>شركت  ساخت وتوسعه راهها</v>
      </c>
      <c r="AB1254" s="1" t="str">
        <f>"96/06/28"</f>
        <v>96/06/28</v>
      </c>
      <c r="AC1254" s="1" t="str">
        <f>"خراسان رضوي"</f>
        <v>خراسان رضوي</v>
      </c>
      <c r="AD1254" s="1" t="str">
        <f>"96/07/03"</f>
        <v>96/07/03</v>
      </c>
      <c r="AE1254" s="1" t="str">
        <f>"اختتام"</f>
        <v>اختتام</v>
      </c>
      <c r="AF1254" s="1" t="str">
        <f>""</f>
        <v/>
      </c>
      <c r="AG1254" s="1" t="str">
        <f>""</f>
        <v/>
      </c>
      <c r="AH1254" s="1" t="str">
        <f>""</f>
        <v/>
      </c>
      <c r="AI1254" s="1" t="str">
        <f>""</f>
        <v/>
      </c>
      <c r="AJ1254" s="1" t="str">
        <f>""</f>
        <v/>
      </c>
      <c r="AK1254" s="1" t="str">
        <f>""</f>
        <v/>
      </c>
    </row>
    <row r="1255" spans="1:37">
      <c r="A1255" s="1">
        <v>500000</v>
      </c>
      <c r="B1255" s="1">
        <v>961700039</v>
      </c>
      <c r="C1255" s="1" t="str">
        <f>"تخليه -ايلام -آبدانان -روستاي ماهوته -كارخانه آسفالت ماهوت شنزارغرب"</f>
        <v>تخليه -ايلام -آبدانان -روستاي ماهوته -كارخانه آسفالت ماهوت شنزارغرب</v>
      </c>
      <c r="D1255" s="1">
        <v>9204</v>
      </c>
      <c r="E1255" s="1">
        <v>498560</v>
      </c>
      <c r="F1255" s="1">
        <v>96</v>
      </c>
      <c r="G1255" s="1">
        <v>1440</v>
      </c>
      <c r="H1255" s="1" t="str">
        <f>"96/05/08"</f>
        <v>96/05/08</v>
      </c>
      <c r="I1255" s="1" t="str">
        <f>"كيلوگرم"</f>
        <v>كيلوگرم</v>
      </c>
      <c r="J1255" s="1" t="str">
        <f>"0000000094"</f>
        <v>0000000094</v>
      </c>
      <c r="K1255" s="1" t="str">
        <f>"قير  PG70-10"</f>
        <v>قير  PG70-10</v>
      </c>
      <c r="L1255" s="1">
        <v>100</v>
      </c>
      <c r="M1255" s="1" t="str">
        <f>"مخازن قير اصفهان"</f>
        <v>مخازن قير اصفهان</v>
      </c>
      <c r="N1255" s="1">
        <v>10693</v>
      </c>
      <c r="O1255" s="1">
        <v>50035395</v>
      </c>
      <c r="P1255" s="1" t="str">
        <f>"  شناشيل سازان آبدانان"</f>
        <v xml:space="preserve">  شناشيل سازان آبدانان</v>
      </c>
      <c r="Q1255" s="1">
        <v>17</v>
      </c>
      <c r="R1255" s="1" t="str">
        <f>"فروش داخلي تهران - وزارت راه - راه روستايي - روکش"</f>
        <v>فروش داخلي تهران - وزارت راه - راه روستايي - روکش</v>
      </c>
      <c r="S1255" s="1" t="str">
        <f>"قرارداد فروش"</f>
        <v>قرارداد فروش</v>
      </c>
      <c r="T1255" s="1" t="str">
        <f>"ندارد"</f>
        <v>ندارد</v>
      </c>
      <c r="U1255" s="1" t="str">
        <f>"عظيمي محمد(2842015)"</f>
        <v>عظيمي محمد(2842015)</v>
      </c>
      <c r="V1255" s="1">
        <v>961700039</v>
      </c>
      <c r="W1255" s="1">
        <v>961700039</v>
      </c>
      <c r="X1255" s="1" t="str">
        <f>"1396500983"</f>
        <v>1396500983</v>
      </c>
      <c r="Y1255" s="1" t="str">
        <f>"96/05/08"</f>
        <v>96/05/08</v>
      </c>
      <c r="Z1255" s="1" t="str">
        <f>"21105/710"</f>
        <v>21105/710</v>
      </c>
      <c r="AA1255" s="1" t="str">
        <f>"راه روستائي -روكش"</f>
        <v>راه روستائي -روكش</v>
      </c>
      <c r="AB1255" s="1" t="str">
        <f>"96/05/04"</f>
        <v>96/05/04</v>
      </c>
      <c r="AC1255" s="1" t="str">
        <f>"استان ايلام"</f>
        <v>استان ايلام</v>
      </c>
      <c r="AD1255" s="1" t="str">
        <f>"96/05/08"</f>
        <v>96/05/08</v>
      </c>
      <c r="AE1255" s="1" t="str">
        <f>"اختتام"</f>
        <v>اختتام</v>
      </c>
      <c r="AF1255" s="1" t="str">
        <f>""</f>
        <v/>
      </c>
      <c r="AG1255" s="1" t="str">
        <f>""</f>
        <v/>
      </c>
      <c r="AH1255" s="1" t="str">
        <f>""</f>
        <v/>
      </c>
      <c r="AI1255" s="1" t="str">
        <f>""</f>
        <v/>
      </c>
      <c r="AJ1255" s="1" t="str">
        <f>""</f>
        <v/>
      </c>
      <c r="AK1255" s="1" t="str">
        <f>""</f>
        <v/>
      </c>
    </row>
    <row r="1256" spans="1:37">
      <c r="A1256" s="1">
        <v>500000</v>
      </c>
      <c r="B1256" s="1">
        <v>961900037</v>
      </c>
      <c r="C1256" s="1" t="str">
        <f>"تخليه-سرپل ذهاب روستاي کلاشي کارخانه راه قدس"</f>
        <v>تخليه-سرپل ذهاب روستاي کلاشي کارخانه راه قدس</v>
      </c>
      <c r="D1256" s="1">
        <v>9368</v>
      </c>
      <c r="E1256" s="1">
        <v>498780</v>
      </c>
      <c r="F1256" s="1">
        <v>96</v>
      </c>
      <c r="G1256" s="1">
        <v>1220</v>
      </c>
      <c r="H1256" s="1" t="str">
        <f>"96/01/16"</f>
        <v>96/01/16</v>
      </c>
      <c r="I1256" s="1" t="str">
        <f>"كيلوگرم"</f>
        <v>كيلوگرم</v>
      </c>
      <c r="J1256" s="1" t="str">
        <f>"0000000094"</f>
        <v>0000000094</v>
      </c>
      <c r="K1256" s="1" t="str">
        <f>"قير  PG70-10"</f>
        <v>قير  PG70-10</v>
      </c>
      <c r="L1256" s="1">
        <v>100</v>
      </c>
      <c r="M1256" s="1" t="str">
        <f>"مخازن قير اصفهان"</f>
        <v>مخازن قير اصفهان</v>
      </c>
      <c r="N1256" s="1">
        <v>10976</v>
      </c>
      <c r="O1256" s="1">
        <v>50034416</v>
      </c>
      <c r="P1256" s="1" t="str">
        <f>"  پي سازان كلهرزاگرس"</f>
        <v xml:space="preserve">  پي سازان كلهرزاگرس</v>
      </c>
      <c r="Q1256" s="1">
        <v>19</v>
      </c>
      <c r="R125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256" s="1" t="str">
        <f>"قرارداد فروش"</f>
        <v>قرارداد فروش</v>
      </c>
      <c r="T1256" s="1" t="str">
        <f>"ندارد"</f>
        <v>ندارد</v>
      </c>
      <c r="U1256" s="1" t="str">
        <f>"حاجيلوئي علي اصغر(2842019)"</f>
        <v>حاجيلوئي علي اصغر(2842019)</v>
      </c>
      <c r="V1256" s="1">
        <v>961900037</v>
      </c>
      <c r="W1256" s="1">
        <v>961900037</v>
      </c>
      <c r="X1256" s="1" t="str">
        <f>"1395471095"</f>
        <v>1395471095</v>
      </c>
      <c r="Y1256" s="1" t="str">
        <f>"96/01/16"</f>
        <v>96/01/16</v>
      </c>
      <c r="Z1256" s="1" t="str">
        <f>"65967/710"</f>
        <v>65967/710</v>
      </c>
      <c r="AA1256" s="1" t="str">
        <f>"سازمان راهداري وحمل نقل جاده اي"</f>
        <v>سازمان راهداري وحمل نقل جاده اي</v>
      </c>
      <c r="AB1256" s="1" t="str">
        <f>"95/12/22"</f>
        <v>95/12/22</v>
      </c>
      <c r="AC1256" s="1" t="str">
        <f>"استان كرمانشاه"</f>
        <v>استان كرمانشاه</v>
      </c>
      <c r="AD1256" s="1" t="str">
        <f>"95/12/28"</f>
        <v>95/12/28</v>
      </c>
      <c r="AE1256" s="1" t="str">
        <f>"اختتام"</f>
        <v>اختتام</v>
      </c>
      <c r="AF1256" s="1" t="str">
        <f>""</f>
        <v/>
      </c>
      <c r="AG1256" s="1" t="str">
        <f>""</f>
        <v/>
      </c>
      <c r="AH1256" s="1" t="str">
        <f>""</f>
        <v/>
      </c>
      <c r="AI1256" s="1" t="str">
        <f>""</f>
        <v/>
      </c>
      <c r="AJ1256" s="1" t="str">
        <f>""</f>
        <v/>
      </c>
      <c r="AK1256" s="1" t="str">
        <f>""</f>
        <v/>
      </c>
    </row>
    <row r="1257" spans="1:37">
      <c r="A1257" s="1">
        <v>300000</v>
      </c>
      <c r="B1257" s="1">
        <v>961900157</v>
      </c>
      <c r="C1257" s="1" t="str">
        <f>"تخليه - کرمانشاه - سرپل ذهاب - دشت ذهاب - روستاي گرده نو-کارخانه آسفالت قدس"</f>
        <v>تخليه - کرمانشاه - سرپل ذهاب - دشت ذهاب - روستاي گرده نو-کارخانه آسفالت قدس</v>
      </c>
      <c r="D1257" s="1">
        <v>10016</v>
      </c>
      <c r="E1257" s="1">
        <v>293040</v>
      </c>
      <c r="F1257" s="1">
        <v>96</v>
      </c>
      <c r="G1257" s="1">
        <v>6960</v>
      </c>
      <c r="H1257" s="1" t="str">
        <f>"96/07/06"</f>
        <v>96/07/06</v>
      </c>
      <c r="I1257" s="1" t="str">
        <f>"كيلوگرم"</f>
        <v>كيلوگرم</v>
      </c>
      <c r="J1257" s="1" t="str">
        <f>"0000000094"</f>
        <v>0000000094</v>
      </c>
      <c r="K1257" s="1" t="str">
        <f>"قير  PG70-10"</f>
        <v>قير  PG70-10</v>
      </c>
      <c r="L1257" s="1">
        <v>100</v>
      </c>
      <c r="M1257" s="1" t="str">
        <f>"مخازن قير اصفهان"</f>
        <v>مخازن قير اصفهان</v>
      </c>
      <c r="N1257" s="1">
        <v>10976</v>
      </c>
      <c r="O1257" s="1">
        <v>50036418</v>
      </c>
      <c r="P1257" s="1" t="str">
        <f>"  پي سازان كلهرزاگرس"</f>
        <v xml:space="preserve">  پي سازان كلهرزاگرس</v>
      </c>
      <c r="Q1257" s="1">
        <v>19</v>
      </c>
      <c r="R125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257" s="1" t="str">
        <f>"قرارداد فروش"</f>
        <v>قرارداد فروش</v>
      </c>
      <c r="T1257" s="1" t="str">
        <f>"ندارد"</f>
        <v>ندارد</v>
      </c>
      <c r="U1257" s="1" t="str">
        <f>"پيرالي مجيد(1045ج 94)"</f>
        <v>پيرالي مجيد(1045ج 94)</v>
      </c>
      <c r="V1257" s="1">
        <v>961900157</v>
      </c>
      <c r="W1257" s="1">
        <v>961900157</v>
      </c>
      <c r="X1257" s="1" t="str">
        <f>"1396514741"</f>
        <v>1396514741</v>
      </c>
      <c r="Y1257" s="1" t="str">
        <f>"96/07/06"</f>
        <v>96/07/06</v>
      </c>
      <c r="Z1257" s="1" t="str">
        <f>"31999/710"</f>
        <v>31999/710</v>
      </c>
      <c r="AA1257" s="1" t="str">
        <f>"سازمان راهداري وحمل نقل جاده اي"</f>
        <v>سازمان راهداري وحمل نقل جاده اي</v>
      </c>
      <c r="AB1257" s="1" t="str">
        <f>"96/06/28"</f>
        <v>96/06/28</v>
      </c>
      <c r="AC1257" s="1" t="str">
        <f>"استان كرمانشاه"</f>
        <v>استان كرمانشاه</v>
      </c>
      <c r="AD1257" s="1" t="str">
        <f>"96/07/04"</f>
        <v>96/07/04</v>
      </c>
      <c r="AE1257" s="1" t="str">
        <f>"اختتام"</f>
        <v>اختتام</v>
      </c>
      <c r="AF1257" s="1" t="str">
        <f>""</f>
        <v/>
      </c>
      <c r="AG1257" s="1" t="str">
        <f>""</f>
        <v/>
      </c>
      <c r="AH1257" s="1" t="str">
        <f>""</f>
        <v/>
      </c>
      <c r="AI1257" s="1" t="str">
        <f>""</f>
        <v/>
      </c>
      <c r="AJ1257" s="1" t="str">
        <f>""</f>
        <v/>
      </c>
      <c r="AK1257" s="1" t="str">
        <f>""</f>
        <v/>
      </c>
    </row>
    <row r="1258" spans="1:37">
      <c r="A1258" s="1">
        <v>24000</v>
      </c>
      <c r="B1258" s="1">
        <v>966200346</v>
      </c>
      <c r="C1258" s="1" t="str">
        <f>"تخليه كيلومتر65جاده اسلام آبادبه پل دختربخش هليلان شهرتوحيدكارخانه آسفالت آج راه غرب"</f>
        <v>تخليه كيلومتر65جاده اسلام آبادبه پل دختربخش هليلان شهرتوحيدكارخانه آسفالت آج راه غرب</v>
      </c>
      <c r="D1258" s="1">
        <v>9663</v>
      </c>
      <c r="E1258" s="1">
        <v>23580</v>
      </c>
      <c r="F1258" s="1">
        <v>96</v>
      </c>
      <c r="G1258" s="1">
        <v>420</v>
      </c>
      <c r="H1258" s="1" t="str">
        <f>"96/07/25"</f>
        <v>96/07/25</v>
      </c>
      <c r="I1258" s="1" t="str">
        <f>"كيلوگرم"</f>
        <v>كيلوگرم</v>
      </c>
      <c r="J1258" s="1" t="str">
        <f>"0000000094"</f>
        <v>0000000094</v>
      </c>
      <c r="K1258" s="1" t="str">
        <f>"قير  PG70-10"</f>
        <v>قير  PG70-10</v>
      </c>
      <c r="L1258" s="1">
        <v>100</v>
      </c>
      <c r="M1258" s="1" t="str">
        <f>"مخازن قير اصفهان"</f>
        <v>مخازن قير اصفهان</v>
      </c>
      <c r="N1258" s="1">
        <v>11481</v>
      </c>
      <c r="O1258" s="1">
        <v>50036796</v>
      </c>
      <c r="P1258" s="1" t="str">
        <f>"  فلك افرازمانشت"</f>
        <v xml:space="preserve">  فلك افرازمانشت</v>
      </c>
      <c r="Q1258" s="1">
        <v>62</v>
      </c>
      <c r="R1258" s="1" t="str">
        <f>"فروش داخلي - سازمان بنيادمسكن انقلاب اسلامي"</f>
        <v>فروش داخلي - سازمان بنيادمسكن انقلاب اسلامي</v>
      </c>
      <c r="S1258" s="1" t="str">
        <f>"قرارداد فروش"</f>
        <v>قرارداد فروش</v>
      </c>
      <c r="T1258" s="1" t="str">
        <f>"ندارد"</f>
        <v>ندارد</v>
      </c>
      <c r="U1258" s="1" t="str">
        <f>"عظيمي محمد(2842015)"</f>
        <v>عظيمي محمد(2842015)</v>
      </c>
      <c r="V1258" s="1">
        <v>966200346</v>
      </c>
      <c r="W1258" s="1">
        <v>966200346</v>
      </c>
      <c r="X1258" s="1" t="str">
        <f>"1396519156"</f>
        <v>1396519156</v>
      </c>
      <c r="Y1258" s="1" t="str">
        <f>"96/07/25"</f>
        <v>96/07/25</v>
      </c>
      <c r="Z1258" s="1" t="str">
        <f>"33085/د"</f>
        <v>33085/د</v>
      </c>
      <c r="AA1258" s="1" t="str">
        <f>"بنيادمسكن انقلاب اسلامي"</f>
        <v>بنيادمسكن انقلاب اسلامي</v>
      </c>
      <c r="AB1258" s="1" t="str">
        <f>"96/07/24"</f>
        <v>96/07/24</v>
      </c>
      <c r="AC1258" s="1" t="str">
        <f>"استان ايلام"</f>
        <v>استان ايلام</v>
      </c>
      <c r="AD1258" s="1" t="str">
        <f>"96/07/24"</f>
        <v>96/07/24</v>
      </c>
      <c r="AE1258" s="1" t="str">
        <f>"اختتام"</f>
        <v>اختتام</v>
      </c>
      <c r="AF1258" s="1" t="str">
        <f>""</f>
        <v/>
      </c>
      <c r="AG1258" s="1" t="str">
        <f>""</f>
        <v/>
      </c>
      <c r="AH1258" s="1" t="str">
        <f>""</f>
        <v/>
      </c>
      <c r="AI1258" s="1" t="str">
        <f>""</f>
        <v/>
      </c>
      <c r="AJ1258" s="1" t="str">
        <f>""</f>
        <v/>
      </c>
      <c r="AK1258" s="1" t="str">
        <f>""</f>
        <v/>
      </c>
    </row>
    <row r="1259" spans="1:37">
      <c r="A1259" s="1">
        <v>1000000</v>
      </c>
      <c r="B1259" s="1">
        <v>961900086</v>
      </c>
      <c r="C1259" s="1" t="str">
        <f>"تخليه هرمزگان پروژه تكميل بهسازي محوربندرعباس سيرجان كارخانه آسفالت شركت سازه سازان سمنگان"</f>
        <v>تخليه هرمزگان پروژه تكميل بهسازي محوربندرعباس سيرجان كارخانه آسفالت شركت سازه سازان سمنگان</v>
      </c>
      <c r="D1259" s="1">
        <v>8904</v>
      </c>
      <c r="E1259" s="1">
        <v>1000000</v>
      </c>
      <c r="F1259" s="1">
        <v>96</v>
      </c>
      <c r="G1259" s="1">
        <v>0</v>
      </c>
      <c r="H1259" s="1" t="str">
        <f>"96/04/26"</f>
        <v>96/04/26</v>
      </c>
      <c r="I1259" s="1" t="str">
        <f>"كيلوگرم"</f>
        <v>كيلوگرم</v>
      </c>
      <c r="J1259" s="1" t="str">
        <f>"0000000092"</f>
        <v>0000000092</v>
      </c>
      <c r="K1259" s="1" t="str">
        <f>"قير  PG64-16"</f>
        <v>قير  PG64-16</v>
      </c>
      <c r="L1259" s="1">
        <v>100</v>
      </c>
      <c r="M1259" s="1" t="str">
        <f>"مخازن قير اصفهان"</f>
        <v>مخازن قير اصفهان</v>
      </c>
      <c r="N1259" s="1">
        <v>11212</v>
      </c>
      <c r="O1259" s="1">
        <v>50035235</v>
      </c>
      <c r="P1259" s="1" t="str">
        <f>"  راهسازي وساختماني سازه سازان سمنگان"</f>
        <v xml:space="preserve">  راهسازي وساختماني سازه سازان سمنگان</v>
      </c>
      <c r="Q1259" s="1">
        <v>19</v>
      </c>
      <c r="R125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259" s="1" t="str">
        <f>"قرارداد فروش"</f>
        <v>قرارداد فروش</v>
      </c>
      <c r="T1259" s="1" t="str">
        <f>"ندارد"</f>
        <v>ندارد</v>
      </c>
      <c r="U1259" s="1" t="str">
        <f>"حاصليان ترابرجنوب مرتضي حاصلي (4844006)"</f>
        <v>حاصليان ترابرجنوب مرتضي حاصلي (4844006)</v>
      </c>
      <c r="V1259" s="1">
        <v>961900086</v>
      </c>
      <c r="W1259" s="1">
        <v>961900086</v>
      </c>
      <c r="X1259" s="1" t="str">
        <f>"1396497335"</f>
        <v>1396497335</v>
      </c>
      <c r="Y1259" s="1" t="str">
        <f>"96/04/26"</f>
        <v>96/04/26</v>
      </c>
      <c r="Z1259" s="1" t="str">
        <f>"18648/710"</f>
        <v>18648/710</v>
      </c>
      <c r="AA1259" s="1" t="str">
        <f>"سازمان راهداري وحمل نقل جاده اي"</f>
        <v>سازمان راهداري وحمل نقل جاده اي</v>
      </c>
      <c r="AB1259" s="1" t="str">
        <f>"96/04/25"</f>
        <v>96/04/25</v>
      </c>
      <c r="AC1259" s="1" t="str">
        <f>"استان هرمزگان"</f>
        <v>استان هرمزگان</v>
      </c>
      <c r="AD1259" s="1" t="str">
        <f>"96/04/26"</f>
        <v>96/04/26</v>
      </c>
      <c r="AE1259" s="1" t="str">
        <f>"اختتام"</f>
        <v>اختتام</v>
      </c>
      <c r="AF1259" s="1" t="str">
        <f>""</f>
        <v/>
      </c>
      <c r="AG1259" s="1" t="str">
        <f>""</f>
        <v/>
      </c>
      <c r="AH1259" s="1" t="str">
        <f>""</f>
        <v/>
      </c>
      <c r="AI1259" s="1" t="str">
        <f>""</f>
        <v/>
      </c>
      <c r="AJ1259" s="1" t="str">
        <f>""</f>
        <v/>
      </c>
      <c r="AK1259" s="1" t="str">
        <f>""</f>
        <v/>
      </c>
    </row>
    <row r="1260" spans="1:37">
      <c r="A1260" s="1">
        <v>366000</v>
      </c>
      <c r="B1260" s="1">
        <v>966200272</v>
      </c>
      <c r="C1260" s="1" t="str">
        <f>"تخليه -گيلان -نرسيده به پليس راه رشت آستارا-جنب هواشناسي آستارا-کارخانه آسفالت شرکت ساختکارآفرين"</f>
        <v>تخليه -گيلان -نرسيده به پليس راه رشت آستارا-جنب هواشناسي آستارا-کارخانه آسفالت شرکت ساختکارآفرين</v>
      </c>
      <c r="D1260" s="1">
        <v>9363</v>
      </c>
      <c r="E1260" s="1">
        <v>366000</v>
      </c>
      <c r="F1260" s="1">
        <v>96</v>
      </c>
      <c r="G1260" s="1">
        <v>0</v>
      </c>
      <c r="H1260" s="1" t="str">
        <f>"96/07/10"</f>
        <v>96/07/10</v>
      </c>
      <c r="I1260" s="1" t="str">
        <f>"كيلوگرم"</f>
        <v>كيلوگرم</v>
      </c>
      <c r="J1260" s="1" t="str">
        <f>"0000000093"</f>
        <v>0000000093</v>
      </c>
      <c r="K1260" s="1" t="str">
        <f>"قير  PG64-10"</f>
        <v>قير  PG64-10</v>
      </c>
      <c r="L1260" s="1">
        <v>100</v>
      </c>
      <c r="M1260" s="1" t="str">
        <f>"مخازن قير اصفهان"</f>
        <v>مخازن قير اصفهان</v>
      </c>
      <c r="N1260" s="1">
        <v>10375</v>
      </c>
      <c r="O1260" s="1">
        <v>50036477</v>
      </c>
      <c r="P1260" s="1" t="str">
        <f>"  ساختکارآفرين"</f>
        <v xml:space="preserve">  ساختکارآفرين</v>
      </c>
      <c r="Q1260" s="1">
        <v>62</v>
      </c>
      <c r="R1260" s="1" t="str">
        <f>"فروش داخلي - سازمان بنيادمسكن انقلاب اسلامي"</f>
        <v>فروش داخلي - سازمان بنيادمسكن انقلاب اسلامي</v>
      </c>
      <c r="S1260" s="1" t="str">
        <f>"قرارداد فروش"</f>
        <v>قرارداد فروش</v>
      </c>
      <c r="T1260" s="1" t="str">
        <f>"ندارد"</f>
        <v>ندارد</v>
      </c>
      <c r="U1260" s="1" t="str">
        <f>"خليل الهي حسن(1841005)"</f>
        <v>خليل الهي حسن(1841005)</v>
      </c>
      <c r="V1260" s="1">
        <v>966200272</v>
      </c>
      <c r="W1260" s="1">
        <v>966200272</v>
      </c>
      <c r="X1260" s="1" t="str">
        <f>"1396515522"</f>
        <v>1396515522</v>
      </c>
      <c r="Y1260" s="1" t="str">
        <f>"96/07/10"</f>
        <v>96/07/10</v>
      </c>
      <c r="Z1260" s="1" t="str">
        <f>"29645/د"</f>
        <v>29645/د</v>
      </c>
      <c r="AA1260" s="1" t="str">
        <f>"بنيادمسكن انقلاب اسلامي"</f>
        <v>بنيادمسكن انقلاب اسلامي</v>
      </c>
      <c r="AB1260" s="1" t="str">
        <f>"96/07/04"</f>
        <v>96/07/04</v>
      </c>
      <c r="AC1260" s="1" t="str">
        <f>"استان گيلان"</f>
        <v>استان گيلان</v>
      </c>
      <c r="AD1260" s="1" t="str">
        <f>"96/07/05"</f>
        <v>96/07/05</v>
      </c>
      <c r="AE1260" s="1" t="str">
        <f>"اختتام"</f>
        <v>اختتام</v>
      </c>
      <c r="AF1260" s="1" t="str">
        <f>""</f>
        <v/>
      </c>
      <c r="AG1260" s="1" t="str">
        <f>""</f>
        <v/>
      </c>
      <c r="AH1260" s="1" t="str">
        <f>""</f>
        <v/>
      </c>
      <c r="AI1260" s="1" t="str">
        <f>""</f>
        <v/>
      </c>
      <c r="AJ1260" s="1" t="str">
        <f>""</f>
        <v/>
      </c>
      <c r="AK1260" s="1" t="str">
        <f>""</f>
        <v/>
      </c>
    </row>
    <row r="1261" spans="1:37">
      <c r="A1261" s="1">
        <v>460000</v>
      </c>
      <c r="B1261" s="1">
        <v>966200167</v>
      </c>
      <c r="C1261" s="1" t="str">
        <f>"تخليه - گيلان -لوشان-ورودي گنجه-کارخانه آسفالت رامتين سازه گيلان"</f>
        <v>تخليه - گيلان -لوشان-ورودي گنجه-کارخانه آسفالت رامتين سازه گيلان</v>
      </c>
      <c r="D1261" s="1">
        <v>8904</v>
      </c>
      <c r="E1261" s="1">
        <v>459200</v>
      </c>
      <c r="F1261" s="1">
        <v>96</v>
      </c>
      <c r="G1261" s="1">
        <v>800</v>
      </c>
      <c r="H1261" s="1" t="str">
        <f>"96/05/09"</f>
        <v>96/05/09</v>
      </c>
      <c r="I1261" s="1" t="str">
        <f>"كيلوگرم"</f>
        <v>كيلوگرم</v>
      </c>
      <c r="J1261" s="1" t="str">
        <f>"0000000093"</f>
        <v>0000000093</v>
      </c>
      <c r="K1261" s="1" t="str">
        <f>"قير  PG64-10"</f>
        <v>قير  PG64-10</v>
      </c>
      <c r="L1261" s="1">
        <v>100</v>
      </c>
      <c r="M1261" s="1" t="str">
        <f>"مخازن قير اصفهان"</f>
        <v>مخازن قير اصفهان</v>
      </c>
      <c r="N1261" s="1">
        <v>10458</v>
      </c>
      <c r="O1261" s="1">
        <v>50035417</v>
      </c>
      <c r="P1261" s="1" t="str">
        <f>"  رامتين سازه گيلان"</f>
        <v xml:space="preserve">  رامتين سازه گيلان</v>
      </c>
      <c r="Q1261" s="1">
        <v>62</v>
      </c>
      <c r="R1261" s="1" t="str">
        <f>"فروش داخلي - سازمان بنيادمسكن انقلاب اسلامي"</f>
        <v>فروش داخلي - سازمان بنيادمسكن انقلاب اسلامي</v>
      </c>
      <c r="S1261" s="1" t="str">
        <f>"قرارداد فروش"</f>
        <v>قرارداد فروش</v>
      </c>
      <c r="T1261" s="1" t="str">
        <f>"ندارد"</f>
        <v>ندارد</v>
      </c>
      <c r="U1261" s="1" t="str">
        <f>"حاج صادقي باقر(1841027)"</f>
        <v>حاج صادقي باقر(1841027)</v>
      </c>
      <c r="V1261" s="1">
        <v>966200167</v>
      </c>
      <c r="W1261" s="1">
        <v>966200167</v>
      </c>
      <c r="X1261" s="1" t="str">
        <f>"1396501182"</f>
        <v>1396501182</v>
      </c>
      <c r="Y1261" s="1" t="str">
        <f>"96/05/09"</f>
        <v>96/05/09</v>
      </c>
      <c r="Z1261" s="1" t="str">
        <f>"18952/د"</f>
        <v>18952/د</v>
      </c>
      <c r="AA1261" s="1" t="str">
        <f>"بنيادمسكن انقلاب اسلامي"</f>
        <v>بنيادمسكن انقلاب اسلامي</v>
      </c>
      <c r="AB1261" s="1" t="str">
        <f>"96/05/08"</f>
        <v>96/05/08</v>
      </c>
      <c r="AC1261" s="1" t="str">
        <f>"استان گيلان"</f>
        <v>استان گيلان</v>
      </c>
      <c r="AD1261" s="1" t="str">
        <f>"96/05/09"</f>
        <v>96/05/09</v>
      </c>
      <c r="AE1261" s="1" t="str">
        <f>"اختتام"</f>
        <v>اختتام</v>
      </c>
      <c r="AF1261" s="1" t="str">
        <f>""</f>
        <v/>
      </c>
      <c r="AG1261" s="1" t="str">
        <f>""</f>
        <v/>
      </c>
      <c r="AH1261" s="1" t="str">
        <f>""</f>
        <v/>
      </c>
      <c r="AI1261" s="1" t="str">
        <f>""</f>
        <v/>
      </c>
      <c r="AJ1261" s="1" t="str">
        <f>""</f>
        <v/>
      </c>
      <c r="AK1261" s="1" t="str">
        <f>""</f>
        <v/>
      </c>
    </row>
    <row r="1262" spans="1:37">
      <c r="A1262" s="1">
        <v>160000</v>
      </c>
      <c r="B1262" s="1">
        <v>961700097</v>
      </c>
      <c r="C1262" s="1" t="str">
        <f>"تخليه-کهگيلويه و بويراحمد-باشت-کارخانه رزمان"</f>
        <v>تخليه-کهگيلويه و بويراحمد-باشت-کارخانه رزمان</v>
      </c>
      <c r="D1262" s="1">
        <v>9204</v>
      </c>
      <c r="E1262" s="1">
        <v>159200</v>
      </c>
      <c r="F1262" s="1">
        <v>96</v>
      </c>
      <c r="G1262" s="1">
        <v>800</v>
      </c>
      <c r="H1262" s="1" t="str">
        <f>"96/06/22"</f>
        <v>96/06/22</v>
      </c>
      <c r="I1262" s="1" t="str">
        <f>"كيلوگرم"</f>
        <v>كيلوگرم</v>
      </c>
      <c r="J1262" s="1" t="str">
        <f>"0000000093"</f>
        <v>0000000093</v>
      </c>
      <c r="K1262" s="1" t="str">
        <f>"قير  PG64-10"</f>
        <v>قير  PG64-10</v>
      </c>
      <c r="L1262" s="1">
        <v>100</v>
      </c>
      <c r="M1262" s="1" t="str">
        <f>"مخازن قير اصفهان"</f>
        <v>مخازن قير اصفهان</v>
      </c>
      <c r="N1262" s="1">
        <v>10527</v>
      </c>
      <c r="O1262" s="1">
        <v>50036009</v>
      </c>
      <c r="P1262" s="1" t="str">
        <f>"  كوه دشت پارسيان"</f>
        <v xml:space="preserve">  كوه دشت پارسيان</v>
      </c>
      <c r="Q1262" s="1">
        <v>17</v>
      </c>
      <c r="R1262" s="1" t="str">
        <f>"فروش داخلي تهران - وزارت راه - راه روستايي - روکش"</f>
        <v>فروش داخلي تهران - وزارت راه - راه روستايي - روکش</v>
      </c>
      <c r="S1262" s="1" t="str">
        <f>"قرارداد فروش"</f>
        <v>قرارداد فروش</v>
      </c>
      <c r="T1262" s="1" t="str">
        <f>"ندارد"</f>
        <v>ندارد</v>
      </c>
      <c r="U1262" s="1" t="str">
        <f>"شيخي خيراله (1841012)"</f>
        <v>شيخي خيراله (1841012)</v>
      </c>
      <c r="V1262" s="1">
        <v>961700097</v>
      </c>
      <c r="W1262" s="1">
        <v>961700097</v>
      </c>
      <c r="X1262" s="1" t="str">
        <f>"1396511622"</f>
        <v>1396511622</v>
      </c>
      <c r="Y1262" s="1" t="str">
        <f>"96/06/22"</f>
        <v>96/06/22</v>
      </c>
      <c r="Z1262" s="1" t="str">
        <f>"29748/710"</f>
        <v>29748/710</v>
      </c>
      <c r="AA1262" s="1" t="str">
        <f>"راه روستائي -روكش"</f>
        <v>راه روستائي -روكش</v>
      </c>
      <c r="AB1262" s="1" t="str">
        <f>"96/06/15"</f>
        <v>96/06/15</v>
      </c>
      <c r="AC1262" s="1" t="str">
        <f>"كهكيلويه و بوير احمد"</f>
        <v>كهكيلويه و بوير احمد</v>
      </c>
      <c r="AD1262" s="1" t="str">
        <f>"96/06/21"</f>
        <v>96/06/21</v>
      </c>
      <c r="AE1262" s="1" t="str">
        <f>"اختتام"</f>
        <v>اختتام</v>
      </c>
      <c r="AF1262" s="1" t="str">
        <f>""</f>
        <v/>
      </c>
      <c r="AG1262" s="1" t="str">
        <f>""</f>
        <v/>
      </c>
      <c r="AH1262" s="1" t="str">
        <f>""</f>
        <v/>
      </c>
      <c r="AI1262" s="1" t="str">
        <f>""</f>
        <v/>
      </c>
      <c r="AJ1262" s="1" t="str">
        <f>""</f>
        <v/>
      </c>
      <c r="AK1262" s="1" t="str">
        <f>""</f>
        <v/>
      </c>
    </row>
    <row r="1263" spans="1:37">
      <c r="A1263" s="1">
        <v>1000000</v>
      </c>
      <c r="B1263" s="1">
        <v>961800053</v>
      </c>
      <c r="C1263" s="1" t="str">
        <f>"تخليه -كهگيلويه وبويراحمد-ياسوج -كارخانه آسفالت دارشاهي"</f>
        <v>تخليه -كهگيلويه وبويراحمد-ياسوج -كارخانه آسفالت دارشاهي</v>
      </c>
      <c r="D1263" s="1">
        <v>13100</v>
      </c>
      <c r="E1263" s="1">
        <v>999220</v>
      </c>
      <c r="F1263" s="1">
        <v>96</v>
      </c>
      <c r="G1263" s="1">
        <v>780</v>
      </c>
      <c r="H1263" s="1" t="str">
        <f>"96/07/05"</f>
        <v>96/07/05</v>
      </c>
      <c r="I1263" s="1" t="str">
        <f>"كيلوگرم"</f>
        <v>كيلوگرم</v>
      </c>
      <c r="J1263" s="1" t="str">
        <f>"0000000093"</f>
        <v>0000000093</v>
      </c>
      <c r="K1263" s="1" t="str">
        <f>"قير  PG64-10"</f>
        <v>قير  PG64-10</v>
      </c>
      <c r="L1263" s="1">
        <v>100</v>
      </c>
      <c r="M1263" s="1" t="str">
        <f>"مخازن قير اصفهان"</f>
        <v>مخازن قير اصفهان</v>
      </c>
      <c r="N1263" s="1">
        <v>10537</v>
      </c>
      <c r="O1263" s="1">
        <v>50036349</v>
      </c>
      <c r="P1263" s="1" t="str">
        <f>"  تنش ياب ياسوج"</f>
        <v xml:space="preserve">  تنش ياب ياسوج</v>
      </c>
      <c r="Q1263" s="1">
        <v>18</v>
      </c>
      <c r="R1263" s="1" t="str">
        <f>"فروش داخلي تهران - وزارت راه - شرکت ساخت و توسعه راهها"</f>
        <v>فروش داخلي تهران - وزارت راه - شرکت ساخت و توسعه راهها</v>
      </c>
      <c r="S1263" s="1" t="str">
        <f>"قرارداد فروش"</f>
        <v>قرارداد فروش</v>
      </c>
      <c r="T1263" s="1" t="str">
        <f>"ندارد"</f>
        <v>ندارد</v>
      </c>
      <c r="U1263" s="1" t="str">
        <f>"غلام نجفي سيامك‌‌‌‌‌‌(1881082)"</f>
        <v>غلام نجفي سيامك‌‌‌‌‌‌(1881082)</v>
      </c>
      <c r="V1263" s="1">
        <v>961800053</v>
      </c>
      <c r="W1263" s="1">
        <v>961800053</v>
      </c>
      <c r="X1263" s="1" t="str">
        <f>"1396514736"</f>
        <v>1396514736</v>
      </c>
      <c r="Y1263" s="1" t="str">
        <f>"96/07/05"</f>
        <v>96/07/05</v>
      </c>
      <c r="Z1263" s="1" t="str">
        <f>"31951/710"</f>
        <v>31951/710</v>
      </c>
      <c r="AA1263" s="1" t="str">
        <f>"شركت  ساخت وتوسعه راهها"</f>
        <v>شركت  ساخت وتوسعه راهها</v>
      </c>
      <c r="AB1263" s="1" t="str">
        <f>"96/06/28"</f>
        <v>96/06/28</v>
      </c>
      <c r="AC1263" s="1" t="str">
        <f>"كهكيلويه و بوير احمد"</f>
        <v>كهكيلويه و بوير احمد</v>
      </c>
      <c r="AD1263" s="1" t="str">
        <f>"96/07/04"</f>
        <v>96/07/04</v>
      </c>
      <c r="AE1263" s="1" t="str">
        <f>"اختتام"</f>
        <v>اختتام</v>
      </c>
      <c r="AF1263" s="1" t="str">
        <f>""</f>
        <v/>
      </c>
      <c r="AG1263" s="1" t="str">
        <f>""</f>
        <v/>
      </c>
      <c r="AH1263" s="1" t="str">
        <f>""</f>
        <v/>
      </c>
      <c r="AI1263" s="1" t="str">
        <f>""</f>
        <v/>
      </c>
      <c r="AJ1263" s="1" t="str">
        <f>""</f>
        <v/>
      </c>
      <c r="AK1263" s="1" t="str">
        <f>""</f>
        <v/>
      </c>
    </row>
    <row r="1264" spans="1:37">
      <c r="A1264" s="1">
        <v>155000</v>
      </c>
      <c r="B1264" s="1">
        <v>966200071</v>
      </c>
      <c r="C1264" s="1" t="str">
        <f>"تخليه - گيلان-تالش-5کيلومتري جاده مريان آق اولر-روستاي کوش ديبي-کارخانه آسفالت تالش زمين"</f>
        <v>تخليه - گيلان-تالش-5کيلومتري جاده مريان آق اولر-روستاي کوش ديبي-کارخانه آسفالت تالش زمين</v>
      </c>
      <c r="D1264" s="1">
        <v>9068</v>
      </c>
      <c r="E1264" s="1">
        <v>154160</v>
      </c>
      <c r="F1264" s="1">
        <v>96</v>
      </c>
      <c r="G1264" s="1">
        <v>840</v>
      </c>
      <c r="H1264" s="1" t="str">
        <f>"96/02/23"</f>
        <v>96/02/23</v>
      </c>
      <c r="I1264" s="1" t="str">
        <f>"كيلوگرم"</f>
        <v>كيلوگرم</v>
      </c>
      <c r="J1264" s="1" t="str">
        <f>"0000000093"</f>
        <v>0000000093</v>
      </c>
      <c r="K1264" s="1" t="str">
        <f>"قير  PG64-10"</f>
        <v>قير  PG64-10</v>
      </c>
      <c r="L1264" s="1">
        <v>100</v>
      </c>
      <c r="M1264" s="1" t="str">
        <f>"مخازن قير اصفهان"</f>
        <v>مخازن قير اصفهان</v>
      </c>
      <c r="N1264" s="1">
        <v>10712</v>
      </c>
      <c r="O1264" s="1">
        <v>50034834</v>
      </c>
      <c r="P1264" s="1" t="str">
        <f>"  راه وساختمان تالش زمين"</f>
        <v xml:space="preserve">  راه وساختمان تالش زمين</v>
      </c>
      <c r="Q1264" s="1">
        <v>62</v>
      </c>
      <c r="R1264" s="1" t="str">
        <f>"فروش داخلي - سازمان بنيادمسكن انقلاب اسلامي"</f>
        <v>فروش داخلي - سازمان بنيادمسكن انقلاب اسلامي</v>
      </c>
      <c r="S1264" s="1" t="str">
        <f>"قرارداد فروش"</f>
        <v>قرارداد فروش</v>
      </c>
      <c r="T1264" s="1" t="str">
        <f>"ندارد"</f>
        <v>ندارد</v>
      </c>
      <c r="U1264" s="1" t="str">
        <f>"حاج صادقي باقر(1841027)"</f>
        <v>حاج صادقي باقر(1841027)</v>
      </c>
      <c r="V1264" s="1">
        <v>966200071</v>
      </c>
      <c r="W1264" s="1">
        <v>966200071</v>
      </c>
      <c r="X1264" s="1" t="str">
        <f>"1396480497"</f>
        <v>1396480497</v>
      </c>
      <c r="Y1264" s="1" t="str">
        <f>"96/02/23"</f>
        <v>96/02/23</v>
      </c>
      <c r="Z1264" s="1" t="str">
        <f>"5848/د"</f>
        <v>5848/د</v>
      </c>
      <c r="AA1264" s="1" t="str">
        <f>"بنيادمسكن انقلاب اسلامي"</f>
        <v>بنيادمسكن انقلاب اسلامي</v>
      </c>
      <c r="AB1264" s="1" t="str">
        <f>"96/02/19"</f>
        <v>96/02/19</v>
      </c>
      <c r="AC1264" s="1" t="str">
        <f>"استان گيلان"</f>
        <v>استان گيلان</v>
      </c>
      <c r="AD1264" s="1" t="str">
        <f>"96/02/23"</f>
        <v>96/02/23</v>
      </c>
      <c r="AE1264" s="1" t="str">
        <f>"اختتام"</f>
        <v>اختتام</v>
      </c>
      <c r="AF1264" s="1" t="str">
        <f>""</f>
        <v/>
      </c>
      <c r="AG1264" s="1" t="str">
        <f>""</f>
        <v/>
      </c>
      <c r="AH1264" s="1" t="str">
        <f>""</f>
        <v/>
      </c>
      <c r="AI1264" s="1" t="str">
        <f>""</f>
        <v/>
      </c>
      <c r="AJ1264" s="1" t="str">
        <f>""</f>
        <v/>
      </c>
      <c r="AK1264" s="1" t="str">
        <f>""</f>
        <v/>
      </c>
    </row>
    <row r="1265" spans="1:37">
      <c r="A1265" s="1">
        <v>107000</v>
      </c>
      <c r="B1265" s="1">
        <v>966200084</v>
      </c>
      <c r="C1265" s="1" t="str">
        <f>"تخليه - بوشهر-بندرديلم-23کيلومتري بندرديلم به بهبهان بعداز روستاي عامري-کارخانه آسفالت سنگ شکن ديلم"</f>
        <v>تخليه - بوشهر-بندرديلم-23کيلومتري بندرديلم به بهبهان بعداز روستاي عامري-کارخانه آسفالت سنگ شکن ديلم</v>
      </c>
      <c r="D1265" s="1">
        <v>8918</v>
      </c>
      <c r="E1265" s="1">
        <v>106620</v>
      </c>
      <c r="F1265" s="1">
        <v>96</v>
      </c>
      <c r="G1265" s="1">
        <v>380</v>
      </c>
      <c r="H1265" s="1" t="str">
        <f>"96/02/27"</f>
        <v>96/02/27</v>
      </c>
      <c r="I1265" s="1" t="str">
        <f>"كيلوگرم"</f>
        <v>كيلوگرم</v>
      </c>
      <c r="J1265" s="1" t="str">
        <f>"0000000076"</f>
        <v>0000000076</v>
      </c>
      <c r="K1265" s="1" t="str">
        <f>"قير 60/70 - فله"</f>
        <v>قير 60/70 - فله</v>
      </c>
      <c r="L1265" s="1">
        <v>100</v>
      </c>
      <c r="M1265" s="1" t="str">
        <f>"مخازن قير اصفهان"</f>
        <v>مخازن قير اصفهان</v>
      </c>
      <c r="N1265" s="1">
        <v>11354</v>
      </c>
      <c r="O1265" s="1">
        <v>50034854</v>
      </c>
      <c r="P1265" s="1" t="str">
        <f>"  دالان کار جنوب"</f>
        <v xml:space="preserve">  دالان کار جنوب</v>
      </c>
      <c r="Q1265" s="1">
        <v>62</v>
      </c>
      <c r="R1265" s="1" t="str">
        <f>"فروش داخلي - سازمان بنيادمسكن انقلاب اسلامي"</f>
        <v>فروش داخلي - سازمان بنيادمسكن انقلاب اسلامي</v>
      </c>
      <c r="S1265" s="1" t="str">
        <f>"قرارداد فروش"</f>
        <v>قرارداد فروش</v>
      </c>
      <c r="T1265" s="1" t="str">
        <f>"ندارد"</f>
        <v>ندارد</v>
      </c>
      <c r="U1265" s="1" t="str">
        <f>"زهدار(6846003) منوچهر"</f>
        <v>زهدار(6846003) منوچهر</v>
      </c>
      <c r="V1265" s="1">
        <v>966200084</v>
      </c>
      <c r="W1265" s="1">
        <v>966200084</v>
      </c>
      <c r="X1265" s="1" t="str">
        <f>"1396481875"</f>
        <v>1396481875</v>
      </c>
      <c r="Y1265" s="1" t="str">
        <f>"96/02/27"</f>
        <v>96/02/27</v>
      </c>
      <c r="Z1265" s="1" t="str">
        <f>"6835/د"</f>
        <v>6835/د</v>
      </c>
      <c r="AA1265" s="1" t="str">
        <f>"بنيادمسكن انقلاب اسلامي"</f>
        <v>بنيادمسكن انقلاب اسلامي</v>
      </c>
      <c r="AB1265" s="1" t="str">
        <f>"96/02/25"</f>
        <v>96/02/25</v>
      </c>
      <c r="AC1265" s="1" t="str">
        <f>"بوشهر"</f>
        <v>بوشهر</v>
      </c>
      <c r="AD1265" s="1" t="str">
        <f>"96/02/27"</f>
        <v>96/02/27</v>
      </c>
      <c r="AE1265" s="1" t="str">
        <f>"اختتام"</f>
        <v>اختتام</v>
      </c>
      <c r="AF1265" s="1" t="str">
        <f>""</f>
        <v/>
      </c>
      <c r="AG1265" s="1" t="str">
        <f>""</f>
        <v/>
      </c>
      <c r="AH1265" s="1" t="str">
        <f>""</f>
        <v/>
      </c>
      <c r="AI1265" s="1" t="str">
        <f>""</f>
        <v/>
      </c>
      <c r="AJ1265" s="1" t="str">
        <f>""</f>
        <v/>
      </c>
      <c r="AK1265" s="1" t="str">
        <f>""</f>
        <v/>
      </c>
    </row>
    <row r="1266" spans="1:37">
      <c r="A1266" s="1">
        <v>544000</v>
      </c>
      <c r="B1266" s="1">
        <v>966200453</v>
      </c>
      <c r="C1266" s="1" t="str">
        <f>"تخليه - سيستان و بلوچستان-هامون-شهرمحمدآباد -کارخانه آسفالت برادران طباطبايي"</f>
        <v>تخليه - سيستان و بلوچستان-هامون-شهرمحمدآباد -کارخانه آسفالت برادران طباطبايي</v>
      </c>
      <c r="D1266" s="1">
        <v>12820</v>
      </c>
      <c r="E1266" s="1">
        <v>543420</v>
      </c>
      <c r="F1266" s="1">
        <v>96</v>
      </c>
      <c r="G1266" s="1">
        <v>580</v>
      </c>
      <c r="H1266" s="1" t="str">
        <f>"96/09/26"</f>
        <v>96/09/26</v>
      </c>
      <c r="I1266" s="1" t="str">
        <f>"كيلوگرم"</f>
        <v>كيلوگرم</v>
      </c>
      <c r="J1266" s="1" t="str">
        <f>"0000000076"</f>
        <v>0000000076</v>
      </c>
      <c r="K1266" s="1" t="str">
        <f>"قير 60/70 - فله"</f>
        <v>قير 60/70 - فله</v>
      </c>
      <c r="L1266" s="1">
        <v>100</v>
      </c>
      <c r="M1266" s="1" t="str">
        <f>"مخازن قير اصفهان"</f>
        <v>مخازن قير اصفهان</v>
      </c>
      <c r="N1266" s="1">
        <v>11360</v>
      </c>
      <c r="O1266" s="1">
        <v>50037881</v>
      </c>
      <c r="P1266" s="1" t="str">
        <f>"  پارت سازان هامون"</f>
        <v xml:space="preserve">  پارت سازان هامون</v>
      </c>
      <c r="Q1266" s="1">
        <v>62</v>
      </c>
      <c r="R1266" s="1" t="str">
        <f>"فروش داخلي - سازمان بنيادمسكن انقلاب اسلامي"</f>
        <v>فروش داخلي - سازمان بنيادمسكن انقلاب اسلامي</v>
      </c>
      <c r="S1266" s="1" t="str">
        <f>"قرارداد فروش"</f>
        <v>قرارداد فروش</v>
      </c>
      <c r="T1266" s="1" t="str">
        <f>"ندارد"</f>
        <v>ندارد</v>
      </c>
      <c r="U1266" s="1" t="str">
        <f>"قانعي محمدرضا(1011ج89)"</f>
        <v>قانعي محمدرضا(1011ج89)</v>
      </c>
      <c r="V1266" s="1">
        <v>966200453</v>
      </c>
      <c r="W1266" s="1">
        <v>966200453</v>
      </c>
      <c r="X1266" s="1" t="str">
        <f>"1396532937"</f>
        <v>1396532937</v>
      </c>
      <c r="Y1266" s="1" t="str">
        <f>"96/09/26"</f>
        <v>96/09/26</v>
      </c>
      <c r="Z1266" s="1" t="str">
        <f>"42288/د"</f>
        <v>42288/د</v>
      </c>
      <c r="AA1266" s="1" t="str">
        <f>"بنيادمسكن انقلاب اسلامي"</f>
        <v>بنيادمسكن انقلاب اسلامي</v>
      </c>
      <c r="AB1266" s="1" t="str">
        <f>"96/09/25"</f>
        <v>96/09/25</v>
      </c>
      <c r="AC1266" s="1" t="str">
        <f>"استان سيستان بلوچستان"</f>
        <v>استان سيستان بلوچستان</v>
      </c>
      <c r="AD1266" s="1" t="str">
        <f>"96/09/26"</f>
        <v>96/09/26</v>
      </c>
      <c r="AE1266" s="1" t="str">
        <f>"اختتام"</f>
        <v>اختتام</v>
      </c>
      <c r="AF1266" s="1" t="str">
        <f>""</f>
        <v/>
      </c>
      <c r="AG1266" s="1" t="str">
        <f>""</f>
        <v/>
      </c>
      <c r="AH1266" s="1" t="str">
        <f>""</f>
        <v/>
      </c>
      <c r="AI1266" s="1" t="str">
        <f>""</f>
        <v/>
      </c>
      <c r="AJ1266" s="1" t="str">
        <f>""</f>
        <v/>
      </c>
      <c r="AK1266" s="1" t="str">
        <f>""</f>
        <v/>
      </c>
    </row>
    <row r="1267" spans="1:37">
      <c r="A1267" s="1">
        <v>246000</v>
      </c>
      <c r="B1267" s="1">
        <v>966200103</v>
      </c>
      <c r="C1267" s="1" t="str">
        <f>"تخليه - مازندران - نکا-کيلومتر 5 جاده بهشهر-شهرک صنعتي فاز2-کارخانه آسفالت شرکت رهگستر پارت طبرستان"</f>
        <v>تخليه - مازندران - نکا-کيلومتر 5 جاده بهشهر-شهرک صنعتي فاز2-کارخانه آسفالت شرکت رهگستر پارت طبرستان</v>
      </c>
      <c r="D1267" s="1">
        <v>8918</v>
      </c>
      <c r="E1267" s="1">
        <v>245640</v>
      </c>
      <c r="F1267" s="1">
        <v>96</v>
      </c>
      <c r="G1267" s="1">
        <v>360</v>
      </c>
      <c r="H1267" s="1" t="str">
        <f>"96/02/31"</f>
        <v>96/02/31</v>
      </c>
      <c r="I1267" s="1" t="str">
        <f>"كيلوگرم"</f>
        <v>كيلوگرم</v>
      </c>
      <c r="J1267" s="1" t="str">
        <f>"0000000076"</f>
        <v>0000000076</v>
      </c>
      <c r="K1267" s="1" t="str">
        <f>"قير 60/70 - فله"</f>
        <v>قير 60/70 - فله</v>
      </c>
      <c r="L1267" s="1">
        <v>100</v>
      </c>
      <c r="M1267" s="1" t="str">
        <f>"مخازن قير اصفهان"</f>
        <v>مخازن قير اصفهان</v>
      </c>
      <c r="N1267" s="1">
        <v>11366</v>
      </c>
      <c r="O1267" s="1">
        <v>50034882</v>
      </c>
      <c r="P1267" s="1" t="str">
        <f>"  بنيان سازان مهرايرانيان"</f>
        <v xml:space="preserve">  بنيان سازان مهرايرانيان</v>
      </c>
      <c r="Q1267" s="1">
        <v>62</v>
      </c>
      <c r="R1267" s="1" t="str">
        <f>"فروش داخلي - سازمان بنيادمسكن انقلاب اسلامي"</f>
        <v>فروش داخلي - سازمان بنيادمسكن انقلاب اسلامي</v>
      </c>
      <c r="S1267" s="1" t="str">
        <f>"قرارداد فروش"</f>
        <v>قرارداد فروش</v>
      </c>
      <c r="T1267" s="1" t="str">
        <f>"ندارد"</f>
        <v>ندارد</v>
      </c>
      <c r="U1267" s="1" t="str">
        <f>"نظام دوست امين (1911102)"</f>
        <v>نظام دوست امين (1911102)</v>
      </c>
      <c r="V1267" s="1">
        <v>966200103</v>
      </c>
      <c r="W1267" s="1">
        <v>966200103</v>
      </c>
      <c r="X1267" s="1" t="str">
        <f>"1396482232"</f>
        <v>1396482232</v>
      </c>
      <c r="Y1267" s="1" t="str">
        <f>"96/02/31"</f>
        <v>96/02/31</v>
      </c>
      <c r="Z1267" s="1" t="str">
        <f>"7424/د"</f>
        <v>7424/د</v>
      </c>
      <c r="AA1267" s="1" t="str">
        <f>"بنيادمسكن انقلاب اسلامي"</f>
        <v>بنيادمسكن انقلاب اسلامي</v>
      </c>
      <c r="AB1267" s="1" t="str">
        <f>"96/02/30"</f>
        <v>96/02/30</v>
      </c>
      <c r="AC1267" s="1" t="str">
        <f>"استان مازندران"</f>
        <v>استان مازندران</v>
      </c>
      <c r="AD1267" s="1" t="str">
        <f>"96/02/31"</f>
        <v>96/02/31</v>
      </c>
      <c r="AE1267" s="1" t="str">
        <f>"اختتام"</f>
        <v>اختتام</v>
      </c>
      <c r="AF1267" s="1" t="str">
        <f>""</f>
        <v/>
      </c>
      <c r="AG1267" s="1" t="str">
        <f>""</f>
        <v/>
      </c>
      <c r="AH1267" s="1" t="str">
        <f>""</f>
        <v/>
      </c>
      <c r="AI1267" s="1" t="str">
        <f>""</f>
        <v/>
      </c>
      <c r="AJ1267" s="1" t="str">
        <f>""</f>
        <v/>
      </c>
      <c r="AK1267" s="1" t="str">
        <f>""</f>
        <v/>
      </c>
    </row>
    <row r="1268" spans="1:37">
      <c r="A1268" s="1">
        <v>100000</v>
      </c>
      <c r="B1268" s="1">
        <v>966200216</v>
      </c>
      <c r="C1268" s="1" t="str">
        <f>"تخليه - خراسان رضوي-مشهد-کيلومتر10جاده سرخس-نرسيده به روستاي تنگل شور-بعداز پل"</f>
        <v>تخليه - خراسان رضوي-مشهد-کيلومتر10جاده سرخس-نرسيده به روستاي تنگل شور-بعداز پل</v>
      </c>
      <c r="D1268" s="1">
        <v>8954</v>
      </c>
      <c r="E1268" s="1">
        <v>100000</v>
      </c>
      <c r="F1268" s="1">
        <v>96</v>
      </c>
      <c r="G1268" s="1">
        <v>0</v>
      </c>
      <c r="H1268" s="1" t="str">
        <f>"96/06/07"</f>
        <v>96/06/07</v>
      </c>
      <c r="I1268" s="1" t="str">
        <f>"كيلوگرم"</f>
        <v>كيلوگرم</v>
      </c>
      <c r="J1268" s="1" t="str">
        <f>"0000000076"</f>
        <v>0000000076</v>
      </c>
      <c r="K1268" s="1" t="str">
        <f>"قير 60/70 - فله"</f>
        <v>قير 60/70 - فله</v>
      </c>
      <c r="L1268" s="1">
        <v>100</v>
      </c>
      <c r="M1268" s="1" t="str">
        <f>"مخازن قير اصفهان"</f>
        <v>مخازن قير اصفهان</v>
      </c>
      <c r="N1268" s="1">
        <v>11394</v>
      </c>
      <c r="O1268" s="1">
        <v>50035847</v>
      </c>
      <c r="P1268" s="1" t="str">
        <f>"  آريا راه کاو پارس"</f>
        <v xml:space="preserve">  آريا راه کاو پارس</v>
      </c>
      <c r="Q1268" s="1">
        <v>62</v>
      </c>
      <c r="R1268" s="1" t="str">
        <f>"فروش داخلي - سازمان بنيادمسكن انقلاب اسلامي"</f>
        <v>فروش داخلي - سازمان بنيادمسكن انقلاب اسلامي</v>
      </c>
      <c r="S1268" s="1" t="str">
        <f>"قرارداد فروش"</f>
        <v>قرارداد فروش</v>
      </c>
      <c r="T1268" s="1" t="str">
        <f>"ندارد"</f>
        <v>ندارد</v>
      </c>
      <c r="U1268" s="1" t="str">
        <f>"حسيني سيدجواد(1841076)"</f>
        <v>حسيني سيدجواد(1841076)</v>
      </c>
      <c r="V1268" s="1">
        <v>966200216</v>
      </c>
      <c r="W1268" s="1">
        <v>966200216</v>
      </c>
      <c r="X1268" s="1" t="str">
        <f>"1396508616"</f>
        <v>1396508616</v>
      </c>
      <c r="Y1268" s="1" t="str">
        <f>"96/06/07"</f>
        <v>96/06/07</v>
      </c>
      <c r="Z1268" s="1" t="str">
        <f>"24585/د"</f>
        <v>24585/د</v>
      </c>
      <c r="AA1268" s="1" t="str">
        <f>"بنيادمسكن انقلاب اسلامي"</f>
        <v>بنيادمسكن انقلاب اسلامي</v>
      </c>
      <c r="AB1268" s="1" t="str">
        <f>"96/06/06"</f>
        <v>96/06/06</v>
      </c>
      <c r="AC1268" s="1" t="str">
        <f>"خراسان رضوي"</f>
        <v>خراسان رضوي</v>
      </c>
      <c r="AD1268" s="1" t="str">
        <f>"96/06/07"</f>
        <v>96/06/07</v>
      </c>
      <c r="AE1268" s="1" t="str">
        <f>"اختتام"</f>
        <v>اختتام</v>
      </c>
      <c r="AF1268" s="1" t="str">
        <f>""</f>
        <v/>
      </c>
      <c r="AG1268" s="1" t="str">
        <f>""</f>
        <v/>
      </c>
      <c r="AH1268" s="1" t="str">
        <f>""</f>
        <v/>
      </c>
      <c r="AI1268" s="1" t="str">
        <f>""</f>
        <v/>
      </c>
      <c r="AJ1268" s="1" t="str">
        <f>""</f>
        <v/>
      </c>
      <c r="AK1268" s="1" t="str">
        <f>""</f>
        <v/>
      </c>
    </row>
    <row r="1269" spans="1:37">
      <c r="A1269" s="1">
        <v>150000</v>
      </c>
      <c r="B1269" s="1">
        <v>966200237</v>
      </c>
      <c r="C1269" s="1" t="str">
        <f>"تخليه - خراسان رضوي- نيشابور-جاده قديم سبزواز-جاده فولاد خراسان-کيلومتر 2 جاده آبقوي-کارخانه پيشگام آسفالت"</f>
        <v>تخليه - خراسان رضوي- نيشابور-جاده قديم سبزواز-جاده فولاد خراسان-کيلومتر 2 جاده آبقوي-کارخانه پيشگام آسفالت</v>
      </c>
      <c r="D1269" s="1">
        <v>8954</v>
      </c>
      <c r="E1269" s="1">
        <v>136920</v>
      </c>
      <c r="F1269" s="1">
        <v>96</v>
      </c>
      <c r="G1269" s="1">
        <v>13080</v>
      </c>
      <c r="H1269" s="1" t="str">
        <f>"96/06/21"</f>
        <v>96/06/21</v>
      </c>
      <c r="I1269" s="1" t="str">
        <f>"كيلوگرم"</f>
        <v>كيلوگرم</v>
      </c>
      <c r="J1269" s="1" t="str">
        <f>"0000000076"</f>
        <v>0000000076</v>
      </c>
      <c r="K1269" s="1" t="str">
        <f>"قير 60/70 - فله"</f>
        <v>قير 60/70 - فله</v>
      </c>
      <c r="L1269" s="1">
        <v>100</v>
      </c>
      <c r="M1269" s="1" t="str">
        <f>"مخازن قير اصفهان"</f>
        <v>مخازن قير اصفهان</v>
      </c>
      <c r="N1269" s="1">
        <v>11403</v>
      </c>
      <c r="O1269" s="1">
        <v>50035996</v>
      </c>
      <c r="P1269" s="1" t="str">
        <f>"  سازه بستر خيام"</f>
        <v xml:space="preserve">  سازه بستر خيام</v>
      </c>
      <c r="Q1269" s="1">
        <v>62</v>
      </c>
      <c r="R1269" s="1" t="str">
        <f>"فروش داخلي - سازمان بنيادمسكن انقلاب اسلامي"</f>
        <v>فروش داخلي - سازمان بنيادمسكن انقلاب اسلامي</v>
      </c>
      <c r="S1269" s="1" t="str">
        <f>"قرارداد فروش"</f>
        <v>قرارداد فروش</v>
      </c>
      <c r="T1269" s="1" t="str">
        <f>"ندارد"</f>
        <v>ندارد</v>
      </c>
      <c r="U1269" s="1" t="str">
        <f>"نظام دوست امين (1911102)"</f>
        <v>نظام دوست امين (1911102)</v>
      </c>
      <c r="V1269" s="1">
        <v>966200237</v>
      </c>
      <c r="W1269" s="1">
        <v>966200237</v>
      </c>
      <c r="X1269" s="1" t="str">
        <f>"1396511620"</f>
        <v>1396511620</v>
      </c>
      <c r="Y1269" s="1" t="str">
        <f>"96/06/21"</f>
        <v>96/06/21</v>
      </c>
      <c r="Z1269" s="1" t="str">
        <f>"26383/د"</f>
        <v>26383/د</v>
      </c>
      <c r="AA1269" s="1" t="str">
        <f>"بنيادمسكن انقلاب اسلامي"</f>
        <v>بنيادمسكن انقلاب اسلامي</v>
      </c>
      <c r="AB1269" s="1" t="str">
        <f>"96/06/15"</f>
        <v>96/06/15</v>
      </c>
      <c r="AC1269" s="1" t="str">
        <f>"خراسان رضوي"</f>
        <v>خراسان رضوي</v>
      </c>
      <c r="AD1269" s="1" t="str">
        <f>"96/06/21"</f>
        <v>96/06/21</v>
      </c>
      <c r="AE1269" s="1" t="str">
        <f>"اختتام"</f>
        <v>اختتام</v>
      </c>
      <c r="AF1269" s="1" t="str">
        <f>""</f>
        <v/>
      </c>
      <c r="AG1269" s="1" t="str">
        <f>""</f>
        <v/>
      </c>
      <c r="AH1269" s="1" t="str">
        <f>""</f>
        <v/>
      </c>
      <c r="AI1269" s="1" t="str">
        <f>""</f>
        <v/>
      </c>
      <c r="AJ1269" s="1" t="str">
        <f>""</f>
        <v/>
      </c>
      <c r="AK1269" s="1" t="str">
        <f>""</f>
        <v/>
      </c>
    </row>
    <row r="1270" spans="1:37">
      <c r="A1270" s="1">
        <v>118709</v>
      </c>
      <c r="B1270" s="1">
        <v>962000100</v>
      </c>
      <c r="C1270" s="1" t="str">
        <f>"تخليه بوشهربزرگراه سيراف نرسيده به شهرخورموج كارخانه آسفالت راهگشيان دشتي"</f>
        <v>تخليه بوشهربزرگراه سيراف نرسيده به شهرخورموج كارخانه آسفالت راهگشيان دشتي</v>
      </c>
      <c r="D1270" s="1">
        <v>9113</v>
      </c>
      <c r="E1270" s="1">
        <v>118709</v>
      </c>
      <c r="F1270" s="1">
        <v>96</v>
      </c>
      <c r="G1270" s="1">
        <v>0</v>
      </c>
      <c r="H1270" s="1" t="str">
        <f>"96/07/03"</f>
        <v>96/07/03</v>
      </c>
      <c r="I1270" s="1" t="str">
        <f>"كيلوگرم"</f>
        <v>كيلوگرم</v>
      </c>
      <c r="J1270" s="1" t="str">
        <f>"0000000076"</f>
        <v>0000000076</v>
      </c>
      <c r="K1270" s="1" t="str">
        <f>"قير 60/70 - فله"</f>
        <v>قير 60/70 - فله</v>
      </c>
      <c r="L1270" s="1">
        <v>100</v>
      </c>
      <c r="M1270" s="1" t="str">
        <f>"مخازن قير اصفهان"</f>
        <v>مخازن قير اصفهان</v>
      </c>
      <c r="N1270" s="1">
        <v>11410</v>
      </c>
      <c r="O1270" s="1">
        <v>50036257</v>
      </c>
      <c r="P1270" s="1" t="str">
        <f>"  شهرداري آبدان"</f>
        <v xml:space="preserve">  شهرداري آبدان</v>
      </c>
      <c r="Q1270" s="1">
        <v>20</v>
      </c>
      <c r="R1270" s="1" t="str">
        <f>"فروش داخلي - سازمان شهرداري ها و دهياري هاي كشور"</f>
        <v>فروش داخلي - سازمان شهرداري ها و دهياري هاي كشور</v>
      </c>
      <c r="S1270" s="1" t="str">
        <f>"قرارداد فروش"</f>
        <v>قرارداد فروش</v>
      </c>
      <c r="T1270" s="1" t="str">
        <f>"ندارد"</f>
        <v>ندارد</v>
      </c>
      <c r="U1270" s="1" t="str">
        <f>"تعاوني جم گستر (1001 ج 89)"</f>
        <v>تعاوني جم گستر (1001 ج 89)</v>
      </c>
      <c r="V1270" s="1">
        <v>962000100</v>
      </c>
      <c r="W1270" s="1">
        <v>962000100</v>
      </c>
      <c r="X1270" s="1" t="str">
        <f>"1396514467"</f>
        <v>1396514467</v>
      </c>
      <c r="Y1270" s="1" t="str">
        <f>"96/07/03"</f>
        <v>96/07/03</v>
      </c>
      <c r="Z1270" s="1" t="str">
        <f>"26735مرحله اول"</f>
        <v>26735مرحله اول</v>
      </c>
      <c r="AA1270" s="1" t="str">
        <f>"شهرداريها"</f>
        <v>شهرداريها</v>
      </c>
      <c r="AB1270" s="1" t="str">
        <f>"96/06/29"</f>
        <v>96/06/29</v>
      </c>
      <c r="AC1270" s="1" t="str">
        <f>"بوشهر"</f>
        <v>بوشهر</v>
      </c>
      <c r="AD1270" s="1" t="str">
        <f>"96/07/03"</f>
        <v>96/07/03</v>
      </c>
      <c r="AE1270" s="1" t="str">
        <f>"تاييدشده"</f>
        <v>تاييدشده</v>
      </c>
      <c r="AF1270" s="1" t="str">
        <f>""</f>
        <v/>
      </c>
      <c r="AG1270" s="1" t="str">
        <f>""</f>
        <v/>
      </c>
      <c r="AH1270" s="1" t="str">
        <f>""</f>
        <v/>
      </c>
      <c r="AI1270" s="1" t="str">
        <f>""</f>
        <v/>
      </c>
      <c r="AJ1270" s="1" t="str">
        <f>""</f>
        <v/>
      </c>
      <c r="AK1270" s="1" t="str">
        <f>""</f>
        <v/>
      </c>
    </row>
    <row r="1271" spans="1:37">
      <c r="A1271" s="1">
        <v>1000000</v>
      </c>
      <c r="B1271" s="1">
        <v>961800070</v>
      </c>
      <c r="C1271" s="1" t="str">
        <f>"تخليه سيستان وبلوچستان پروژه احداث بانددوم محورزاهدان بم كارخانه آسفالت آبادگران رفاه بخش"</f>
        <v>تخليه سيستان وبلوچستان پروژه احداث بانددوم محورزاهدان بم كارخانه آسفالت آبادگران رفاه بخش</v>
      </c>
      <c r="D1271" s="1">
        <v>13400</v>
      </c>
      <c r="E1271" s="1">
        <v>994280</v>
      </c>
      <c r="F1271" s="1">
        <v>96</v>
      </c>
      <c r="G1271" s="1">
        <v>5720</v>
      </c>
      <c r="H1271" s="1" t="str">
        <f>"96/08/21"</f>
        <v>96/08/21</v>
      </c>
      <c r="I1271" s="1" t="str">
        <f>"كيلوگرم"</f>
        <v>كيلوگرم</v>
      </c>
      <c r="J1271" s="1" t="str">
        <f>"0000000094"</f>
        <v>0000000094</v>
      </c>
      <c r="K1271" s="1" t="str">
        <f>"قير  PG70-10"</f>
        <v>قير  PG70-10</v>
      </c>
      <c r="L1271" s="1">
        <v>100</v>
      </c>
      <c r="M1271" s="1" t="str">
        <f>"مخازن قير اصفهان"</f>
        <v>مخازن قير اصفهان</v>
      </c>
      <c r="N1271" s="1">
        <v>10272</v>
      </c>
      <c r="O1271" s="1">
        <v>50037188</v>
      </c>
      <c r="P1271" s="1" t="str">
        <f>"  آبادگران رفاه بخش"</f>
        <v xml:space="preserve">  آبادگران رفاه بخش</v>
      </c>
      <c r="Q1271" s="1">
        <v>18</v>
      </c>
      <c r="R1271" s="1" t="str">
        <f>"فروش داخلي تهران - وزارت راه - شرکت ساخت و توسعه راهها"</f>
        <v>فروش داخلي تهران - وزارت راه - شرکت ساخت و توسعه راهها</v>
      </c>
      <c r="S1271" s="1" t="str">
        <f>"قرارداد فروش"</f>
        <v>قرارداد فروش</v>
      </c>
      <c r="T1271" s="1" t="str">
        <f>"ندارد"</f>
        <v>ندارد</v>
      </c>
      <c r="U1271" s="1" t="str">
        <f>"خضرائي فريدون(4844003)"</f>
        <v>خضرائي فريدون(4844003)</v>
      </c>
      <c r="V1271" s="1">
        <v>961800070</v>
      </c>
      <c r="W1271" s="1">
        <v>961800070</v>
      </c>
      <c r="X1271" s="1" t="str">
        <f>"1396525138"</f>
        <v>1396525138</v>
      </c>
      <c r="Y1271" s="1" t="str">
        <f>"96/08/21"</f>
        <v>96/08/21</v>
      </c>
      <c r="Z1271" s="1" t="str">
        <f>"40858/710"</f>
        <v>40858/710</v>
      </c>
      <c r="AA1271" s="1" t="str">
        <f>"شركت  ساخت وتوسعه راهها"</f>
        <v>شركت  ساخت وتوسعه راهها</v>
      </c>
      <c r="AB1271" s="1" t="str">
        <f>"96/08/14"</f>
        <v>96/08/14</v>
      </c>
      <c r="AC1271" s="1" t="str">
        <f>"استان سيستان بلوچستان"</f>
        <v>استان سيستان بلوچستان</v>
      </c>
      <c r="AD1271" s="1" t="str">
        <f>"96/08/21"</f>
        <v>96/08/21</v>
      </c>
      <c r="AE1271" s="1" t="str">
        <f>"اختتام"</f>
        <v>اختتام</v>
      </c>
      <c r="AF1271" s="1" t="str">
        <f>""</f>
        <v/>
      </c>
      <c r="AG1271" s="1" t="str">
        <f>""</f>
        <v/>
      </c>
      <c r="AH1271" s="1" t="str">
        <f>""</f>
        <v/>
      </c>
      <c r="AI1271" s="1" t="str">
        <f>""</f>
        <v/>
      </c>
      <c r="AJ1271" s="1" t="str">
        <f>""</f>
        <v/>
      </c>
      <c r="AK1271" s="1" t="str">
        <f>""</f>
        <v/>
      </c>
    </row>
    <row r="1272" spans="1:37">
      <c r="A1272" s="1">
        <v>230000</v>
      </c>
      <c r="B1272" s="1">
        <v>961700096</v>
      </c>
      <c r="C1272" s="1" t="str">
        <f>"تخليه -ايلام -آبدانان -روستاي ماهوته -كارخانه آسفالت ماهوت شنزارغرب"</f>
        <v>تخليه -ايلام -آبدانان -روستاي ماهوته -كارخانه آسفالت ماهوت شنزارغرب</v>
      </c>
      <c r="D1272" s="1">
        <v>9504</v>
      </c>
      <c r="E1272" s="1">
        <v>229060</v>
      </c>
      <c r="F1272" s="1">
        <v>96</v>
      </c>
      <c r="G1272" s="1">
        <v>940</v>
      </c>
      <c r="H1272" s="1" t="str">
        <f>"96/06/21"</f>
        <v>96/06/21</v>
      </c>
      <c r="I1272" s="1" t="str">
        <f>"كيلوگرم"</f>
        <v>كيلوگرم</v>
      </c>
      <c r="J1272" s="1" t="str">
        <f>"0000000094"</f>
        <v>0000000094</v>
      </c>
      <c r="K1272" s="1" t="str">
        <f>"قير  PG70-10"</f>
        <v>قير  PG70-10</v>
      </c>
      <c r="L1272" s="1">
        <v>100</v>
      </c>
      <c r="M1272" s="1" t="str">
        <f>"مخازن قير اصفهان"</f>
        <v>مخازن قير اصفهان</v>
      </c>
      <c r="N1272" s="1">
        <v>10693</v>
      </c>
      <c r="O1272" s="1">
        <v>50035982</v>
      </c>
      <c r="P1272" s="1" t="str">
        <f>"  شناشيل سازان آبدانان"</f>
        <v xml:space="preserve">  شناشيل سازان آبدانان</v>
      </c>
      <c r="Q1272" s="1">
        <v>17</v>
      </c>
      <c r="R1272" s="1" t="str">
        <f>"فروش داخلي تهران - وزارت راه - راه روستايي - روکش"</f>
        <v>فروش داخلي تهران - وزارت راه - راه روستايي - روکش</v>
      </c>
      <c r="S1272" s="1" t="str">
        <f>"قرارداد فروش"</f>
        <v>قرارداد فروش</v>
      </c>
      <c r="T1272" s="1" t="str">
        <f>"ندارد"</f>
        <v>ندارد</v>
      </c>
      <c r="U1272" s="1" t="str">
        <f>"عظيمي محمد(2842015)"</f>
        <v>عظيمي محمد(2842015)</v>
      </c>
      <c r="V1272" s="1">
        <v>961700096</v>
      </c>
      <c r="W1272" s="1">
        <v>961700096</v>
      </c>
      <c r="X1272" s="1" t="str">
        <f>"1396511619"</f>
        <v>1396511619</v>
      </c>
      <c r="Y1272" s="1" t="str">
        <f>"96/06/21"</f>
        <v>96/06/21</v>
      </c>
      <c r="Z1272" s="1" t="str">
        <f>"29804/710"</f>
        <v>29804/710</v>
      </c>
      <c r="AA1272" s="1" t="str">
        <f>"راه روستائي -روكش"</f>
        <v>راه روستائي -روكش</v>
      </c>
      <c r="AB1272" s="1" t="str">
        <f>"96/06/15"</f>
        <v>96/06/15</v>
      </c>
      <c r="AC1272" s="1" t="str">
        <f>"استان ايلام"</f>
        <v>استان ايلام</v>
      </c>
      <c r="AD1272" s="1" t="str">
        <f>"96/06/21"</f>
        <v>96/06/21</v>
      </c>
      <c r="AE1272" s="1" t="str">
        <f>"اختتام"</f>
        <v>اختتام</v>
      </c>
      <c r="AF1272" s="1" t="str">
        <f>""</f>
        <v/>
      </c>
      <c r="AG1272" s="1" t="str">
        <f>""</f>
        <v/>
      </c>
      <c r="AH1272" s="1" t="str">
        <f>""</f>
        <v/>
      </c>
      <c r="AI1272" s="1" t="str">
        <f>""</f>
        <v/>
      </c>
      <c r="AJ1272" s="1" t="str">
        <f>""</f>
        <v/>
      </c>
      <c r="AK1272" s="1" t="str">
        <f>""</f>
        <v/>
      </c>
    </row>
    <row r="1273" spans="1:37">
      <c r="A1273" s="1">
        <v>1500000</v>
      </c>
      <c r="B1273" s="1">
        <v>961900045</v>
      </c>
      <c r="C1273" s="1" t="str">
        <f>"تخليه سيستان وبلوچستان مخازن ادارات راهداري وحل ونقل جاده اي تابعه استان سيستان وبلوچستان"</f>
        <v>تخليه سيستان وبلوچستان مخازن ادارات راهداري وحل ونقل جاده اي تابعه استان سيستان وبلوچستان</v>
      </c>
      <c r="D1273" s="1">
        <v>9654</v>
      </c>
      <c r="E1273" s="1">
        <v>1487080</v>
      </c>
      <c r="F1273" s="1">
        <v>96</v>
      </c>
      <c r="G1273" s="1">
        <v>12920</v>
      </c>
      <c r="H1273" s="1" t="str">
        <f>"96/01/28"</f>
        <v>96/01/28</v>
      </c>
      <c r="I1273" s="1" t="str">
        <f>"كيلوگرم"</f>
        <v>كيلوگرم</v>
      </c>
      <c r="J1273" s="1" t="str">
        <f>"0000000094"</f>
        <v>0000000094</v>
      </c>
      <c r="K1273" s="1" t="str">
        <f>"قير  PG70-10"</f>
        <v>قير  PG70-10</v>
      </c>
      <c r="L1273" s="1">
        <v>100</v>
      </c>
      <c r="M1273" s="1" t="str">
        <f>"مخازن قير اصفهان"</f>
        <v>مخازن قير اصفهان</v>
      </c>
      <c r="N1273" s="1">
        <v>11335</v>
      </c>
      <c r="O1273" s="1">
        <v>50034626</v>
      </c>
      <c r="P1273" s="1" t="str">
        <f>"  اداره كل راهداري وحمل ونقل جاده اي سيستان وبلوچستان"</f>
        <v xml:space="preserve">  اداره كل راهداري وحمل ونقل جاده اي سيستان وبلوچستان</v>
      </c>
      <c r="Q1273" s="1">
        <v>19</v>
      </c>
      <c r="R127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273" s="1" t="str">
        <f>"قرارداد فروش"</f>
        <v>قرارداد فروش</v>
      </c>
      <c r="T1273" s="1" t="str">
        <f>"ندارد"</f>
        <v>ندارد</v>
      </c>
      <c r="U1273" s="1" t="str">
        <f>"حسيني حسن(1841075)"</f>
        <v>حسيني حسن(1841075)</v>
      </c>
      <c r="V1273" s="1">
        <v>961900045</v>
      </c>
      <c r="W1273" s="1">
        <v>961900045</v>
      </c>
      <c r="X1273" s="1" t="str">
        <f>"1396474838"</f>
        <v>1396474838</v>
      </c>
      <c r="Y1273" s="1" t="str">
        <f>"96/01/28"</f>
        <v>96/01/28</v>
      </c>
      <c r="Z1273" s="1" t="str">
        <f>"66486/710"</f>
        <v>66486/710</v>
      </c>
      <c r="AA1273" s="1" t="str">
        <f>"سازمان راهداري وحمل نقل جاده اي"</f>
        <v>سازمان راهداري وحمل نقل جاده اي</v>
      </c>
      <c r="AB1273" s="1" t="str">
        <f>"95/12/24"</f>
        <v>95/12/24</v>
      </c>
      <c r="AC1273" s="1" t="str">
        <f>"استان سيستان بلوچستان"</f>
        <v>استان سيستان بلوچستان</v>
      </c>
      <c r="AD1273" s="1" t="str">
        <f>"96/01/28"</f>
        <v>96/01/28</v>
      </c>
      <c r="AE1273" s="1" t="str">
        <f>"اختتام"</f>
        <v>اختتام</v>
      </c>
      <c r="AF1273" s="1" t="str">
        <f>""</f>
        <v/>
      </c>
      <c r="AG1273" s="1" t="str">
        <f>""</f>
        <v/>
      </c>
      <c r="AH1273" s="1" t="str">
        <f>""</f>
        <v/>
      </c>
      <c r="AI1273" s="1" t="str">
        <f>""</f>
        <v/>
      </c>
      <c r="AJ1273" s="1" t="str">
        <f>""</f>
        <v/>
      </c>
      <c r="AK1273" s="1" t="str">
        <f>""</f>
        <v/>
      </c>
    </row>
    <row r="1274" spans="1:37">
      <c r="A1274" s="1">
        <v>500000</v>
      </c>
      <c r="B1274" s="1">
        <v>961800027</v>
      </c>
      <c r="C1274" s="1" t="str">
        <f>"تخليه ايرانشهرجاده كنارك به سمت كهيرسه راهي شمه كارخانه آسفالت كهير"</f>
        <v>تخليه ايرانشهرجاده كنارك به سمت كهيرسه راهي شمه كارخانه آسفالت كهير</v>
      </c>
      <c r="D1274" s="1">
        <v>16750</v>
      </c>
      <c r="E1274" s="1">
        <v>485120</v>
      </c>
      <c r="F1274" s="1">
        <v>96</v>
      </c>
      <c r="G1274" s="1">
        <v>14880</v>
      </c>
      <c r="H1274" s="1" t="str">
        <f>"96/05/22"</f>
        <v>96/05/22</v>
      </c>
      <c r="I1274" s="1" t="str">
        <f>"كيلوگرم"</f>
        <v>كيلوگرم</v>
      </c>
      <c r="J1274" s="1" t="str">
        <f>"0000000094"</f>
        <v>0000000094</v>
      </c>
      <c r="K1274" s="1" t="str">
        <f>"قير  PG70-10"</f>
        <v>قير  PG70-10</v>
      </c>
      <c r="L1274" s="1">
        <v>100</v>
      </c>
      <c r="M1274" s="1" t="str">
        <f>"مخازن قير اصفهان"</f>
        <v>مخازن قير اصفهان</v>
      </c>
      <c r="N1274" s="1">
        <v>11389</v>
      </c>
      <c r="O1274" s="1">
        <v>50035631</v>
      </c>
      <c r="P1274" s="1" t="str">
        <f>"  راهسازان صنعت بلوچ"</f>
        <v xml:space="preserve">  راهسازان صنعت بلوچ</v>
      </c>
      <c r="Q1274" s="1">
        <v>18</v>
      </c>
      <c r="R1274" s="1" t="str">
        <f>"فروش داخلي تهران - وزارت راه - شرکت ساخت و توسعه راهها"</f>
        <v>فروش داخلي تهران - وزارت راه - شرکت ساخت و توسعه راهها</v>
      </c>
      <c r="S1274" s="1" t="str">
        <f>"قرارداد فروش"</f>
        <v>قرارداد فروش</v>
      </c>
      <c r="T1274" s="1" t="str">
        <f>"ندارد"</f>
        <v>ندارد</v>
      </c>
      <c r="U1274" s="1" t="str">
        <f>"پورباقري ترابر (4914036)"</f>
        <v>پورباقري ترابر (4914036)</v>
      </c>
      <c r="V1274" s="1">
        <v>961800027</v>
      </c>
      <c r="W1274" s="1">
        <v>961800027</v>
      </c>
      <c r="X1274" s="1" t="str">
        <f>"1396504874"</f>
        <v>1396504874</v>
      </c>
      <c r="Y1274" s="1" t="str">
        <f>"96/05/22"</f>
        <v>96/05/22</v>
      </c>
      <c r="Z1274" s="1" t="str">
        <f>"14949/710"</f>
        <v>14949/710</v>
      </c>
      <c r="AA1274" s="1" t="str">
        <f>"شركت  ساخت وتوسعه راهها"</f>
        <v>شركت  ساخت وتوسعه راهها</v>
      </c>
      <c r="AB1274" s="1" t="str">
        <f>"96/04/03"</f>
        <v>96/04/03</v>
      </c>
      <c r="AC1274" s="1" t="str">
        <f>"ايرانشهر"</f>
        <v>ايرانشهر</v>
      </c>
      <c r="AD1274" s="1" t="str">
        <f>"96/05/22"</f>
        <v>96/05/22</v>
      </c>
      <c r="AE1274" s="1" t="str">
        <f>"اختتام"</f>
        <v>اختتام</v>
      </c>
      <c r="AF1274" s="1" t="str">
        <f>""</f>
        <v/>
      </c>
      <c r="AG1274" s="1" t="str">
        <f>""</f>
        <v/>
      </c>
      <c r="AH1274" s="1" t="str">
        <f>""</f>
        <v/>
      </c>
      <c r="AI1274" s="1" t="str">
        <f>""</f>
        <v/>
      </c>
      <c r="AJ1274" s="1" t="str">
        <f>""</f>
        <v/>
      </c>
      <c r="AK1274" s="1" t="str">
        <f>""</f>
        <v/>
      </c>
    </row>
    <row r="1275" spans="1:37">
      <c r="A1275" s="1">
        <v>144000</v>
      </c>
      <c r="B1275" s="1">
        <v>961700024</v>
      </c>
      <c r="C1275" s="1" t="str">
        <f>"ايلام كيلومتر5جاده ايلام به مهران كارخانه آسفالت شركت ايلام سدساز"</f>
        <v>ايلام كيلومتر5جاده ايلام به مهران كارخانه آسفالت شركت ايلام سدساز</v>
      </c>
      <c r="D1275" s="1">
        <v>8854</v>
      </c>
      <c r="E1275" s="1">
        <v>144000</v>
      </c>
      <c r="F1275" s="1">
        <v>96</v>
      </c>
      <c r="G1275" s="1">
        <v>0</v>
      </c>
      <c r="H1275" s="1" t="str">
        <f>"96/04/17"</f>
        <v>96/04/17</v>
      </c>
      <c r="I1275" s="1" t="str">
        <f>"كيلوگرم"</f>
        <v>كيلوگرم</v>
      </c>
      <c r="J1275" s="1" t="str">
        <f>"0000000092"</f>
        <v>0000000092</v>
      </c>
      <c r="K1275" s="1" t="str">
        <f>"قير  PG64-16"</f>
        <v>قير  PG64-16</v>
      </c>
      <c r="L1275" s="1">
        <v>100</v>
      </c>
      <c r="M1275" s="1" t="str">
        <f>"مخازن قير اصفهان"</f>
        <v>مخازن قير اصفهان</v>
      </c>
      <c r="N1275" s="1">
        <v>11372</v>
      </c>
      <c r="O1275" s="1">
        <v>50035120</v>
      </c>
      <c r="P1275" s="1" t="str">
        <f>"  ايلام سد ساز"</f>
        <v xml:space="preserve">  ايلام سد ساز</v>
      </c>
      <c r="Q1275" s="1">
        <v>17</v>
      </c>
      <c r="R1275" s="1" t="str">
        <f>"فروش داخلي تهران - وزارت راه - راه روستايي - روکش"</f>
        <v>فروش داخلي تهران - وزارت راه - راه روستايي - روکش</v>
      </c>
      <c r="S1275" s="1" t="str">
        <f>"قرارداد فروش"</f>
        <v>قرارداد فروش</v>
      </c>
      <c r="T1275" s="1" t="str">
        <f>"ندارد"</f>
        <v>ندارد</v>
      </c>
      <c r="U1275" s="1" t="str">
        <f>"عظيمي محمد(2842015)"</f>
        <v>عظيمي محمد(2842015)</v>
      </c>
      <c r="V1275" s="1">
        <v>961700024</v>
      </c>
      <c r="W1275" s="1">
        <v>961700024</v>
      </c>
      <c r="X1275" s="1" t="str">
        <f>"1396494231"</f>
        <v>1396494231</v>
      </c>
      <c r="Y1275" s="1" t="str">
        <f>"96/04/17"</f>
        <v>96/04/17</v>
      </c>
      <c r="Z1275" s="1" t="str">
        <f>"16363/710"</f>
        <v>16363/710</v>
      </c>
      <c r="AA1275" s="1" t="str">
        <f>"راه روستائي -روكش"</f>
        <v>راه روستائي -روكش</v>
      </c>
      <c r="AB1275" s="1" t="str">
        <f>"96/04/12"</f>
        <v>96/04/12</v>
      </c>
      <c r="AC1275" s="1" t="str">
        <f>"استان ايلام"</f>
        <v>استان ايلام</v>
      </c>
      <c r="AD1275" s="1" t="str">
        <f>"96/04/17"</f>
        <v>96/04/17</v>
      </c>
      <c r="AE1275" s="1" t="str">
        <f>"اختتام"</f>
        <v>اختتام</v>
      </c>
      <c r="AF1275" s="1" t="str">
        <f>""</f>
        <v/>
      </c>
      <c r="AG1275" s="1" t="str">
        <f>""</f>
        <v/>
      </c>
      <c r="AH1275" s="1" t="str">
        <f>""</f>
        <v/>
      </c>
      <c r="AI1275" s="1" t="str">
        <f>""</f>
        <v/>
      </c>
      <c r="AJ1275" s="1" t="str">
        <f>""</f>
        <v/>
      </c>
      <c r="AK1275" s="1" t="str">
        <f>""</f>
        <v/>
      </c>
    </row>
    <row r="1276" spans="1:37">
      <c r="A1276" s="1">
        <v>118000</v>
      </c>
      <c r="B1276" s="1">
        <v>961700110</v>
      </c>
      <c r="C1276" s="1" t="str">
        <f>"تخليه خراسان رضوي كيلومتر80محورمشهدسرخس كارخانه آسفالت جهادنصرخراسان رضوي"</f>
        <v>تخليه خراسان رضوي كيلومتر80محورمشهدسرخس كارخانه آسفالت جهادنصرخراسان رضوي</v>
      </c>
      <c r="D1276" s="1">
        <v>13600</v>
      </c>
      <c r="E1276" s="1">
        <v>117820</v>
      </c>
      <c r="F1276" s="1">
        <v>96</v>
      </c>
      <c r="G1276" s="1">
        <v>180</v>
      </c>
      <c r="H1276" s="1" t="str">
        <f>"96/07/12"</f>
        <v>96/07/12</v>
      </c>
      <c r="I1276" s="1" t="str">
        <f>"كيلوگرم"</f>
        <v>كيلوگرم</v>
      </c>
      <c r="J1276" s="1" t="str">
        <f>"0000000092"</f>
        <v>0000000092</v>
      </c>
      <c r="K1276" s="1" t="str">
        <f>"قير  PG64-16"</f>
        <v>قير  PG64-16</v>
      </c>
      <c r="L1276" s="1">
        <v>100</v>
      </c>
      <c r="M1276" s="1" t="str">
        <f>"مخازن قير اصفهان"</f>
        <v>مخازن قير اصفهان</v>
      </c>
      <c r="N1276" s="1">
        <v>11467</v>
      </c>
      <c r="O1276" s="1">
        <v>50036545</v>
      </c>
      <c r="P1276" s="1" t="str">
        <f>"  راه و ابنيه هگزا"</f>
        <v xml:space="preserve">  راه و ابنيه هگزا</v>
      </c>
      <c r="Q1276" s="1">
        <v>17</v>
      </c>
      <c r="R1276" s="1" t="str">
        <f>"فروش داخلي تهران - وزارت راه - راه روستايي - روکش"</f>
        <v>فروش داخلي تهران - وزارت راه - راه روستايي - روکش</v>
      </c>
      <c r="S1276" s="1" t="str">
        <f>"قرارداد فروش"</f>
        <v>قرارداد فروش</v>
      </c>
      <c r="T1276" s="1" t="str">
        <f>"ندارد"</f>
        <v>ندارد</v>
      </c>
      <c r="U1276" s="1" t="str">
        <f>"نظام دوست امين (1911102)"</f>
        <v>نظام دوست امين (1911102)</v>
      </c>
      <c r="V1276" s="1">
        <v>961700110</v>
      </c>
      <c r="W1276" s="1">
        <v>961700110</v>
      </c>
      <c r="X1276" s="1" t="str">
        <f>"1396516806"</f>
        <v>1396516806</v>
      </c>
      <c r="Y1276" s="1" t="str">
        <f>"96/07/12"</f>
        <v>96/07/12</v>
      </c>
      <c r="Z1276" s="1" t="str">
        <f>"33119/710"</f>
        <v>33119/710</v>
      </c>
      <c r="AA1276" s="1" t="str">
        <f>"راه روستائي -روكش"</f>
        <v>راه روستائي -روكش</v>
      </c>
      <c r="AB1276" s="1" t="str">
        <f>"96/07/04"</f>
        <v>96/07/04</v>
      </c>
      <c r="AC1276" s="1" t="str">
        <f>"خراسان رضوي"</f>
        <v>خراسان رضوي</v>
      </c>
      <c r="AD1276" s="1" t="str">
        <f>"96/07/12"</f>
        <v>96/07/12</v>
      </c>
      <c r="AE1276" s="1" t="str">
        <f>"اختتام"</f>
        <v>اختتام</v>
      </c>
      <c r="AF1276" s="1" t="str">
        <f>""</f>
        <v/>
      </c>
      <c r="AG1276" s="1" t="str">
        <f>""</f>
        <v/>
      </c>
      <c r="AH1276" s="1" t="str">
        <f>""</f>
        <v/>
      </c>
      <c r="AI1276" s="1" t="str">
        <f>""</f>
        <v/>
      </c>
      <c r="AJ1276" s="1" t="str">
        <f>""</f>
        <v/>
      </c>
      <c r="AK1276" s="1" t="str">
        <f>""</f>
        <v/>
      </c>
    </row>
    <row r="1277" spans="1:37">
      <c r="A1277" s="1">
        <v>124000</v>
      </c>
      <c r="B1277" s="1">
        <v>966200574</v>
      </c>
      <c r="C1277" s="1" t="str">
        <f>"تخليه - ايلام-جاده قديم صالح آباد -بالاتر از شهرک سرطاف-کارخانه آسفالت شرکت ايلام قيرپاش"</f>
        <v>تخليه - ايلام-جاده قديم صالح آباد -بالاتر از شهرک سرطاف-کارخانه آسفالت شرکت ايلام قيرپاش</v>
      </c>
      <c r="D1277" s="1">
        <v>13450</v>
      </c>
      <c r="E1277" s="1">
        <v>122780</v>
      </c>
      <c r="F1277" s="1">
        <v>96</v>
      </c>
      <c r="G1277" s="1">
        <v>1220</v>
      </c>
      <c r="H1277" s="1" t="str">
        <f>"96/11/24"</f>
        <v>96/11/24</v>
      </c>
      <c r="I1277" s="1" t="str">
        <f>"كيلوگرم"</f>
        <v>كيلوگرم</v>
      </c>
      <c r="J1277" s="1" t="str">
        <f>"0000000092"</f>
        <v>0000000092</v>
      </c>
      <c r="K1277" s="1" t="str">
        <f>"قير  PG64-16"</f>
        <v>قير  PG64-16</v>
      </c>
      <c r="L1277" s="1">
        <v>100</v>
      </c>
      <c r="M1277" s="1" t="str">
        <f>"مخازن قير اصفهان"</f>
        <v>مخازن قير اصفهان</v>
      </c>
      <c r="N1277" s="1">
        <v>11481</v>
      </c>
      <c r="O1277" s="1">
        <v>50038499</v>
      </c>
      <c r="P1277" s="1" t="str">
        <f>"  فلك افرازمانشت"</f>
        <v xml:space="preserve">  فلك افرازمانشت</v>
      </c>
      <c r="Q1277" s="1">
        <v>62</v>
      </c>
      <c r="R1277" s="1" t="str">
        <f>"فروش داخلي - سازمان بنيادمسكن انقلاب اسلامي"</f>
        <v>فروش داخلي - سازمان بنيادمسكن انقلاب اسلامي</v>
      </c>
      <c r="S1277" s="1" t="str">
        <f>"قرارداد فروش"</f>
        <v>قرارداد فروش</v>
      </c>
      <c r="T1277" s="1" t="str">
        <f>"ندارد"</f>
        <v>ندارد</v>
      </c>
      <c r="U1277" s="1" t="str">
        <f>"عظيمي محمد(2842015)"</f>
        <v>عظيمي محمد(2842015)</v>
      </c>
      <c r="V1277" s="1">
        <v>966200574</v>
      </c>
      <c r="W1277" s="1">
        <v>966200574</v>
      </c>
      <c r="X1277" s="1" t="str">
        <f>"1396547684"</f>
        <v>1396547684</v>
      </c>
      <c r="Y1277" s="1" t="str">
        <f>"96/11/24"</f>
        <v>96/11/24</v>
      </c>
      <c r="Z1277" s="1" t="str">
        <f>"52794/د"</f>
        <v>52794/د</v>
      </c>
      <c r="AA1277" s="1" t="str">
        <f>"بنيادمسكن انقلاب اسلامي"</f>
        <v>بنيادمسكن انقلاب اسلامي</v>
      </c>
      <c r="AB1277" s="1" t="str">
        <f>"96/11/23"</f>
        <v>96/11/23</v>
      </c>
      <c r="AC1277" s="1" t="str">
        <f>"استان ايلام"</f>
        <v>استان ايلام</v>
      </c>
      <c r="AD1277" s="1" t="str">
        <f>"96/11/24"</f>
        <v>96/11/24</v>
      </c>
      <c r="AE1277" s="1" t="str">
        <f>"اختتام"</f>
        <v>اختتام</v>
      </c>
      <c r="AF1277" s="1" t="str">
        <f>""</f>
        <v/>
      </c>
      <c r="AG1277" s="1" t="str">
        <f>""</f>
        <v/>
      </c>
      <c r="AH1277" s="1" t="str">
        <f>""</f>
        <v/>
      </c>
      <c r="AI1277" s="1" t="str">
        <f>""</f>
        <v/>
      </c>
      <c r="AJ1277" s="1" t="str">
        <f>""</f>
        <v/>
      </c>
      <c r="AK1277" s="1" t="str">
        <f>""</f>
        <v/>
      </c>
    </row>
    <row r="1278" spans="1:37">
      <c r="A1278" s="1">
        <v>500000</v>
      </c>
      <c r="B1278" s="1">
        <v>961900196</v>
      </c>
      <c r="C1278" s="1" t="str">
        <f>"تخليه ايرانشهرشهرستان چابهاركارخانه آسفالت اسپادانا"</f>
        <v>تخليه ايرانشهرشهرستان چابهاركارخانه آسفالت اسپادانا</v>
      </c>
      <c r="D1278" s="1">
        <v>13600</v>
      </c>
      <c r="E1278" s="1">
        <v>500000</v>
      </c>
      <c r="F1278" s="1">
        <v>96</v>
      </c>
      <c r="G1278" s="1">
        <v>0</v>
      </c>
      <c r="H1278" s="1" t="str">
        <f>"96/12/19"</f>
        <v>96/12/19</v>
      </c>
      <c r="I1278" s="1" t="str">
        <f>"كيلوگرم"</f>
        <v>كيلوگرم</v>
      </c>
      <c r="J1278" s="1" t="str">
        <f>"0000000092"</f>
        <v>0000000092</v>
      </c>
      <c r="K1278" s="1" t="str">
        <f>"قير  PG64-16"</f>
        <v>قير  PG64-16</v>
      </c>
      <c r="L1278" s="1">
        <v>100</v>
      </c>
      <c r="M1278" s="1" t="str">
        <f>"مخازن قير اصفهان"</f>
        <v>مخازن قير اصفهان</v>
      </c>
      <c r="N1278" s="1">
        <v>11498</v>
      </c>
      <c r="O1278" s="1">
        <v>50038853</v>
      </c>
      <c r="P1278" s="1" t="str">
        <f>"  مهندسي راه وآب و فاضلاب رهاب ايرانشهر"</f>
        <v xml:space="preserve">  مهندسي راه وآب و فاضلاب رهاب ايرانشهر</v>
      </c>
      <c r="Q1278" s="1">
        <v>19</v>
      </c>
      <c r="R127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278" s="1" t="str">
        <f>"قرارداد فروش"</f>
        <v>قرارداد فروش</v>
      </c>
      <c r="T1278" s="1" t="str">
        <f>"ندارد"</f>
        <v>ندارد</v>
      </c>
      <c r="U1278" s="1" t="str">
        <f>"راه وساختماني سنگ وكوه(5859000)"</f>
        <v>راه وساختماني سنگ وكوه(5859000)</v>
      </c>
      <c r="V1278" s="1">
        <v>961900196</v>
      </c>
      <c r="W1278" s="1">
        <v>961900196</v>
      </c>
      <c r="X1278" s="1" t="str">
        <f>"1396553739"</f>
        <v>1396553739</v>
      </c>
      <c r="Y1278" s="1" t="str">
        <f>"96/12/19"</f>
        <v>96/12/19</v>
      </c>
      <c r="Z1278" s="1" t="str">
        <f>"284117/710"</f>
        <v>284117/710</v>
      </c>
      <c r="AA1278" s="1" t="str">
        <f>"سازمان راهداري وحمل نقل جاده اي"</f>
        <v>سازمان راهداري وحمل نقل جاده اي</v>
      </c>
      <c r="AB1278" s="1" t="str">
        <f>"96/11/17"</f>
        <v>96/11/17</v>
      </c>
      <c r="AC1278" s="1" t="str">
        <f>"ايرانشهر"</f>
        <v>ايرانشهر</v>
      </c>
      <c r="AD1278" s="1" t="str">
        <f>"96/12/19"</f>
        <v>96/12/19</v>
      </c>
      <c r="AE1278" s="1" t="str">
        <f>"اختتام"</f>
        <v>اختتام</v>
      </c>
      <c r="AF1278" s="1" t="str">
        <f>""</f>
        <v/>
      </c>
      <c r="AG1278" s="1" t="str">
        <f>""</f>
        <v/>
      </c>
      <c r="AH1278" s="1" t="str">
        <f>""</f>
        <v/>
      </c>
      <c r="AI1278" s="1" t="str">
        <f>""</f>
        <v/>
      </c>
      <c r="AJ1278" s="1" t="str">
        <f>""</f>
        <v/>
      </c>
      <c r="AK1278" s="1" t="str">
        <f>""</f>
        <v/>
      </c>
    </row>
    <row r="1279" spans="1:37">
      <c r="A1279" s="1">
        <v>850000</v>
      </c>
      <c r="B1279" s="1">
        <v>961900191</v>
      </c>
      <c r="C1279" s="1" t="str">
        <f>"تخليه اصفهان زرين شهركيلومتر29اصفهان شهركرد  كارگاه زرين سپاهان"</f>
        <v>تخليه اصفهان زرين شهركيلومتر29اصفهان شهركرد  كارگاه زرين سپاهان</v>
      </c>
      <c r="D1279" s="1">
        <v>13600</v>
      </c>
      <c r="E1279" s="1">
        <v>848540</v>
      </c>
      <c r="F1279" s="1">
        <v>96</v>
      </c>
      <c r="G1279" s="1">
        <v>1460</v>
      </c>
      <c r="H1279" s="1" t="str">
        <f>"96/11/21"</f>
        <v>96/11/21</v>
      </c>
      <c r="I1279" s="1" t="str">
        <f>"كيلوگرم"</f>
        <v>كيلوگرم</v>
      </c>
      <c r="J1279" s="1" t="str">
        <f>"0000000092"</f>
        <v>0000000092</v>
      </c>
      <c r="K1279" s="1" t="str">
        <f>"قير  PG64-16"</f>
        <v>قير  PG64-16</v>
      </c>
      <c r="L1279" s="1">
        <v>100</v>
      </c>
      <c r="M1279" s="1" t="str">
        <f>"مخازن قير اصفهان"</f>
        <v>مخازن قير اصفهان</v>
      </c>
      <c r="N1279" s="1">
        <v>11524</v>
      </c>
      <c r="O1279" s="1">
        <v>50038461</v>
      </c>
      <c r="P1279" s="1" t="str">
        <f>"  اداره كل راهداري وحمل ونقل جاده اي استان اصفهان"</f>
        <v xml:space="preserve">  اداره كل راهداري وحمل ونقل جاده اي استان اصفهان</v>
      </c>
      <c r="Q1279" s="1">
        <v>19</v>
      </c>
      <c r="R127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279" s="1" t="str">
        <f>"قرارداد فروش"</f>
        <v>قرارداد فروش</v>
      </c>
      <c r="T1279" s="1" t="str">
        <f>"ندارد"</f>
        <v>ندارد</v>
      </c>
      <c r="U1279" s="1" t="str">
        <f>"مرادي نجاتعلي(1020ج89)"</f>
        <v>مرادي نجاتعلي(1020ج89)</v>
      </c>
      <c r="V1279" s="1">
        <v>961900191</v>
      </c>
      <c r="W1279" s="1">
        <v>961900191</v>
      </c>
      <c r="X1279" s="1" t="str">
        <f>"1396547022"</f>
        <v>1396547022</v>
      </c>
      <c r="Y1279" s="1" t="str">
        <f>"96/11/21"</f>
        <v>96/11/21</v>
      </c>
      <c r="Z1279" s="1" t="str">
        <f>"54898/710"</f>
        <v>54898/710</v>
      </c>
      <c r="AA1279" s="1" t="str">
        <f>"سازمان راهداري وحمل نقل جاده اي"</f>
        <v>سازمان راهداري وحمل نقل جاده اي</v>
      </c>
      <c r="AB1279" s="1" t="str">
        <f>"96/10/23"</f>
        <v>96/10/23</v>
      </c>
      <c r="AC1279" s="1" t="str">
        <f>"استان اصفهان"</f>
        <v>استان اصفهان</v>
      </c>
      <c r="AD1279" s="1" t="str">
        <f>"96/11/21"</f>
        <v>96/11/21</v>
      </c>
      <c r="AE1279" s="1" t="str">
        <f>"اختتام"</f>
        <v>اختتام</v>
      </c>
      <c r="AF1279" s="1" t="str">
        <f>""</f>
        <v/>
      </c>
      <c r="AG1279" s="1" t="str">
        <f>""</f>
        <v/>
      </c>
      <c r="AH1279" s="1" t="str">
        <f>""</f>
        <v/>
      </c>
      <c r="AI1279" s="1" t="str">
        <f>""</f>
        <v/>
      </c>
      <c r="AJ1279" s="1" t="str">
        <f>""</f>
        <v/>
      </c>
      <c r="AK1279" s="1" t="str">
        <f>""</f>
        <v/>
      </c>
    </row>
    <row r="1280" spans="1:37">
      <c r="A1280" s="1">
        <v>221000</v>
      </c>
      <c r="B1280" s="1">
        <v>966200253</v>
      </c>
      <c r="C1280" s="1" t="str">
        <f>"تخليه -رشت -فلكه انتظام -كيلومتر3جاده جيرده شركت راهسازي لاتوم"</f>
        <v>تخليه -رشت -فلكه انتظام -كيلومتر3جاده جيرده شركت راهسازي لاتوم</v>
      </c>
      <c r="D1280" s="1">
        <v>9363</v>
      </c>
      <c r="E1280" s="1">
        <v>221000</v>
      </c>
      <c r="F1280" s="1">
        <v>96</v>
      </c>
      <c r="G1280" s="1">
        <v>0</v>
      </c>
      <c r="H1280" s="1" t="str">
        <f>"96/07/05"</f>
        <v>96/07/05</v>
      </c>
      <c r="I1280" s="1" t="str">
        <f>"كيلوگرم"</f>
        <v>كيلوگرم</v>
      </c>
      <c r="J1280" s="1" t="str">
        <f>"0000000093"</f>
        <v>0000000093</v>
      </c>
      <c r="K1280" s="1" t="str">
        <f>"قير  PG64-10"</f>
        <v>قير  PG64-10</v>
      </c>
      <c r="L1280" s="1">
        <v>100</v>
      </c>
      <c r="M1280" s="1" t="str">
        <f>"مخازن قير اصفهان"</f>
        <v>مخازن قير اصفهان</v>
      </c>
      <c r="N1280" s="1">
        <v>4050</v>
      </c>
      <c r="O1280" s="1">
        <v>50036290</v>
      </c>
      <c r="P1280" s="1" t="str">
        <f>"  لاتوم(1849002)"</f>
        <v xml:space="preserve">  لاتوم(1849002)</v>
      </c>
      <c r="Q1280" s="1">
        <v>62</v>
      </c>
      <c r="R1280" s="1" t="str">
        <f>"فروش داخلي - سازمان بنيادمسكن انقلاب اسلامي"</f>
        <v>فروش داخلي - سازمان بنيادمسكن انقلاب اسلامي</v>
      </c>
      <c r="S1280" s="1" t="str">
        <f>"قرارداد فروش"</f>
        <v>قرارداد فروش</v>
      </c>
      <c r="T1280" s="1" t="str">
        <f>"ندارد"</f>
        <v>ندارد</v>
      </c>
      <c r="U1280" s="1" t="str">
        <f>"لاتوم(1849002)"</f>
        <v>لاتوم(1849002)</v>
      </c>
      <c r="V1280" s="1">
        <v>966200253</v>
      </c>
      <c r="W1280" s="1">
        <v>966200253</v>
      </c>
      <c r="X1280" s="1" t="str">
        <f>"1396514735"</f>
        <v>1396514735</v>
      </c>
      <c r="Y1280" s="1" t="str">
        <f>"96/07/05"</f>
        <v>96/07/05</v>
      </c>
      <c r="Z1280" s="1" t="str">
        <f>"28427/د"</f>
        <v>28427/د</v>
      </c>
      <c r="AA1280" s="1" t="str">
        <f>"بنيادمسكن انقلاب اسلامي"</f>
        <v>بنيادمسكن انقلاب اسلامي</v>
      </c>
      <c r="AB1280" s="1" t="str">
        <f>"96/06/28"</f>
        <v>96/06/28</v>
      </c>
      <c r="AC1280" s="1" t="str">
        <f>"استان گيلان"</f>
        <v>استان گيلان</v>
      </c>
      <c r="AD1280" s="1" t="str">
        <f>"96/07/04"</f>
        <v>96/07/04</v>
      </c>
      <c r="AE1280" s="1" t="str">
        <f>"اختتام"</f>
        <v>اختتام</v>
      </c>
      <c r="AF1280" s="1" t="str">
        <f>""</f>
        <v/>
      </c>
      <c r="AG1280" s="1" t="str">
        <f>""</f>
        <v/>
      </c>
      <c r="AH1280" s="1" t="str">
        <f>""</f>
        <v/>
      </c>
      <c r="AI1280" s="1" t="str">
        <f>""</f>
        <v/>
      </c>
      <c r="AJ1280" s="1" t="str">
        <f>""</f>
        <v/>
      </c>
      <c r="AK1280" s="1" t="str">
        <f>""</f>
        <v/>
      </c>
    </row>
    <row r="1281" spans="1:37">
      <c r="A1281" s="1">
        <v>272000</v>
      </c>
      <c r="B1281" s="1">
        <v>966200256</v>
      </c>
      <c r="C1281" s="1" t="str">
        <f>"تخليه - گيلان-رضوانشهر-پره سر-دينال چال -کوچه آزادگان"</f>
        <v>تخليه - گيلان-رضوانشهر-پره سر-دينال چال -کوچه آزادگان</v>
      </c>
      <c r="D1281" s="1">
        <v>9363</v>
      </c>
      <c r="E1281" s="1">
        <v>272000</v>
      </c>
      <c r="F1281" s="1">
        <v>96</v>
      </c>
      <c r="G1281" s="1">
        <v>0</v>
      </c>
      <c r="H1281" s="1" t="str">
        <f>"96/07/05"</f>
        <v>96/07/05</v>
      </c>
      <c r="I1281" s="1" t="str">
        <f>"كيلوگرم"</f>
        <v>كيلوگرم</v>
      </c>
      <c r="J1281" s="1" t="str">
        <f>"0000000093"</f>
        <v>0000000093</v>
      </c>
      <c r="K1281" s="1" t="str">
        <f>"قير  PG64-10"</f>
        <v>قير  PG64-10</v>
      </c>
      <c r="L1281" s="1">
        <v>100</v>
      </c>
      <c r="M1281" s="1" t="str">
        <f>"مخازن قير اصفهان"</f>
        <v>مخازن قير اصفهان</v>
      </c>
      <c r="N1281" s="1">
        <v>11326</v>
      </c>
      <c r="O1281" s="1">
        <v>50036293</v>
      </c>
      <c r="P1281" s="1" t="str">
        <f>"  گيلسار پايا پي"</f>
        <v xml:space="preserve">  گيلسار پايا پي</v>
      </c>
      <c r="Q1281" s="1">
        <v>62</v>
      </c>
      <c r="R1281" s="1" t="str">
        <f>"فروش داخلي - سازمان بنيادمسكن انقلاب اسلامي"</f>
        <v>فروش داخلي - سازمان بنيادمسكن انقلاب اسلامي</v>
      </c>
      <c r="S1281" s="1" t="str">
        <f>"قرارداد فروش"</f>
        <v>قرارداد فروش</v>
      </c>
      <c r="T1281" s="1" t="str">
        <f>"ندارد"</f>
        <v>ندارد</v>
      </c>
      <c r="U1281" s="1" t="str">
        <f>"حاج صادقي باقر(1841027)"</f>
        <v>حاج صادقي باقر(1841027)</v>
      </c>
      <c r="V1281" s="1">
        <v>966200256</v>
      </c>
      <c r="W1281" s="1">
        <v>966200256</v>
      </c>
      <c r="X1281" s="1" t="str">
        <f>"1396514735"</f>
        <v>1396514735</v>
      </c>
      <c r="Y1281" s="1" t="str">
        <f>"96/07/05"</f>
        <v>96/07/05</v>
      </c>
      <c r="Z1281" s="1" t="str">
        <f>"29252/د"</f>
        <v>29252/د</v>
      </c>
      <c r="AA1281" s="1" t="str">
        <f>"بنيادمسكن انقلاب اسلامي"</f>
        <v>بنيادمسكن انقلاب اسلامي</v>
      </c>
      <c r="AB1281" s="1" t="str">
        <f>"96/07/02"</f>
        <v>96/07/02</v>
      </c>
      <c r="AC1281" s="1" t="str">
        <f>"استان گيلان"</f>
        <v>استان گيلان</v>
      </c>
      <c r="AD1281" s="1" t="str">
        <f>"96/07/04"</f>
        <v>96/07/04</v>
      </c>
      <c r="AE1281" s="1" t="str">
        <f>"اختتام"</f>
        <v>اختتام</v>
      </c>
      <c r="AF1281" s="1" t="str">
        <f>""</f>
        <v/>
      </c>
      <c r="AG1281" s="1" t="str">
        <f>""</f>
        <v/>
      </c>
      <c r="AH1281" s="1" t="str">
        <f>""</f>
        <v/>
      </c>
      <c r="AI1281" s="1" t="str">
        <f>""</f>
        <v/>
      </c>
      <c r="AJ1281" s="1" t="str">
        <f>""</f>
        <v/>
      </c>
      <c r="AK1281" s="1" t="str">
        <f>""</f>
        <v/>
      </c>
    </row>
    <row r="1282" spans="1:37">
      <c r="A1282" s="1">
        <v>320000</v>
      </c>
      <c r="B1282" s="1">
        <v>966200258</v>
      </c>
      <c r="C1282" s="1" t="str">
        <f>"تخليه - گيلان-رضوانشهر-پره سر-دينال چال -کوچه آزادگان"</f>
        <v>تخليه - گيلان-رضوانشهر-پره سر-دينال چال -کوچه آزادگان</v>
      </c>
      <c r="D1282" s="1">
        <v>9363</v>
      </c>
      <c r="E1282" s="1">
        <v>320000</v>
      </c>
      <c r="F1282" s="1">
        <v>96</v>
      </c>
      <c r="G1282" s="1">
        <v>0</v>
      </c>
      <c r="H1282" s="1" t="str">
        <f>"96/07/05"</f>
        <v>96/07/05</v>
      </c>
      <c r="I1282" s="1" t="str">
        <f>"كيلوگرم"</f>
        <v>كيلوگرم</v>
      </c>
      <c r="J1282" s="1" t="str">
        <f>"0000000093"</f>
        <v>0000000093</v>
      </c>
      <c r="K1282" s="1" t="str">
        <f>"قير  PG64-10"</f>
        <v>قير  PG64-10</v>
      </c>
      <c r="L1282" s="1">
        <v>100</v>
      </c>
      <c r="M1282" s="1" t="str">
        <f>"مخازن قير اصفهان"</f>
        <v>مخازن قير اصفهان</v>
      </c>
      <c r="N1282" s="1">
        <v>11326</v>
      </c>
      <c r="O1282" s="1">
        <v>50036295</v>
      </c>
      <c r="P1282" s="1" t="str">
        <f>"  گيلسار پايا پي"</f>
        <v xml:space="preserve">  گيلسار پايا پي</v>
      </c>
      <c r="Q1282" s="1">
        <v>62</v>
      </c>
      <c r="R1282" s="1" t="str">
        <f>"فروش داخلي - سازمان بنيادمسكن انقلاب اسلامي"</f>
        <v>فروش داخلي - سازمان بنيادمسكن انقلاب اسلامي</v>
      </c>
      <c r="S1282" s="1" t="str">
        <f>"قرارداد فروش"</f>
        <v>قرارداد فروش</v>
      </c>
      <c r="T1282" s="1" t="str">
        <f>"ندارد"</f>
        <v>ندارد</v>
      </c>
      <c r="U1282" s="1" t="str">
        <f>"حاج صادقي باقر(1841027)"</f>
        <v>حاج صادقي باقر(1841027)</v>
      </c>
      <c r="V1282" s="1">
        <v>966200258</v>
      </c>
      <c r="W1282" s="1">
        <v>966200258</v>
      </c>
      <c r="X1282" s="1" t="str">
        <f>"1396514735"</f>
        <v>1396514735</v>
      </c>
      <c r="Y1282" s="1" t="str">
        <f>"96/07/05"</f>
        <v>96/07/05</v>
      </c>
      <c r="Z1282" s="1" t="str">
        <f>"29258/د"</f>
        <v>29258/د</v>
      </c>
      <c r="AA1282" s="1" t="str">
        <f>"بنيادمسكن انقلاب اسلامي"</f>
        <v>بنيادمسكن انقلاب اسلامي</v>
      </c>
      <c r="AB1282" s="1" t="str">
        <f>"96/07/02"</f>
        <v>96/07/02</v>
      </c>
      <c r="AC1282" s="1" t="str">
        <f>"استان گيلان"</f>
        <v>استان گيلان</v>
      </c>
      <c r="AD1282" s="1" t="str">
        <f>"96/07/04"</f>
        <v>96/07/04</v>
      </c>
      <c r="AE1282" s="1" t="str">
        <f>"اختتام"</f>
        <v>اختتام</v>
      </c>
      <c r="AF1282" s="1" t="str">
        <f>""</f>
        <v/>
      </c>
      <c r="AG1282" s="1" t="str">
        <f>""</f>
        <v/>
      </c>
      <c r="AH1282" s="1" t="str">
        <f>""</f>
        <v/>
      </c>
      <c r="AI1282" s="1" t="str">
        <f>""</f>
        <v/>
      </c>
      <c r="AJ1282" s="1" t="str">
        <f>""</f>
        <v/>
      </c>
      <c r="AK1282" s="1" t="str">
        <f>""</f>
        <v/>
      </c>
    </row>
    <row r="1283" spans="1:37">
      <c r="A1283" s="1">
        <v>208000</v>
      </c>
      <c r="B1283" s="1">
        <v>966200220</v>
      </c>
      <c r="C1283" s="1" t="str">
        <f>"تخليه - گيلان-تالش-ليسار-کارخانه آسفالت ايران پل"</f>
        <v>تخليه - گيلان-تالش-ليسار-کارخانه آسفالت ايران پل</v>
      </c>
      <c r="D1283" s="1">
        <v>9204</v>
      </c>
      <c r="E1283" s="1">
        <v>208000</v>
      </c>
      <c r="F1283" s="1">
        <v>96</v>
      </c>
      <c r="G1283" s="1">
        <v>0</v>
      </c>
      <c r="H1283" s="1" t="str">
        <f>"96/06/11"</f>
        <v>96/06/11</v>
      </c>
      <c r="I1283" s="1" t="str">
        <f>"كيلوگرم"</f>
        <v>كيلوگرم</v>
      </c>
      <c r="J1283" s="1" t="str">
        <f>"0000000093"</f>
        <v>0000000093</v>
      </c>
      <c r="K1283" s="1" t="str">
        <f>"قير  PG64-10"</f>
        <v>قير  PG64-10</v>
      </c>
      <c r="L1283" s="1">
        <v>100</v>
      </c>
      <c r="M1283" s="1" t="str">
        <f>"مخازن قير اصفهان"</f>
        <v>مخازن قير اصفهان</v>
      </c>
      <c r="N1283" s="1">
        <v>11384</v>
      </c>
      <c r="O1283" s="1">
        <v>50035878</v>
      </c>
      <c r="P1283" s="1" t="str">
        <f>"  سازه پايدار افلاک"</f>
        <v xml:space="preserve">  سازه پايدار افلاک</v>
      </c>
      <c r="Q1283" s="1">
        <v>62</v>
      </c>
      <c r="R1283" s="1" t="str">
        <f>"فروش داخلي - سازمان بنيادمسكن انقلاب اسلامي"</f>
        <v>فروش داخلي - سازمان بنيادمسكن انقلاب اسلامي</v>
      </c>
      <c r="S1283" s="1" t="str">
        <f>"قرارداد فروش"</f>
        <v>قرارداد فروش</v>
      </c>
      <c r="T1283" s="1" t="str">
        <f>"ندارد"</f>
        <v>ندارد</v>
      </c>
      <c r="U1283" s="1" t="str">
        <f>"هيزچي مرتضي(1841036)"</f>
        <v>هيزچي مرتضي(1841036)</v>
      </c>
      <c r="V1283" s="1">
        <v>966200220</v>
      </c>
      <c r="W1283" s="1">
        <v>966200220</v>
      </c>
      <c r="X1283" s="1" t="str">
        <f>"1396509609"</f>
        <v>1396509609</v>
      </c>
      <c r="Y1283" s="1" t="str">
        <f>"96/06/11"</f>
        <v>96/06/11</v>
      </c>
      <c r="Z1283" s="1" t="str">
        <f>"24986/د"</f>
        <v>24986/د</v>
      </c>
      <c r="AA1283" s="1" t="str">
        <f>"بنيادمسكن انقلاب اسلامي"</f>
        <v>بنيادمسكن انقلاب اسلامي</v>
      </c>
      <c r="AB1283" s="1" t="str">
        <f>"96/06/08"</f>
        <v>96/06/08</v>
      </c>
      <c r="AC1283" s="1" t="str">
        <f>"استان گيلان"</f>
        <v>استان گيلان</v>
      </c>
      <c r="AD1283" s="1" t="str">
        <f>"96/06/11"</f>
        <v>96/06/11</v>
      </c>
      <c r="AE1283" s="1" t="str">
        <f>"اختتام"</f>
        <v>اختتام</v>
      </c>
      <c r="AF1283" s="1" t="str">
        <f>""</f>
        <v/>
      </c>
      <c r="AG1283" s="1" t="str">
        <f>""</f>
        <v/>
      </c>
      <c r="AH1283" s="1" t="str">
        <f>""</f>
        <v/>
      </c>
      <c r="AI1283" s="1" t="str">
        <f>""</f>
        <v/>
      </c>
      <c r="AJ1283" s="1" t="str">
        <f>""</f>
        <v/>
      </c>
      <c r="AK1283" s="1" t="str">
        <f>""</f>
        <v/>
      </c>
    </row>
    <row r="1284" spans="1:37">
      <c r="A1284" s="1">
        <v>66000</v>
      </c>
      <c r="B1284" s="1">
        <v>966200325</v>
      </c>
      <c r="C1284" s="1" t="str">
        <f>"تخليه-ايلام-جاده ايلام-بدره-کارخانه آسفالت ايلام راه بان"</f>
        <v>تخليه-ايلام-جاده ايلام-بدره-کارخانه آسفالت ايلام راه بان</v>
      </c>
      <c r="D1284" s="1">
        <v>9663</v>
      </c>
      <c r="E1284" s="1">
        <v>65600</v>
      </c>
      <c r="F1284" s="1">
        <v>96</v>
      </c>
      <c r="G1284" s="1">
        <v>400</v>
      </c>
      <c r="H1284" s="1" t="str">
        <f>"96/07/24"</f>
        <v>96/07/24</v>
      </c>
      <c r="I1284" s="1" t="str">
        <f>"كيلوگرم"</f>
        <v>كيلوگرم</v>
      </c>
      <c r="J1284" s="1" t="str">
        <f>"0000000094"</f>
        <v>0000000094</v>
      </c>
      <c r="K1284" s="1" t="str">
        <f>"قير  PG70-10"</f>
        <v>قير  PG70-10</v>
      </c>
      <c r="L1284" s="1">
        <v>100</v>
      </c>
      <c r="M1284" s="1" t="str">
        <f>"مخازن قير اصفهان"</f>
        <v>مخازن قير اصفهان</v>
      </c>
      <c r="N1284" s="1">
        <v>11476</v>
      </c>
      <c r="O1284" s="1">
        <v>50036755</v>
      </c>
      <c r="P1284" s="1" t="str">
        <f>"  آرمه بتن هيراد"</f>
        <v xml:space="preserve">  آرمه بتن هيراد</v>
      </c>
      <c r="Q1284" s="1">
        <v>62</v>
      </c>
      <c r="R1284" s="1" t="str">
        <f>"فروش داخلي - سازمان بنيادمسكن انقلاب اسلامي"</f>
        <v>فروش داخلي - سازمان بنيادمسكن انقلاب اسلامي</v>
      </c>
      <c r="S1284" s="1" t="str">
        <f>"قرارداد فروش"</f>
        <v>قرارداد فروش</v>
      </c>
      <c r="T1284" s="1" t="str">
        <f>"ندارد"</f>
        <v>ندارد</v>
      </c>
      <c r="U1284" s="1" t="str">
        <f>"ريسماني حسن(1007ج89)"</f>
        <v>ريسماني حسن(1007ج89)</v>
      </c>
      <c r="V1284" s="1">
        <v>966200325</v>
      </c>
      <c r="W1284" s="1">
        <v>966200325</v>
      </c>
      <c r="X1284" s="1" t="str">
        <f>"1396518916"</f>
        <v>1396518916</v>
      </c>
      <c r="Y1284" s="1" t="str">
        <f>"96/07/24"</f>
        <v>96/07/24</v>
      </c>
      <c r="Z1284" s="1" t="str">
        <f>"32882/د"</f>
        <v>32882/د</v>
      </c>
      <c r="AA1284" s="1" t="str">
        <f>"بنيادمسكن انقلاب اسلامي"</f>
        <v>بنيادمسكن انقلاب اسلامي</v>
      </c>
      <c r="AB1284" s="1" t="str">
        <f>"96/07/24"</f>
        <v>96/07/24</v>
      </c>
      <c r="AC1284" s="1" t="str">
        <f>"استان ايلام"</f>
        <v>استان ايلام</v>
      </c>
      <c r="AD1284" s="1" t="str">
        <f>"96/07/24"</f>
        <v>96/07/24</v>
      </c>
      <c r="AE1284" s="1" t="str">
        <f>"اختتام"</f>
        <v>اختتام</v>
      </c>
      <c r="AF1284" s="1" t="str">
        <f>""</f>
        <v/>
      </c>
      <c r="AG1284" s="1" t="str">
        <f>""</f>
        <v/>
      </c>
      <c r="AH1284" s="1" t="str">
        <f>""</f>
        <v/>
      </c>
      <c r="AI1284" s="1" t="str">
        <f>""</f>
        <v/>
      </c>
      <c r="AJ1284" s="1" t="str">
        <f>""</f>
        <v/>
      </c>
      <c r="AK1284" s="1" t="str">
        <f>""</f>
        <v/>
      </c>
    </row>
    <row r="1285" spans="1:37">
      <c r="A1285" s="1">
        <v>112533</v>
      </c>
      <c r="B1285" s="1">
        <v>962000102</v>
      </c>
      <c r="C1285" s="1" t="str">
        <f>"تخليه بوشهربزرگراه سيراف نرسيده خورموج كارخانه آسفالت راهگشيان دشتي"</f>
        <v>تخليه بوشهربزرگراه سيراف نرسيده خورموج كارخانه آسفالت راهگشيان دشتي</v>
      </c>
      <c r="D1285" s="1">
        <v>9113</v>
      </c>
      <c r="E1285" s="1">
        <v>112533</v>
      </c>
      <c r="F1285" s="1">
        <v>96</v>
      </c>
      <c r="G1285" s="1">
        <v>0</v>
      </c>
      <c r="H1285" s="1" t="str">
        <f>"96/07/03"</f>
        <v>96/07/03</v>
      </c>
      <c r="I1285" s="1" t="str">
        <f>"كيلوگرم"</f>
        <v>كيلوگرم</v>
      </c>
      <c r="J1285" s="1" t="str">
        <f>"0000000076"</f>
        <v>0000000076</v>
      </c>
      <c r="K1285" s="1" t="str">
        <f>"قير 60/70 - فله"</f>
        <v>قير 60/70 - فله</v>
      </c>
      <c r="L1285" s="1">
        <v>100</v>
      </c>
      <c r="M1285" s="1" t="str">
        <f>"مخازن قير اصفهان"</f>
        <v>مخازن قير اصفهان</v>
      </c>
      <c r="N1285" s="1">
        <v>11412</v>
      </c>
      <c r="O1285" s="1">
        <v>50036259</v>
      </c>
      <c r="P1285" s="1" t="str">
        <f>"  شهرداري بردخون"</f>
        <v xml:space="preserve">  شهرداري بردخون</v>
      </c>
      <c r="Q1285" s="1">
        <v>20</v>
      </c>
      <c r="R1285" s="1" t="str">
        <f>"فروش داخلي - سازمان شهرداري ها و دهياري هاي كشور"</f>
        <v>فروش داخلي - سازمان شهرداري ها و دهياري هاي كشور</v>
      </c>
      <c r="S1285" s="1" t="str">
        <f>"قرارداد فروش"</f>
        <v>قرارداد فروش</v>
      </c>
      <c r="T1285" s="1" t="str">
        <f>"ندارد"</f>
        <v>ندارد</v>
      </c>
      <c r="U1285" s="1" t="str">
        <f>"تعاوني جم گستر (1001 ج 89)"</f>
        <v>تعاوني جم گستر (1001 ج 89)</v>
      </c>
      <c r="V1285" s="1">
        <v>962000102</v>
      </c>
      <c r="W1285" s="1">
        <v>962000102</v>
      </c>
      <c r="X1285" s="1" t="str">
        <f>"1396514467"</f>
        <v>1396514467</v>
      </c>
      <c r="Y1285" s="1" t="str">
        <f>"96/07/03"</f>
        <v>96/07/03</v>
      </c>
      <c r="Z1285" s="1" t="str">
        <f>"26866مرحله اول"</f>
        <v>26866مرحله اول</v>
      </c>
      <c r="AA1285" s="1" t="str">
        <f>"شهرداريها"</f>
        <v>شهرداريها</v>
      </c>
      <c r="AB1285" s="1" t="str">
        <f>"96/06/29"</f>
        <v>96/06/29</v>
      </c>
      <c r="AC1285" s="1" t="str">
        <f>"بوشهر"</f>
        <v>بوشهر</v>
      </c>
      <c r="AD1285" s="1" t="str">
        <f>"96/07/03"</f>
        <v>96/07/03</v>
      </c>
      <c r="AE1285" s="1" t="str">
        <f>"تاييدشده"</f>
        <v>تاييدشده</v>
      </c>
      <c r="AF1285" s="1" t="str">
        <f>""</f>
        <v/>
      </c>
      <c r="AG1285" s="1" t="str">
        <f>""</f>
        <v/>
      </c>
      <c r="AH1285" s="1" t="str">
        <f>""</f>
        <v/>
      </c>
      <c r="AI1285" s="1" t="str">
        <f>""</f>
        <v/>
      </c>
      <c r="AJ1285" s="1" t="str">
        <f>""</f>
        <v/>
      </c>
      <c r="AK1285" s="1" t="str">
        <f>""</f>
        <v/>
      </c>
    </row>
    <row r="1286" spans="1:37">
      <c r="A1286" s="1">
        <v>109972</v>
      </c>
      <c r="B1286" s="1">
        <v>962000114</v>
      </c>
      <c r="C1286" s="1" t="str">
        <f>"تخليه بوشهربزرگراه سيراف نرسيده به شهرخورموج كارخانه آسفالت راهگشيان دشتي"</f>
        <v>تخليه بوشهربزرگراه سيراف نرسيده به شهرخورموج كارخانه آسفالت راهگشيان دشتي</v>
      </c>
      <c r="D1286" s="1">
        <v>9113</v>
      </c>
      <c r="E1286" s="1">
        <v>109972</v>
      </c>
      <c r="F1286" s="1">
        <v>96</v>
      </c>
      <c r="G1286" s="1">
        <v>0</v>
      </c>
      <c r="H1286" s="1" t="str">
        <f>"96/07/03"</f>
        <v>96/07/03</v>
      </c>
      <c r="I1286" s="1" t="str">
        <f>"كيلوگرم"</f>
        <v>كيلوگرم</v>
      </c>
      <c r="J1286" s="1" t="str">
        <f>"0000000076"</f>
        <v>0000000076</v>
      </c>
      <c r="K1286" s="1" t="str">
        <f>"قير 60/70 - فله"</f>
        <v>قير 60/70 - فله</v>
      </c>
      <c r="L1286" s="1">
        <v>100</v>
      </c>
      <c r="M1286" s="1" t="str">
        <f>"مخازن قير اصفهان"</f>
        <v>مخازن قير اصفهان</v>
      </c>
      <c r="N1286" s="1">
        <v>11419</v>
      </c>
      <c r="O1286" s="1">
        <v>50036281</v>
      </c>
      <c r="P1286" s="1" t="str">
        <f>"  شهرداري دوراهك"</f>
        <v xml:space="preserve">  شهرداري دوراهك</v>
      </c>
      <c r="Q1286" s="1">
        <v>20</v>
      </c>
      <c r="R1286" s="1" t="str">
        <f>"فروش داخلي - سازمان شهرداري ها و دهياري هاي كشور"</f>
        <v>فروش داخلي - سازمان شهرداري ها و دهياري هاي كشور</v>
      </c>
      <c r="S1286" s="1" t="str">
        <f>"قرارداد فروش"</f>
        <v>قرارداد فروش</v>
      </c>
      <c r="T1286" s="1" t="str">
        <f>"ندارد"</f>
        <v>ندارد</v>
      </c>
      <c r="U1286" s="1" t="str">
        <f>"تعاوني جم گستر (1001 ج 89)"</f>
        <v>تعاوني جم گستر (1001 ج 89)</v>
      </c>
      <c r="V1286" s="1">
        <v>962000114</v>
      </c>
      <c r="W1286" s="1">
        <v>962000114</v>
      </c>
      <c r="X1286" s="1" t="str">
        <f>"1396514467"</f>
        <v>1396514467</v>
      </c>
      <c r="Y1286" s="1" t="str">
        <f>"96/07/03"</f>
        <v>96/07/03</v>
      </c>
      <c r="Z1286" s="1" t="str">
        <f>"26818مرحله اول"</f>
        <v>26818مرحله اول</v>
      </c>
      <c r="AA1286" s="1" t="str">
        <f>"شهرداريها"</f>
        <v>شهرداريها</v>
      </c>
      <c r="AB1286" s="1" t="str">
        <f>"96/06/29"</f>
        <v>96/06/29</v>
      </c>
      <c r="AC1286" s="1" t="str">
        <f>"بوشهر"</f>
        <v>بوشهر</v>
      </c>
      <c r="AD1286" s="1" t="str">
        <f>"96/07/03"</f>
        <v>96/07/03</v>
      </c>
      <c r="AE1286" s="1" t="str">
        <f>"تاييدشده"</f>
        <v>تاييدشده</v>
      </c>
      <c r="AF1286" s="1" t="str">
        <f>""</f>
        <v/>
      </c>
      <c r="AG1286" s="1" t="str">
        <f>""</f>
        <v/>
      </c>
      <c r="AH1286" s="1" t="str">
        <f>""</f>
        <v/>
      </c>
      <c r="AI1286" s="1" t="str">
        <f>""</f>
        <v/>
      </c>
      <c r="AJ1286" s="1" t="str">
        <f>""</f>
        <v/>
      </c>
      <c r="AK1286" s="1" t="str">
        <f>""</f>
        <v/>
      </c>
    </row>
    <row r="1287" spans="1:37">
      <c r="A1287" s="1">
        <v>107863</v>
      </c>
      <c r="B1287" s="1">
        <v>962000115</v>
      </c>
      <c r="C1287" s="1" t="str">
        <f>"تخليه بوشهربزرگراه سيراف نرسيده به شهرخورموج كارخانه آسفالت راهگشيان دشتي"</f>
        <v>تخليه بوشهربزرگراه سيراف نرسيده به شهرخورموج كارخانه آسفالت راهگشيان دشتي</v>
      </c>
      <c r="D1287" s="1">
        <v>9113</v>
      </c>
      <c r="E1287" s="1">
        <v>107863</v>
      </c>
      <c r="F1287" s="1">
        <v>96</v>
      </c>
      <c r="G1287" s="1">
        <v>0</v>
      </c>
      <c r="H1287" s="1" t="str">
        <f>"96/07/03"</f>
        <v>96/07/03</v>
      </c>
      <c r="I1287" s="1" t="str">
        <f>"كيلوگرم"</f>
        <v>كيلوگرم</v>
      </c>
      <c r="J1287" s="1" t="str">
        <f>"0000000076"</f>
        <v>0000000076</v>
      </c>
      <c r="K1287" s="1" t="str">
        <f>"قير 60/70 - فله"</f>
        <v>قير 60/70 - فله</v>
      </c>
      <c r="L1287" s="1">
        <v>100</v>
      </c>
      <c r="M1287" s="1" t="str">
        <f>"مخازن قير اصفهان"</f>
        <v>مخازن قير اصفهان</v>
      </c>
      <c r="N1287" s="1">
        <v>11420</v>
      </c>
      <c r="O1287" s="1">
        <v>50036282</v>
      </c>
      <c r="P1287" s="1" t="str">
        <f>"  شهرداري ريز"</f>
        <v xml:space="preserve">  شهرداري ريز</v>
      </c>
      <c r="Q1287" s="1">
        <v>20</v>
      </c>
      <c r="R1287" s="1" t="str">
        <f>"فروش داخلي - سازمان شهرداري ها و دهياري هاي كشور"</f>
        <v>فروش داخلي - سازمان شهرداري ها و دهياري هاي كشور</v>
      </c>
      <c r="S1287" s="1" t="str">
        <f>"قرارداد فروش"</f>
        <v>قرارداد فروش</v>
      </c>
      <c r="T1287" s="1" t="str">
        <f>"ندارد"</f>
        <v>ندارد</v>
      </c>
      <c r="U1287" s="1" t="str">
        <f>"تعاوني جم گستر (1001 ج 89)"</f>
        <v>تعاوني جم گستر (1001 ج 89)</v>
      </c>
      <c r="V1287" s="1">
        <v>962000115</v>
      </c>
      <c r="W1287" s="1">
        <v>962000115</v>
      </c>
      <c r="X1287" s="1" t="str">
        <f>"1396514467"</f>
        <v>1396514467</v>
      </c>
      <c r="Y1287" s="1" t="str">
        <f>"96/07/03"</f>
        <v>96/07/03</v>
      </c>
      <c r="Z1287" s="1" t="str">
        <f>"26791مرحله اول"</f>
        <v>26791مرحله اول</v>
      </c>
      <c r="AA1287" s="1" t="str">
        <f>"شهرداريها"</f>
        <v>شهرداريها</v>
      </c>
      <c r="AB1287" s="1" t="str">
        <f>"96/06/29"</f>
        <v>96/06/29</v>
      </c>
      <c r="AC1287" s="1" t="str">
        <f>"بوشهر"</f>
        <v>بوشهر</v>
      </c>
      <c r="AD1287" s="1" t="str">
        <f>"96/07/03"</f>
        <v>96/07/03</v>
      </c>
      <c r="AE1287" s="1" t="str">
        <f>"تاييدشده"</f>
        <v>تاييدشده</v>
      </c>
      <c r="AF1287" s="1" t="str">
        <f>""</f>
        <v/>
      </c>
      <c r="AG1287" s="1" t="str">
        <f>""</f>
        <v/>
      </c>
      <c r="AH1287" s="1" t="str">
        <f>""</f>
        <v/>
      </c>
      <c r="AI1287" s="1" t="str">
        <f>""</f>
        <v/>
      </c>
      <c r="AJ1287" s="1" t="str">
        <f>""</f>
        <v/>
      </c>
      <c r="AK1287" s="1" t="str">
        <f>""</f>
        <v/>
      </c>
    </row>
    <row r="1288" spans="1:37">
      <c r="A1288" s="1">
        <v>353000</v>
      </c>
      <c r="B1288" s="1">
        <v>966200259</v>
      </c>
      <c r="C1288" s="1" t="str">
        <f>"تخليه - گيلان-تالش-ليسار-کارخانه آسفالت ايران پل"</f>
        <v>تخليه - گيلان-تالش-ليسار-کارخانه آسفالت ايران پل</v>
      </c>
      <c r="D1288" s="1">
        <v>9363</v>
      </c>
      <c r="E1288" s="1">
        <v>353000</v>
      </c>
      <c r="F1288" s="1">
        <v>96</v>
      </c>
      <c r="G1288" s="1">
        <v>0</v>
      </c>
      <c r="H1288" s="1" t="str">
        <f>"96/07/05"</f>
        <v>96/07/05</v>
      </c>
      <c r="I1288" s="1" t="str">
        <f>"كيلوگرم"</f>
        <v>كيلوگرم</v>
      </c>
      <c r="J1288" s="1" t="str">
        <f>"0000000093"</f>
        <v>0000000093</v>
      </c>
      <c r="K1288" s="1" t="str">
        <f>"قير  PG64-10"</f>
        <v>قير  PG64-10</v>
      </c>
      <c r="L1288" s="1">
        <v>100</v>
      </c>
      <c r="M1288" s="1" t="str">
        <f>"مخازن قير اصفهان"</f>
        <v>مخازن قير اصفهان</v>
      </c>
      <c r="N1288" s="1">
        <v>11384</v>
      </c>
      <c r="O1288" s="1">
        <v>50036296</v>
      </c>
      <c r="P1288" s="1" t="str">
        <f>"  سازه پايدار افلاک"</f>
        <v xml:space="preserve">  سازه پايدار افلاک</v>
      </c>
      <c r="Q1288" s="1">
        <v>62</v>
      </c>
      <c r="R1288" s="1" t="str">
        <f>"فروش داخلي - سازمان بنيادمسكن انقلاب اسلامي"</f>
        <v>فروش داخلي - سازمان بنيادمسكن انقلاب اسلامي</v>
      </c>
      <c r="S1288" s="1" t="str">
        <f>"قرارداد فروش"</f>
        <v>قرارداد فروش</v>
      </c>
      <c r="T1288" s="1" t="str">
        <f>"ندارد"</f>
        <v>ندارد</v>
      </c>
      <c r="U1288" s="1" t="str">
        <f>"هيزچي مرتضي(1841036)"</f>
        <v>هيزچي مرتضي(1841036)</v>
      </c>
      <c r="V1288" s="1">
        <v>966200259</v>
      </c>
      <c r="W1288" s="1">
        <v>966200259</v>
      </c>
      <c r="X1288" s="1" t="str">
        <f>"1396514735"</f>
        <v>1396514735</v>
      </c>
      <c r="Y1288" s="1" t="str">
        <f>"96/07/05"</f>
        <v>96/07/05</v>
      </c>
      <c r="Z1288" s="1" t="str">
        <f>"29257/د"</f>
        <v>29257/د</v>
      </c>
      <c r="AA1288" s="1" t="str">
        <f>"بنيادمسكن انقلاب اسلامي"</f>
        <v>بنيادمسكن انقلاب اسلامي</v>
      </c>
      <c r="AB1288" s="1" t="str">
        <f>"96/07/02"</f>
        <v>96/07/02</v>
      </c>
      <c r="AC1288" s="1" t="str">
        <f>"استان گيلان"</f>
        <v>استان گيلان</v>
      </c>
      <c r="AD1288" s="1" t="str">
        <f>"96/07/04"</f>
        <v>96/07/04</v>
      </c>
      <c r="AE1288" s="1" t="str">
        <f>"اختتام"</f>
        <v>اختتام</v>
      </c>
      <c r="AF1288" s="1" t="str">
        <f>""</f>
        <v/>
      </c>
      <c r="AG1288" s="1" t="str">
        <f>""</f>
        <v/>
      </c>
      <c r="AH1288" s="1" t="str">
        <f>""</f>
        <v/>
      </c>
      <c r="AI1288" s="1" t="str">
        <f>""</f>
        <v/>
      </c>
      <c r="AJ1288" s="1" t="str">
        <f>""</f>
        <v/>
      </c>
      <c r="AK1288" s="1" t="str">
        <f>""</f>
        <v/>
      </c>
    </row>
    <row r="1289" spans="1:37">
      <c r="A1289" s="1">
        <v>124000</v>
      </c>
      <c r="B1289" s="1">
        <v>966200276</v>
      </c>
      <c r="C1289" s="1" t="str">
        <f>"تخليه - گيلان-تالش-ليسار-کارخانه آسفالت ايران پل"</f>
        <v>تخليه - گيلان-تالش-ليسار-کارخانه آسفالت ايران پل</v>
      </c>
      <c r="D1289" s="1">
        <v>9363</v>
      </c>
      <c r="E1289" s="1">
        <v>124000</v>
      </c>
      <c r="F1289" s="1">
        <v>96</v>
      </c>
      <c r="G1289" s="1">
        <v>0</v>
      </c>
      <c r="H1289" s="1" t="str">
        <f>"96/07/10"</f>
        <v>96/07/10</v>
      </c>
      <c r="I1289" s="1" t="str">
        <f>"كيلوگرم"</f>
        <v>كيلوگرم</v>
      </c>
      <c r="J1289" s="1" t="str">
        <f>"0000000093"</f>
        <v>0000000093</v>
      </c>
      <c r="K1289" s="1" t="str">
        <f>"قير  PG64-10"</f>
        <v>قير  PG64-10</v>
      </c>
      <c r="L1289" s="1">
        <v>100</v>
      </c>
      <c r="M1289" s="1" t="str">
        <f>"مخازن قير اصفهان"</f>
        <v>مخازن قير اصفهان</v>
      </c>
      <c r="N1289" s="1">
        <v>11384</v>
      </c>
      <c r="O1289" s="1">
        <v>50036481</v>
      </c>
      <c r="P1289" s="1" t="str">
        <f>"  سازه پايدار افلاک"</f>
        <v xml:space="preserve">  سازه پايدار افلاک</v>
      </c>
      <c r="Q1289" s="1">
        <v>62</v>
      </c>
      <c r="R1289" s="1" t="str">
        <f>"فروش داخلي - سازمان بنيادمسكن انقلاب اسلامي"</f>
        <v>فروش داخلي - سازمان بنيادمسكن انقلاب اسلامي</v>
      </c>
      <c r="S1289" s="1" t="str">
        <f>"قرارداد فروش"</f>
        <v>قرارداد فروش</v>
      </c>
      <c r="T1289" s="1" t="str">
        <f>"ندارد"</f>
        <v>ندارد</v>
      </c>
      <c r="U1289" s="1" t="str">
        <f>"هيزچي مرتضي(1841036)"</f>
        <v>هيزچي مرتضي(1841036)</v>
      </c>
      <c r="V1289" s="1">
        <v>966200276</v>
      </c>
      <c r="W1289" s="1">
        <v>966200276</v>
      </c>
      <c r="X1289" s="1" t="str">
        <f>"1399515522"</f>
        <v>1399515522</v>
      </c>
      <c r="Y1289" s="1" t="str">
        <f>"96/07/10"</f>
        <v>96/07/10</v>
      </c>
      <c r="Z1289" s="1" t="str">
        <f>"29691/د"</f>
        <v>29691/د</v>
      </c>
      <c r="AA1289" s="1" t="str">
        <f>"بنيادمسكن انقلاب اسلامي"</f>
        <v>بنيادمسكن انقلاب اسلامي</v>
      </c>
      <c r="AB1289" s="1" t="str">
        <f>"96/07/04"</f>
        <v>96/07/04</v>
      </c>
      <c r="AC1289" s="1" t="str">
        <f>"استان گيلان"</f>
        <v>استان گيلان</v>
      </c>
      <c r="AD1289" s="1" t="str">
        <f>"96/07/05"</f>
        <v>96/07/05</v>
      </c>
      <c r="AE1289" s="1" t="str">
        <f>"اختتام"</f>
        <v>اختتام</v>
      </c>
      <c r="AF1289" s="1" t="str">
        <f>""</f>
        <v/>
      </c>
      <c r="AG1289" s="1" t="str">
        <f>""</f>
        <v/>
      </c>
      <c r="AH1289" s="1" t="str">
        <f>""</f>
        <v/>
      </c>
      <c r="AI1289" s="1" t="str">
        <f>""</f>
        <v/>
      </c>
      <c r="AJ1289" s="1" t="str">
        <f>""</f>
        <v/>
      </c>
      <c r="AK1289" s="1" t="str">
        <f>""</f>
        <v/>
      </c>
    </row>
    <row r="1290" spans="1:37">
      <c r="A1290" s="1">
        <v>38000</v>
      </c>
      <c r="B1290" s="1">
        <v>966200569</v>
      </c>
      <c r="C1290" s="1" t="str">
        <f>"تخليه - گيلان - جاده رشت به تهران-جنب پايانه حمل و نقل-کارخانه آسفالت شهيدباهنر-شرکت سبک بناگيل"</f>
        <v>تخليه - گيلان - جاده رشت به تهران-جنب پايانه حمل و نقل-کارخانه آسفالت شهيدباهنر-شرکت سبک بناگيل</v>
      </c>
      <c r="D1290" s="1">
        <v>13450</v>
      </c>
      <c r="E1290" s="1">
        <v>37620</v>
      </c>
      <c r="F1290" s="1">
        <v>96</v>
      </c>
      <c r="G1290" s="1">
        <v>380</v>
      </c>
      <c r="H1290" s="1" t="str">
        <f>"96/11/18"</f>
        <v>96/11/18</v>
      </c>
      <c r="I1290" s="1" t="str">
        <f>"كيلوگرم"</f>
        <v>كيلوگرم</v>
      </c>
      <c r="J1290" s="1" t="str">
        <f>"0000000093"</f>
        <v>0000000093</v>
      </c>
      <c r="K1290" s="1" t="str">
        <f>"قير  PG64-10"</f>
        <v>قير  PG64-10</v>
      </c>
      <c r="L1290" s="1">
        <v>100</v>
      </c>
      <c r="M1290" s="1" t="str">
        <f>"مخازن قير اصفهان"</f>
        <v>مخازن قير اصفهان</v>
      </c>
      <c r="N1290" s="1">
        <v>11384</v>
      </c>
      <c r="O1290" s="1">
        <v>50038434</v>
      </c>
      <c r="P1290" s="1" t="str">
        <f>"  سازه پايدار افلاک"</f>
        <v xml:space="preserve">  سازه پايدار افلاک</v>
      </c>
      <c r="Q1290" s="1">
        <v>62</v>
      </c>
      <c r="R1290" s="1" t="str">
        <f>"فروش داخلي - سازمان بنيادمسكن انقلاب اسلامي"</f>
        <v>فروش داخلي - سازمان بنيادمسكن انقلاب اسلامي</v>
      </c>
      <c r="S1290" s="1" t="str">
        <f>"قرارداد فروش"</f>
        <v>قرارداد فروش</v>
      </c>
      <c r="T1290" s="1" t="str">
        <f>"ندارد"</f>
        <v>ندارد</v>
      </c>
      <c r="U1290" s="1" t="str">
        <f>"هيزچي مرتضي(1841036)"</f>
        <v>هيزچي مرتضي(1841036)</v>
      </c>
      <c r="V1290" s="1">
        <v>966200569</v>
      </c>
      <c r="W1290" s="1">
        <v>966200569</v>
      </c>
      <c r="X1290" s="1" t="str">
        <f>"1396546762"</f>
        <v>1396546762</v>
      </c>
      <c r="Y1290" s="1" t="str">
        <f>"96/11/18"</f>
        <v>96/11/18</v>
      </c>
      <c r="Z1290" s="1" t="str">
        <f>"51875/د"</f>
        <v>51875/د</v>
      </c>
      <c r="AA1290" s="1" t="str">
        <f>"بنيادمسكن انقلاب اسلامي"</f>
        <v>بنيادمسكن انقلاب اسلامي</v>
      </c>
      <c r="AB1290" s="1" t="str">
        <f>"96/11/17"</f>
        <v>96/11/17</v>
      </c>
      <c r="AC1290" s="1" t="str">
        <f>"استان گيلان"</f>
        <v>استان گيلان</v>
      </c>
      <c r="AD1290" s="1" t="str">
        <f>"96/11/18"</f>
        <v>96/11/18</v>
      </c>
      <c r="AE1290" s="1" t="str">
        <f>"اختتام"</f>
        <v>اختتام</v>
      </c>
      <c r="AF1290" s="1" t="str">
        <f>""</f>
        <v/>
      </c>
      <c r="AG1290" s="1" t="str">
        <f>""</f>
        <v/>
      </c>
      <c r="AH1290" s="1" t="str">
        <f>""</f>
        <v/>
      </c>
      <c r="AI1290" s="1" t="str">
        <f>""</f>
        <v/>
      </c>
      <c r="AJ1290" s="1" t="str">
        <f>""</f>
        <v/>
      </c>
      <c r="AK1290" s="1" t="str">
        <f>""</f>
        <v/>
      </c>
    </row>
    <row r="1291" spans="1:37">
      <c r="A1291" s="1">
        <v>207000</v>
      </c>
      <c r="B1291" s="1">
        <v>966200279</v>
      </c>
      <c r="C1291" s="1" t="str">
        <f>"تخليه-گيلان-رشت-شهرک صنعتي سپيدرود-کارخانه آسفالت نصيري"</f>
        <v>تخليه-گيلان-رشت-شهرک صنعتي سپيدرود-کارخانه آسفالت نصيري</v>
      </c>
      <c r="D1291" s="1">
        <v>9363</v>
      </c>
      <c r="E1291" s="1">
        <v>206640</v>
      </c>
      <c r="F1291" s="1">
        <v>96</v>
      </c>
      <c r="G1291" s="1">
        <v>360</v>
      </c>
      <c r="H1291" s="1" t="str">
        <f>"96/07/10"</f>
        <v>96/07/10</v>
      </c>
      <c r="I1291" s="1" t="str">
        <f>"كيلوگرم"</f>
        <v>كيلوگرم</v>
      </c>
      <c r="J1291" s="1" t="str">
        <f>"0000000093"</f>
        <v>0000000093</v>
      </c>
      <c r="K1291" s="1" t="str">
        <f>"قير  PG64-10"</f>
        <v>قير  PG64-10</v>
      </c>
      <c r="L1291" s="1">
        <v>100</v>
      </c>
      <c r="M1291" s="1" t="str">
        <f>"مخازن قير اصفهان"</f>
        <v>مخازن قير اصفهان</v>
      </c>
      <c r="N1291" s="1">
        <v>11463</v>
      </c>
      <c r="O1291" s="1">
        <v>50036491</v>
      </c>
      <c r="P1291" s="1" t="str">
        <f>"  التفات راه گيلان"</f>
        <v xml:space="preserve">  التفات راه گيلان</v>
      </c>
      <c r="Q1291" s="1">
        <v>62</v>
      </c>
      <c r="R1291" s="1" t="str">
        <f>"فروش داخلي - سازمان بنيادمسكن انقلاب اسلامي"</f>
        <v>فروش داخلي - سازمان بنيادمسكن انقلاب اسلامي</v>
      </c>
      <c r="S1291" s="1" t="str">
        <f>"قرارداد فروش"</f>
        <v>قرارداد فروش</v>
      </c>
      <c r="T1291" s="1" t="str">
        <f>"ندارد"</f>
        <v>ندارد</v>
      </c>
      <c r="U1291" s="1" t="str">
        <f>"شيشه بر كريم(1841016)"</f>
        <v>شيشه بر كريم(1841016)</v>
      </c>
      <c r="V1291" s="1">
        <v>966200279</v>
      </c>
      <c r="W1291" s="1">
        <v>966200279</v>
      </c>
      <c r="X1291" s="1" t="str">
        <f>"1396515522"</f>
        <v>1396515522</v>
      </c>
      <c r="Y1291" s="1" t="str">
        <f>"96/07/10"</f>
        <v>96/07/10</v>
      </c>
      <c r="Z1291" s="1" t="str">
        <f>"29688/د"</f>
        <v>29688/د</v>
      </c>
      <c r="AA1291" s="1" t="str">
        <f>"بنيادمسكن انقلاب اسلامي"</f>
        <v>بنيادمسكن انقلاب اسلامي</v>
      </c>
      <c r="AB1291" s="1" t="str">
        <f>"96/07/04"</f>
        <v>96/07/04</v>
      </c>
      <c r="AC1291" s="1" t="str">
        <f>"استان گيلان"</f>
        <v>استان گيلان</v>
      </c>
      <c r="AD1291" s="1" t="str">
        <f>"96/07/05"</f>
        <v>96/07/05</v>
      </c>
      <c r="AE1291" s="1" t="str">
        <f>"اختتام"</f>
        <v>اختتام</v>
      </c>
      <c r="AF1291" s="1" t="str">
        <f>""</f>
        <v/>
      </c>
      <c r="AG1291" s="1" t="str">
        <f>""</f>
        <v/>
      </c>
      <c r="AH1291" s="1" t="str">
        <f>""</f>
        <v/>
      </c>
      <c r="AI1291" s="1" t="str">
        <f>""</f>
        <v/>
      </c>
      <c r="AJ1291" s="1" t="str">
        <f>""</f>
        <v/>
      </c>
      <c r="AK1291" s="1" t="str">
        <f>""</f>
        <v/>
      </c>
    </row>
    <row r="1292" spans="1:37">
      <c r="A1292" s="1">
        <v>180000</v>
      </c>
      <c r="B1292" s="1">
        <v>966200289</v>
      </c>
      <c r="C1292" s="1" t="str">
        <f>"تخليه - گيلان-جاده تهران-کارخانه آسفالت شهيد باهنر"</f>
        <v>تخليه - گيلان-جاده تهران-کارخانه آسفالت شهيد باهنر</v>
      </c>
      <c r="D1292" s="1">
        <v>9363</v>
      </c>
      <c r="E1292" s="1">
        <v>177900</v>
      </c>
      <c r="F1292" s="1">
        <v>96</v>
      </c>
      <c r="G1292" s="1">
        <v>2100</v>
      </c>
      <c r="H1292" s="1" t="str">
        <f>"96/07/11"</f>
        <v>96/07/11</v>
      </c>
      <c r="I1292" s="1" t="str">
        <f>"كيلوگرم"</f>
        <v>كيلوگرم</v>
      </c>
      <c r="J1292" s="1" t="str">
        <f>"0000000093"</f>
        <v>0000000093</v>
      </c>
      <c r="K1292" s="1" t="str">
        <f>"قير  PG64-10"</f>
        <v>قير  PG64-10</v>
      </c>
      <c r="L1292" s="1">
        <v>100</v>
      </c>
      <c r="M1292" s="1" t="str">
        <f>"مخازن قير اصفهان"</f>
        <v>مخازن قير اصفهان</v>
      </c>
      <c r="N1292" s="1">
        <v>11466</v>
      </c>
      <c r="O1292" s="1">
        <v>50036790</v>
      </c>
      <c r="P1292" s="1" t="str">
        <f>"  گيلان گوهر"</f>
        <v xml:space="preserve">  گيلان گوهر</v>
      </c>
      <c r="Q1292" s="1">
        <v>62</v>
      </c>
      <c r="R1292" s="1" t="str">
        <f>"فروش داخلي - سازمان بنيادمسكن انقلاب اسلامي"</f>
        <v>فروش داخلي - سازمان بنيادمسكن انقلاب اسلامي</v>
      </c>
      <c r="S1292" s="1" t="str">
        <f>"قرارداد فروش"</f>
        <v>قرارداد فروش</v>
      </c>
      <c r="T1292" s="1" t="str">
        <f>"ندارد"</f>
        <v>ندارد</v>
      </c>
      <c r="U1292" s="1" t="str">
        <f>"هيزچي مرتضي(1841036)"</f>
        <v>هيزچي مرتضي(1841036)</v>
      </c>
      <c r="V1292" s="1">
        <v>966200289</v>
      </c>
      <c r="W1292" s="1">
        <v>966200289</v>
      </c>
      <c r="X1292" s="1" t="str">
        <f>"1396515926"</f>
        <v>1396515926</v>
      </c>
      <c r="Y1292" s="1" t="str">
        <f>"96/07/11"</f>
        <v>96/07/11</v>
      </c>
      <c r="Z1292" s="1" t="str">
        <f>"30185/د"</f>
        <v>30185/د</v>
      </c>
      <c r="AA1292" s="1" t="str">
        <f>"بنيادمسكن انقلاب اسلامي"</f>
        <v>بنيادمسكن انقلاب اسلامي</v>
      </c>
      <c r="AB1292" s="1" t="str">
        <f>"96/07/10"</f>
        <v>96/07/10</v>
      </c>
      <c r="AC1292" s="1" t="str">
        <f>"استان گيلان"</f>
        <v>استان گيلان</v>
      </c>
      <c r="AD1292" s="1" t="str">
        <f>"96/07/11"</f>
        <v>96/07/11</v>
      </c>
      <c r="AE1292" s="1" t="str">
        <f>"اختتام"</f>
        <v>اختتام</v>
      </c>
      <c r="AF1292" s="1" t="str">
        <f>""</f>
        <v/>
      </c>
      <c r="AG1292" s="1" t="str">
        <f>""</f>
        <v/>
      </c>
      <c r="AH1292" s="1" t="str">
        <f>""</f>
        <v/>
      </c>
      <c r="AI1292" s="1" t="str">
        <f>""</f>
        <v/>
      </c>
      <c r="AJ1292" s="1" t="str">
        <f>""</f>
        <v/>
      </c>
      <c r="AK1292" s="1" t="str">
        <f>""</f>
        <v/>
      </c>
    </row>
    <row r="1293" spans="1:37">
      <c r="A1293" s="1">
        <v>750000</v>
      </c>
      <c r="B1293" s="1">
        <v>961900112</v>
      </c>
      <c r="C1293" s="1" t="str">
        <f>"تخليه كرمانشاه 5كيلومترمانده به كرندغرب شهرك صنعتي دالاهو كارخانه آسفالت راه قدس"</f>
        <v>تخليه كرمانشاه 5كيلومترمانده به كرندغرب شهرك صنعتي دالاهو كارخانه آسفالت راه قدس</v>
      </c>
      <c r="D1293" s="1">
        <v>9663</v>
      </c>
      <c r="E1293" s="1">
        <v>749980</v>
      </c>
      <c r="F1293" s="1">
        <v>96</v>
      </c>
      <c r="G1293" s="1">
        <v>20</v>
      </c>
      <c r="H1293" s="1" t="str">
        <f>"96/05/11"</f>
        <v>96/05/11</v>
      </c>
      <c r="I1293" s="1" t="str">
        <f>"كيلوگرم"</f>
        <v>كيلوگرم</v>
      </c>
      <c r="J1293" s="1" t="str">
        <f>"0000000094"</f>
        <v>0000000094</v>
      </c>
      <c r="K1293" s="1" t="str">
        <f>"قير  PG70-10"</f>
        <v>قير  PG70-10</v>
      </c>
      <c r="L1293" s="1">
        <v>100</v>
      </c>
      <c r="M1293" s="1" t="str">
        <f>"مخازن قير اصفهان"</f>
        <v>مخازن قير اصفهان</v>
      </c>
      <c r="N1293" s="1">
        <v>4039</v>
      </c>
      <c r="O1293" s="1">
        <v>50035485</v>
      </c>
      <c r="P1293" s="1" t="str">
        <f>"  جهاد نصركرمانشاه(2912047)"</f>
        <v xml:space="preserve">  جهاد نصركرمانشاه(2912047)</v>
      </c>
      <c r="Q1293" s="1">
        <v>19</v>
      </c>
      <c r="R129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293" s="1" t="str">
        <f>"قرارداد فروش"</f>
        <v>قرارداد فروش</v>
      </c>
      <c r="T1293" s="1" t="str">
        <f>"ندارد"</f>
        <v>ندارد</v>
      </c>
      <c r="U1293" s="1" t="str">
        <f>"عظيمي محمد(2842015)"</f>
        <v>عظيمي محمد(2842015)</v>
      </c>
      <c r="V1293" s="1">
        <v>961900112</v>
      </c>
      <c r="W1293" s="1">
        <v>961900112</v>
      </c>
      <c r="X1293" s="1" t="str">
        <f>"1396502540"</f>
        <v>1396502540</v>
      </c>
      <c r="Y1293" s="1" t="str">
        <f>"96/05/11"</f>
        <v>96/05/11</v>
      </c>
      <c r="Z1293" s="1" t="str">
        <f>"21918/710"</f>
        <v>21918/710</v>
      </c>
      <c r="AA1293" s="1" t="str">
        <f>"سازمان راهداري وحمل نقل جاده اي"</f>
        <v>سازمان راهداري وحمل نقل جاده اي</v>
      </c>
      <c r="AB1293" s="1" t="str">
        <f>"96/05/08"</f>
        <v>96/05/08</v>
      </c>
      <c r="AC1293" s="1" t="str">
        <f>"استان كرمانشاه"</f>
        <v>استان كرمانشاه</v>
      </c>
      <c r="AD1293" s="1" t="str">
        <f>"96/05/11"</f>
        <v>96/05/11</v>
      </c>
      <c r="AE1293" s="1" t="str">
        <f>"اختتام"</f>
        <v>اختتام</v>
      </c>
      <c r="AF1293" s="1" t="str">
        <f>""</f>
        <v/>
      </c>
      <c r="AG1293" s="1" t="str">
        <f>""</f>
        <v/>
      </c>
      <c r="AH1293" s="1" t="str">
        <f>""</f>
        <v/>
      </c>
      <c r="AI1293" s="1" t="str">
        <f>""</f>
        <v/>
      </c>
      <c r="AJ1293" s="1" t="str">
        <f>""</f>
        <v/>
      </c>
      <c r="AK1293" s="1" t="str">
        <f>""</f>
        <v/>
      </c>
    </row>
    <row r="1294" spans="1:37">
      <c r="A1294" s="1">
        <v>1000000</v>
      </c>
      <c r="B1294" s="1">
        <v>961800062</v>
      </c>
      <c r="C1294" s="1" t="str">
        <f>"تخليه سيستان وبلوچستان پروژه قطعه پنجم بانددوم محورزابل زاهدان جهادنصرسيستان وبلوچستان"</f>
        <v>تخليه سيستان وبلوچستان پروژه قطعه پنجم بانددوم محورزابل زاهدان جهادنصرسيستان وبلوچستان</v>
      </c>
      <c r="D1294" s="1">
        <v>13400</v>
      </c>
      <c r="E1294" s="1">
        <v>998480</v>
      </c>
      <c r="F1294" s="1">
        <v>96</v>
      </c>
      <c r="G1294" s="1">
        <v>1520</v>
      </c>
      <c r="H1294" s="1" t="str">
        <f>"96/07/16"</f>
        <v>96/07/16</v>
      </c>
      <c r="I1294" s="1" t="str">
        <f>"كيلوگرم"</f>
        <v>كيلوگرم</v>
      </c>
      <c r="J1294" s="1" t="str">
        <f>"0000000094"</f>
        <v>0000000094</v>
      </c>
      <c r="K1294" s="1" t="str">
        <f>"قير  PG70-10"</f>
        <v>قير  PG70-10</v>
      </c>
      <c r="L1294" s="1">
        <v>100</v>
      </c>
      <c r="M1294" s="1" t="str">
        <f>"مخازن قير اصفهان"</f>
        <v>مخازن قير اصفهان</v>
      </c>
      <c r="N1294" s="1">
        <v>4063</v>
      </c>
      <c r="O1294" s="1">
        <v>50036585</v>
      </c>
      <c r="P1294" s="1" t="str">
        <f>"  جهاد نصر كرمان"</f>
        <v xml:space="preserve">  جهاد نصر كرمان</v>
      </c>
      <c r="Q1294" s="1">
        <v>18</v>
      </c>
      <c r="R1294" s="1" t="str">
        <f>"فروش داخلي تهران - وزارت راه - شرکت ساخت و توسعه راهها"</f>
        <v>فروش داخلي تهران - وزارت راه - شرکت ساخت و توسعه راهها</v>
      </c>
      <c r="S1294" s="1" t="str">
        <f>"قرارداد فروش"</f>
        <v>قرارداد فروش</v>
      </c>
      <c r="T1294" s="1" t="str">
        <f>"ندارد"</f>
        <v>ندارد</v>
      </c>
      <c r="U1294" s="1" t="str">
        <f>"ميرحسيني چاپارحقيقت كرمان(4844008)"</f>
        <v>ميرحسيني چاپارحقيقت كرمان(4844008)</v>
      </c>
      <c r="V1294" s="1">
        <v>961800062</v>
      </c>
      <c r="W1294" s="1">
        <v>961800062</v>
      </c>
      <c r="X1294" s="1" t="str">
        <f>"1396517237"</f>
        <v>1396517237</v>
      </c>
      <c r="Y1294" s="1" t="str">
        <f>"96/07/16"</f>
        <v>96/07/16</v>
      </c>
      <c r="Z1294" s="1" t="str">
        <f>"34328/710"</f>
        <v>34328/710</v>
      </c>
      <c r="AA1294" s="1" t="str">
        <f>"شركت  ساخت وتوسعه راهها"</f>
        <v>شركت  ساخت وتوسعه راهها</v>
      </c>
      <c r="AB1294" s="1" t="str">
        <f>"96/07/12"</f>
        <v>96/07/12</v>
      </c>
      <c r="AC1294" s="1" t="str">
        <f>"استان سيستان بلوچستان"</f>
        <v>استان سيستان بلوچستان</v>
      </c>
      <c r="AD1294" s="1" t="str">
        <f>"96/07/16"</f>
        <v>96/07/16</v>
      </c>
      <c r="AE1294" s="1" t="str">
        <f>"اختتام"</f>
        <v>اختتام</v>
      </c>
      <c r="AF1294" s="1" t="str">
        <f>""</f>
        <v/>
      </c>
      <c r="AG1294" s="1" t="str">
        <f>""</f>
        <v/>
      </c>
      <c r="AH1294" s="1" t="str">
        <f>""</f>
        <v/>
      </c>
      <c r="AI1294" s="1" t="str">
        <f>""</f>
        <v/>
      </c>
      <c r="AJ1294" s="1" t="str">
        <f>""</f>
        <v/>
      </c>
      <c r="AK1294" s="1" t="str">
        <f>""</f>
        <v/>
      </c>
    </row>
    <row r="1295" spans="1:37">
      <c r="A1295" s="1">
        <v>238000</v>
      </c>
      <c r="B1295" s="1">
        <v>966200287</v>
      </c>
      <c r="C1295" s="1" t="str">
        <f>"تخليه -گيلان -رضوانشهر-پونل -كارگاه شهيدتفويضي"</f>
        <v>تخليه -گيلان -رضوانشهر-پونل -كارگاه شهيدتفويضي</v>
      </c>
      <c r="D1295" s="1">
        <v>9363</v>
      </c>
      <c r="E1295" s="1">
        <v>238000</v>
      </c>
      <c r="F1295" s="1">
        <v>96</v>
      </c>
      <c r="G1295" s="1">
        <v>0</v>
      </c>
      <c r="H1295" s="1" t="str">
        <f>"96/07/11"</f>
        <v>96/07/11</v>
      </c>
      <c r="I1295" s="1" t="str">
        <f>"كيلوگرم"</f>
        <v>كيلوگرم</v>
      </c>
      <c r="J1295" s="1" t="str">
        <f>"0000000093"</f>
        <v>0000000093</v>
      </c>
      <c r="K1295" s="1" t="str">
        <f>"قير  PG64-10"</f>
        <v>قير  PG64-10</v>
      </c>
      <c r="L1295" s="1">
        <v>100</v>
      </c>
      <c r="M1295" s="1" t="str">
        <f>"مخازن قير اصفهان"</f>
        <v>مخازن قير اصفهان</v>
      </c>
      <c r="N1295" s="1">
        <v>8024</v>
      </c>
      <c r="O1295" s="1">
        <v>50036511</v>
      </c>
      <c r="P1295" s="1" t="str">
        <f>"  راه آوران كوشش"</f>
        <v xml:space="preserve">  راه آوران كوشش</v>
      </c>
      <c r="Q1295" s="1">
        <v>62</v>
      </c>
      <c r="R1295" s="1" t="str">
        <f>"فروش داخلي - سازمان بنيادمسكن انقلاب اسلامي"</f>
        <v>فروش داخلي - سازمان بنيادمسكن انقلاب اسلامي</v>
      </c>
      <c r="S1295" s="1" t="str">
        <f>"قرارداد فروش"</f>
        <v>قرارداد فروش</v>
      </c>
      <c r="T1295" s="1" t="str">
        <f>"ندارد"</f>
        <v>ندارد</v>
      </c>
      <c r="U1295" s="1" t="str">
        <f>"خليل الهي حسن(1841005)"</f>
        <v>خليل الهي حسن(1841005)</v>
      </c>
      <c r="V1295" s="1">
        <v>966200287</v>
      </c>
      <c r="W1295" s="1">
        <v>966200287</v>
      </c>
      <c r="X1295" s="1" t="str">
        <f>"1396515926"</f>
        <v>1396515926</v>
      </c>
      <c r="Y1295" s="1" t="str">
        <f>"96/07/11"</f>
        <v>96/07/11</v>
      </c>
      <c r="Z1295" s="1" t="str">
        <f>"30191/د"</f>
        <v>30191/د</v>
      </c>
      <c r="AA1295" s="1" t="str">
        <f>"بنيادمسكن انقلاب اسلامي"</f>
        <v>بنيادمسكن انقلاب اسلامي</v>
      </c>
      <c r="AB1295" s="1" t="str">
        <f>"96/07/10"</f>
        <v>96/07/10</v>
      </c>
      <c r="AC1295" s="1" t="str">
        <f>"استان گيلان"</f>
        <v>استان گيلان</v>
      </c>
      <c r="AD1295" s="1" t="str">
        <f>"96/07/11"</f>
        <v>96/07/11</v>
      </c>
      <c r="AE1295" s="1" t="str">
        <f>"اختتام"</f>
        <v>اختتام</v>
      </c>
      <c r="AF1295" s="1" t="str">
        <f>""</f>
        <v/>
      </c>
      <c r="AG1295" s="1" t="str">
        <f>""</f>
        <v/>
      </c>
      <c r="AH1295" s="1" t="str">
        <f>""</f>
        <v/>
      </c>
      <c r="AI1295" s="1" t="str">
        <f>""</f>
        <v/>
      </c>
      <c r="AJ1295" s="1" t="str">
        <f>""</f>
        <v/>
      </c>
      <c r="AK1295" s="1" t="str">
        <f>""</f>
        <v/>
      </c>
    </row>
    <row r="1296" spans="1:37">
      <c r="A1296" s="1">
        <v>127547</v>
      </c>
      <c r="B1296" s="1">
        <v>962000154</v>
      </c>
      <c r="C1296" s="1" t="str">
        <f>"تخليه خراسان رضوي بردسكن جاده انبدكارخانه آسفالت شهرداري"</f>
        <v>تخليه خراسان رضوي بردسكن جاده انبدكارخانه آسفالت شهرداري</v>
      </c>
      <c r="D1296" s="1">
        <v>9113</v>
      </c>
      <c r="E1296" s="1">
        <v>127547</v>
      </c>
      <c r="F1296" s="1">
        <v>96</v>
      </c>
      <c r="G1296" s="1">
        <v>0</v>
      </c>
      <c r="H1296" s="1" t="str">
        <f>"96/07/03"</f>
        <v>96/07/03</v>
      </c>
      <c r="I1296" s="1" t="str">
        <f>"كيلوگرم"</f>
        <v>كيلوگرم</v>
      </c>
      <c r="J1296" s="1" t="str">
        <f>"0000000076"</f>
        <v>0000000076</v>
      </c>
      <c r="K1296" s="1" t="str">
        <f>"قير 60/70 - فله"</f>
        <v>قير 60/70 - فله</v>
      </c>
      <c r="L1296" s="1">
        <v>100</v>
      </c>
      <c r="M1296" s="1" t="str">
        <f>"مخازن قير اصفهان"</f>
        <v>مخازن قير اصفهان</v>
      </c>
      <c r="N1296" s="1">
        <v>11429</v>
      </c>
      <c r="O1296" s="1">
        <v>50036358</v>
      </c>
      <c r="P1296" s="1" t="str">
        <f>"  شهرداري انابد"</f>
        <v xml:space="preserve">  شهرداري انابد</v>
      </c>
      <c r="Q1296" s="1">
        <v>20</v>
      </c>
      <c r="R1296" s="1" t="str">
        <f>"فروش داخلي - سازمان شهرداري ها و دهياري هاي كشور"</f>
        <v>فروش داخلي - سازمان شهرداري ها و دهياري هاي كشور</v>
      </c>
      <c r="S1296" s="1" t="str">
        <f>"قرارداد فروش"</f>
        <v>قرارداد فروش</v>
      </c>
      <c r="T1296" s="1" t="str">
        <f>"ندارد"</f>
        <v>ندارد</v>
      </c>
      <c r="U1296" s="1" t="str">
        <f>"تعاوني جم گستر (1001 ج 89)"</f>
        <v>تعاوني جم گستر (1001 ج 89)</v>
      </c>
      <c r="V1296" s="1">
        <v>962000154</v>
      </c>
      <c r="W1296" s="1">
        <v>962000154</v>
      </c>
      <c r="X1296" s="1" t="str">
        <f>"1396514467"</f>
        <v>1396514467</v>
      </c>
      <c r="Y1296" s="1" t="str">
        <f>"96/07/03"</f>
        <v>96/07/03</v>
      </c>
      <c r="Z1296" s="1" t="str">
        <f>"26834مرحله اول"</f>
        <v>26834مرحله اول</v>
      </c>
      <c r="AA1296" s="1" t="str">
        <f>"شهرداريها"</f>
        <v>شهرداريها</v>
      </c>
      <c r="AB1296" s="1" t="str">
        <f>"96/06/29"</f>
        <v>96/06/29</v>
      </c>
      <c r="AC1296" s="1" t="str">
        <f>"خراسان رضوي"</f>
        <v>خراسان رضوي</v>
      </c>
      <c r="AD1296" s="1" t="str">
        <f>"96/07/03"</f>
        <v>96/07/03</v>
      </c>
      <c r="AE1296" s="1" t="str">
        <f>"اختتام"</f>
        <v>اختتام</v>
      </c>
      <c r="AF1296" s="1" t="str">
        <f>""</f>
        <v/>
      </c>
      <c r="AG1296" s="1" t="str">
        <f>""</f>
        <v/>
      </c>
      <c r="AH1296" s="1" t="str">
        <f>""</f>
        <v/>
      </c>
      <c r="AI1296" s="1" t="str">
        <f>""</f>
        <v/>
      </c>
      <c r="AJ1296" s="1" t="str">
        <f>""</f>
        <v/>
      </c>
      <c r="AK1296" s="1" t="str">
        <f>""</f>
        <v/>
      </c>
    </row>
    <row r="1297" spans="1:37">
      <c r="A1297" s="1">
        <v>150948</v>
      </c>
      <c r="B1297" s="1">
        <v>962000165</v>
      </c>
      <c r="C1297" s="1" t="str">
        <f>"تخليه خراسان رضوي كيلومتر13جاده فيروزه قوچان"</f>
        <v>تخليه خراسان رضوي كيلومتر13جاده فيروزه قوچان</v>
      </c>
      <c r="D1297" s="1">
        <v>9113</v>
      </c>
      <c r="E1297" s="1">
        <v>150948</v>
      </c>
      <c r="F1297" s="1">
        <v>96</v>
      </c>
      <c r="G1297" s="1">
        <v>0</v>
      </c>
      <c r="H1297" s="1" t="str">
        <f>"96/07/03"</f>
        <v>96/07/03</v>
      </c>
      <c r="I1297" s="1" t="str">
        <f>"كيلوگرم"</f>
        <v>كيلوگرم</v>
      </c>
      <c r="J1297" s="1" t="str">
        <f>"0000000076"</f>
        <v>0000000076</v>
      </c>
      <c r="K1297" s="1" t="str">
        <f>"قير 60/70 - فله"</f>
        <v>قير 60/70 - فله</v>
      </c>
      <c r="L1297" s="1">
        <v>100</v>
      </c>
      <c r="M1297" s="1" t="str">
        <f>"مخازن قير اصفهان"</f>
        <v>مخازن قير اصفهان</v>
      </c>
      <c r="N1297" s="1">
        <v>11437</v>
      </c>
      <c r="O1297" s="1">
        <v>50036370</v>
      </c>
      <c r="P1297" s="1" t="str">
        <f>"  شهرداري خرو"</f>
        <v xml:space="preserve">  شهرداري خرو</v>
      </c>
      <c r="Q1297" s="1">
        <v>20</v>
      </c>
      <c r="R1297" s="1" t="str">
        <f>"فروش داخلي - سازمان شهرداري ها و دهياري هاي كشور"</f>
        <v>فروش داخلي - سازمان شهرداري ها و دهياري هاي كشور</v>
      </c>
      <c r="S1297" s="1" t="str">
        <f>"قرارداد فروش"</f>
        <v>قرارداد فروش</v>
      </c>
      <c r="T1297" s="1" t="str">
        <f>"ندارد"</f>
        <v>ندارد</v>
      </c>
      <c r="U1297" s="1" t="str">
        <f>"تعاوني جم گستر (1001 ج 89)"</f>
        <v>تعاوني جم گستر (1001 ج 89)</v>
      </c>
      <c r="V1297" s="1">
        <v>962000165</v>
      </c>
      <c r="W1297" s="1">
        <v>962000165</v>
      </c>
      <c r="X1297" s="1" t="str">
        <f>"1396514467"</f>
        <v>1396514467</v>
      </c>
      <c r="Y1297" s="1" t="str">
        <f>"96/07/03"</f>
        <v>96/07/03</v>
      </c>
      <c r="Z1297" s="1" t="str">
        <f>"26835مرحله اول"</f>
        <v>26835مرحله اول</v>
      </c>
      <c r="AA1297" s="1" t="str">
        <f>"شهرداريها"</f>
        <v>شهرداريها</v>
      </c>
      <c r="AB1297" s="1" t="str">
        <f>"96/06/29"</f>
        <v>96/06/29</v>
      </c>
      <c r="AC1297" s="1" t="str">
        <f>"خراسان رضوي"</f>
        <v>خراسان رضوي</v>
      </c>
      <c r="AD1297" s="1" t="str">
        <f>"96/07/03"</f>
        <v>96/07/03</v>
      </c>
      <c r="AE1297" s="1" t="str">
        <f>"اختتام"</f>
        <v>اختتام</v>
      </c>
      <c r="AF1297" s="1" t="str">
        <f>""</f>
        <v/>
      </c>
      <c r="AG1297" s="1" t="str">
        <f>""</f>
        <v/>
      </c>
      <c r="AH1297" s="1" t="str">
        <f>""</f>
        <v/>
      </c>
      <c r="AI1297" s="1" t="str">
        <f>""</f>
        <v/>
      </c>
      <c r="AJ1297" s="1" t="str">
        <f>""</f>
        <v/>
      </c>
      <c r="AK1297" s="1" t="str">
        <f>""</f>
        <v/>
      </c>
    </row>
    <row r="1298" spans="1:37">
      <c r="A1298" s="1">
        <v>124434</v>
      </c>
      <c r="B1298" s="1">
        <v>962000181</v>
      </c>
      <c r="C1298" s="1" t="str">
        <f>"تخليه خراسان رضوي جاده اختصاصي مجتمع فولادخراسان كيلومتر3شركت خيام آسفالت بينالود"</f>
        <v>تخليه خراسان رضوي جاده اختصاصي مجتمع فولادخراسان كيلومتر3شركت خيام آسفالت بينالود</v>
      </c>
      <c r="D1298" s="1">
        <v>9113</v>
      </c>
      <c r="E1298" s="1">
        <v>121800</v>
      </c>
      <c r="F1298" s="1">
        <v>96</v>
      </c>
      <c r="G1298" s="1">
        <v>2634</v>
      </c>
      <c r="H1298" s="1" t="str">
        <f>"96/07/03"</f>
        <v>96/07/03</v>
      </c>
      <c r="I1298" s="1" t="str">
        <f>"كيلوگرم"</f>
        <v>كيلوگرم</v>
      </c>
      <c r="J1298" s="1" t="str">
        <f>"0000000076"</f>
        <v>0000000076</v>
      </c>
      <c r="K1298" s="1" t="str">
        <f>"قير 60/70 - فله"</f>
        <v>قير 60/70 - فله</v>
      </c>
      <c r="L1298" s="1">
        <v>100</v>
      </c>
      <c r="M1298" s="1" t="str">
        <f>"مخازن قير اصفهان"</f>
        <v>مخازن قير اصفهان</v>
      </c>
      <c r="N1298" s="1">
        <v>11448</v>
      </c>
      <c r="O1298" s="1">
        <v>50036392</v>
      </c>
      <c r="P1298" s="1" t="str">
        <f>"  شهرداري فيروزه"</f>
        <v xml:space="preserve">  شهرداري فيروزه</v>
      </c>
      <c r="Q1298" s="1">
        <v>20</v>
      </c>
      <c r="R1298" s="1" t="str">
        <f>"فروش داخلي - سازمان شهرداري ها و دهياري هاي كشور"</f>
        <v>فروش داخلي - سازمان شهرداري ها و دهياري هاي كشور</v>
      </c>
      <c r="S1298" s="1" t="str">
        <f>"قرارداد فروش"</f>
        <v>قرارداد فروش</v>
      </c>
      <c r="T1298" s="1" t="str">
        <f>"ندارد"</f>
        <v>ندارد</v>
      </c>
      <c r="U1298" s="1" t="str">
        <f>"تعاوني جم گستر (1001 ج 89)"</f>
        <v>تعاوني جم گستر (1001 ج 89)</v>
      </c>
      <c r="V1298" s="1">
        <v>962000181</v>
      </c>
      <c r="W1298" s="1">
        <v>962000181</v>
      </c>
      <c r="X1298" s="1" t="str">
        <f>"1396514467"</f>
        <v>1396514467</v>
      </c>
      <c r="Y1298" s="1" t="str">
        <f>"96/07/03"</f>
        <v>96/07/03</v>
      </c>
      <c r="Z1298" s="1" t="str">
        <f>"26702مرحله اول"</f>
        <v>26702مرحله اول</v>
      </c>
      <c r="AA1298" s="1" t="str">
        <f>"شهرداريها"</f>
        <v>شهرداريها</v>
      </c>
      <c r="AB1298" s="1" t="str">
        <f>"96/06/29"</f>
        <v>96/06/29</v>
      </c>
      <c r="AC1298" s="1" t="str">
        <f>"خراسان رضوي"</f>
        <v>خراسان رضوي</v>
      </c>
      <c r="AD1298" s="1" t="str">
        <f>"96/07/03"</f>
        <v>96/07/03</v>
      </c>
      <c r="AE1298" s="1" t="str">
        <f>"اختتام"</f>
        <v>اختتام</v>
      </c>
      <c r="AF1298" s="1" t="str">
        <f>""</f>
        <v/>
      </c>
      <c r="AG1298" s="1" t="str">
        <f>""</f>
        <v/>
      </c>
      <c r="AH1298" s="1" t="str">
        <f>""</f>
        <v/>
      </c>
      <c r="AI1298" s="1" t="str">
        <f>""</f>
        <v/>
      </c>
      <c r="AJ1298" s="1" t="str">
        <f>""</f>
        <v/>
      </c>
      <c r="AK1298" s="1" t="str">
        <f>""</f>
        <v/>
      </c>
    </row>
    <row r="1299" spans="1:37">
      <c r="A1299" s="1">
        <v>59078</v>
      </c>
      <c r="B1299" s="1">
        <v>962000291</v>
      </c>
      <c r="C1299" s="1" t="str">
        <f>"تخليه خراسان رضوي سنگ بست جنب كارخانه گچ رحيمي كارخانه آسفالت طوفان"</f>
        <v>تخليه خراسان رضوي سنگ بست جنب كارخانه گچ رحيمي كارخانه آسفالت طوفان</v>
      </c>
      <c r="D1299" s="1">
        <v>9113</v>
      </c>
      <c r="E1299" s="1">
        <v>57863</v>
      </c>
      <c r="F1299" s="1">
        <v>96</v>
      </c>
      <c r="G1299" s="1">
        <v>1215</v>
      </c>
      <c r="H1299" s="1" t="str">
        <f>"96/09/13"</f>
        <v>96/09/13</v>
      </c>
      <c r="I1299" s="1" t="str">
        <f>"كيلوگرم"</f>
        <v>كيلوگرم</v>
      </c>
      <c r="J1299" s="1" t="str">
        <f>"0000000076"</f>
        <v>0000000076</v>
      </c>
      <c r="K1299" s="1" t="str">
        <f>"قير 60/70 - فله"</f>
        <v>قير 60/70 - فله</v>
      </c>
      <c r="L1299" s="1">
        <v>100</v>
      </c>
      <c r="M1299" s="1" t="str">
        <f>"مخازن قير اصفهان"</f>
        <v>مخازن قير اصفهان</v>
      </c>
      <c r="N1299" s="1">
        <v>11449</v>
      </c>
      <c r="O1299" s="1">
        <v>50037492</v>
      </c>
      <c r="P1299" s="1" t="str">
        <f>"  شهرداري كدكن"</f>
        <v xml:space="preserve">  شهرداري كدكن</v>
      </c>
      <c r="Q1299" s="1">
        <v>20</v>
      </c>
      <c r="R1299" s="1" t="str">
        <f>"فروش داخلي - سازمان شهرداري ها و دهياري هاي كشور"</f>
        <v>فروش داخلي - سازمان شهرداري ها و دهياري هاي كشور</v>
      </c>
      <c r="S1299" s="1" t="str">
        <f>"قرارداد فروش"</f>
        <v>قرارداد فروش</v>
      </c>
      <c r="T1299" s="1" t="str">
        <f>"ندارد"</f>
        <v>ندارد</v>
      </c>
      <c r="U1299" s="1" t="str">
        <f>"تعاوني جم گستر (1001 ج 89)"</f>
        <v>تعاوني جم گستر (1001 ج 89)</v>
      </c>
      <c r="V1299" s="1">
        <v>962000291</v>
      </c>
      <c r="W1299" s="1">
        <v>962000291</v>
      </c>
      <c r="X1299" s="1" t="str">
        <f>"1396514467"</f>
        <v>1396514467</v>
      </c>
      <c r="Y1299" s="1" t="str">
        <f>"96/09/12"</f>
        <v>96/09/12</v>
      </c>
      <c r="Z1299" s="1" t="str">
        <f>"37052مرحله دوم"</f>
        <v>37052مرحله دوم</v>
      </c>
      <c r="AA1299" s="1" t="str">
        <f>"شهرداريها"</f>
        <v>شهرداريها</v>
      </c>
      <c r="AB1299" s="1" t="str">
        <f>"96/09/04"</f>
        <v>96/09/04</v>
      </c>
      <c r="AC1299" s="1" t="str">
        <f>"خراسان رضوي"</f>
        <v>خراسان رضوي</v>
      </c>
      <c r="AD1299" s="1" t="str">
        <f>"96/07/03"</f>
        <v>96/07/03</v>
      </c>
      <c r="AE1299" s="1" t="str">
        <f>"اختتام"</f>
        <v>اختتام</v>
      </c>
      <c r="AF1299" s="1" t="str">
        <f>""</f>
        <v/>
      </c>
      <c r="AG1299" s="1" t="str">
        <f>""</f>
        <v/>
      </c>
      <c r="AH1299" s="1" t="str">
        <f>""</f>
        <v/>
      </c>
      <c r="AI1299" s="1" t="str">
        <f>""</f>
        <v/>
      </c>
      <c r="AJ1299" s="1" t="str">
        <f>""</f>
        <v/>
      </c>
      <c r="AK1299" s="1" t="str">
        <f>""</f>
        <v/>
      </c>
    </row>
    <row r="1300" spans="1:37">
      <c r="A1300" s="1">
        <v>129757</v>
      </c>
      <c r="B1300" s="1">
        <v>962000185</v>
      </c>
      <c r="C1300" s="1" t="str">
        <f>"تخليه خراسان رضوي مشهدجاده اسفنديان كارخانه آسفالت مجتمع توليدي عرش سازه"</f>
        <v>تخليه خراسان رضوي مشهدجاده اسفنديان كارخانه آسفالت مجتمع توليدي عرش سازه</v>
      </c>
      <c r="D1300" s="1">
        <v>9113</v>
      </c>
      <c r="E1300" s="1">
        <v>129757</v>
      </c>
      <c r="F1300" s="1">
        <v>96</v>
      </c>
      <c r="G1300" s="1">
        <v>0</v>
      </c>
      <c r="H1300" s="1" t="str">
        <f>"96/07/03"</f>
        <v>96/07/03</v>
      </c>
      <c r="I1300" s="1" t="str">
        <f>"كيلوگرم"</f>
        <v>كيلوگرم</v>
      </c>
      <c r="J1300" s="1" t="str">
        <f>"0000000076"</f>
        <v>0000000076</v>
      </c>
      <c r="K1300" s="1" t="str">
        <f>"قير 60/70 - فله"</f>
        <v>قير 60/70 - فله</v>
      </c>
      <c r="L1300" s="1">
        <v>100</v>
      </c>
      <c r="M1300" s="1" t="str">
        <f>"مخازن قير اصفهان"</f>
        <v>مخازن قير اصفهان</v>
      </c>
      <c r="N1300" s="1">
        <v>11450</v>
      </c>
      <c r="O1300" s="1">
        <v>50036390</v>
      </c>
      <c r="P1300" s="1" t="str">
        <f>"  شهرداري كلات نادر"</f>
        <v xml:space="preserve">  شهرداري كلات نادر</v>
      </c>
      <c r="Q1300" s="1">
        <v>20</v>
      </c>
      <c r="R1300" s="1" t="str">
        <f>"فروش داخلي - سازمان شهرداري ها و دهياري هاي كشور"</f>
        <v>فروش داخلي - سازمان شهرداري ها و دهياري هاي كشور</v>
      </c>
      <c r="S1300" s="1" t="str">
        <f>"قرارداد فروش"</f>
        <v>قرارداد فروش</v>
      </c>
      <c r="T1300" s="1" t="str">
        <f>"ندارد"</f>
        <v>ندارد</v>
      </c>
      <c r="U1300" s="1" t="str">
        <f>"تعاوني جم گستر (1001 ج 89)"</f>
        <v>تعاوني جم گستر (1001 ج 89)</v>
      </c>
      <c r="V1300" s="1">
        <v>962000185</v>
      </c>
      <c r="W1300" s="1">
        <v>962000185</v>
      </c>
      <c r="X1300" s="1" t="str">
        <f>"1396514467"</f>
        <v>1396514467</v>
      </c>
      <c r="Y1300" s="1" t="str">
        <f>"96/07/03"</f>
        <v>96/07/03</v>
      </c>
      <c r="Z1300" s="1" t="str">
        <f>"26690مرحله اول"</f>
        <v>26690مرحله اول</v>
      </c>
      <c r="AA1300" s="1" t="str">
        <f>"شهرداريها"</f>
        <v>شهرداريها</v>
      </c>
      <c r="AB1300" s="1" t="str">
        <f>"96/06/29"</f>
        <v>96/06/29</v>
      </c>
      <c r="AC1300" s="1" t="str">
        <f>"خراسان رضوي"</f>
        <v>خراسان رضوي</v>
      </c>
      <c r="AD1300" s="1" t="str">
        <f>"96/07/03"</f>
        <v>96/07/03</v>
      </c>
      <c r="AE1300" s="1" t="str">
        <f>"اختتام"</f>
        <v>اختتام</v>
      </c>
      <c r="AF1300" s="1" t="str">
        <f>""</f>
        <v/>
      </c>
      <c r="AG1300" s="1" t="str">
        <f>""</f>
        <v/>
      </c>
      <c r="AH1300" s="1" t="str">
        <f>""</f>
        <v/>
      </c>
      <c r="AI1300" s="1" t="str">
        <f>""</f>
        <v/>
      </c>
      <c r="AJ1300" s="1" t="str">
        <f>""</f>
        <v/>
      </c>
      <c r="AK1300" s="1" t="str">
        <f>""</f>
        <v/>
      </c>
    </row>
    <row r="1301" spans="1:37">
      <c r="A1301" s="1">
        <v>131314</v>
      </c>
      <c r="B1301" s="1">
        <v>962000186</v>
      </c>
      <c r="C1301" s="1" t="str">
        <f>"تخليه خراسان رضوي جاده مشهدبه كاشمرشركت پوشش راه كاشمر"</f>
        <v>تخليه خراسان رضوي جاده مشهدبه كاشمرشركت پوشش راه كاشمر</v>
      </c>
      <c r="D1301" s="1">
        <v>9113</v>
      </c>
      <c r="E1301" s="1">
        <v>131314</v>
      </c>
      <c r="F1301" s="1">
        <v>96</v>
      </c>
      <c r="G1301" s="1">
        <v>0</v>
      </c>
      <c r="H1301" s="1" t="str">
        <f>"96/07/03"</f>
        <v>96/07/03</v>
      </c>
      <c r="I1301" s="1" t="str">
        <f>"كيلوگرم"</f>
        <v>كيلوگرم</v>
      </c>
      <c r="J1301" s="1" t="str">
        <f>"0000000076"</f>
        <v>0000000076</v>
      </c>
      <c r="K1301" s="1" t="str">
        <f>"قير 60/70 - فله"</f>
        <v>قير 60/70 - فله</v>
      </c>
      <c r="L1301" s="1">
        <v>100</v>
      </c>
      <c r="M1301" s="1" t="str">
        <f>"مخازن قير اصفهان"</f>
        <v>مخازن قير اصفهان</v>
      </c>
      <c r="N1301" s="1">
        <v>11451</v>
      </c>
      <c r="O1301" s="1">
        <v>50036391</v>
      </c>
      <c r="P1301" s="1" t="str">
        <f>"  شهرداري كندر"</f>
        <v xml:space="preserve">  شهرداري كندر</v>
      </c>
      <c r="Q1301" s="1">
        <v>20</v>
      </c>
      <c r="R1301" s="1" t="str">
        <f>"فروش داخلي - سازمان شهرداري ها و دهياري هاي كشور"</f>
        <v>فروش داخلي - سازمان شهرداري ها و دهياري هاي كشور</v>
      </c>
      <c r="S1301" s="1" t="str">
        <f>"قرارداد فروش"</f>
        <v>قرارداد فروش</v>
      </c>
      <c r="T1301" s="1" t="str">
        <f>"ندارد"</f>
        <v>ندارد</v>
      </c>
      <c r="U1301" s="1" t="str">
        <f>"تعاوني جم گستر (1001 ج 89)"</f>
        <v>تعاوني جم گستر (1001 ج 89)</v>
      </c>
      <c r="V1301" s="1">
        <v>962000186</v>
      </c>
      <c r="W1301" s="1">
        <v>962000186</v>
      </c>
      <c r="X1301" s="1" t="str">
        <f>"1396514467"</f>
        <v>1396514467</v>
      </c>
      <c r="Y1301" s="1" t="str">
        <f>"96/07/03"</f>
        <v>96/07/03</v>
      </c>
      <c r="Z1301" s="1" t="str">
        <f>"26694مرحله اول"</f>
        <v>26694مرحله اول</v>
      </c>
      <c r="AA1301" s="1" t="str">
        <f>"شهرداريها"</f>
        <v>شهرداريها</v>
      </c>
      <c r="AB1301" s="1" t="str">
        <f>"96/06/29"</f>
        <v>96/06/29</v>
      </c>
      <c r="AC1301" s="1" t="str">
        <f>"خراسان رضوي"</f>
        <v>خراسان رضوي</v>
      </c>
      <c r="AD1301" s="1" t="str">
        <f>"96/07/03"</f>
        <v>96/07/03</v>
      </c>
      <c r="AE1301" s="1" t="str">
        <f>"اختتام"</f>
        <v>اختتام</v>
      </c>
      <c r="AF1301" s="1" t="str">
        <f>""</f>
        <v/>
      </c>
      <c r="AG1301" s="1" t="str">
        <f>""</f>
        <v/>
      </c>
      <c r="AH1301" s="1" t="str">
        <f>""</f>
        <v/>
      </c>
      <c r="AI1301" s="1" t="str">
        <f>""</f>
        <v/>
      </c>
      <c r="AJ1301" s="1" t="str">
        <f>""</f>
        <v/>
      </c>
      <c r="AK1301" s="1" t="str">
        <f>""</f>
        <v/>
      </c>
    </row>
    <row r="1302" spans="1:37">
      <c r="A1302" s="1">
        <v>123430</v>
      </c>
      <c r="B1302" s="1">
        <v>962000188</v>
      </c>
      <c r="C1302" s="1" t="str">
        <f>"تخليه خراسان رضوي جاده مشهدگلبهاركيلومتر12جاده محسن آبادكارخانه طوس"</f>
        <v>تخليه خراسان رضوي جاده مشهدگلبهاركيلومتر12جاده محسن آبادكارخانه طوس</v>
      </c>
      <c r="D1302" s="1">
        <v>9113</v>
      </c>
      <c r="E1302" s="1">
        <v>123430</v>
      </c>
      <c r="F1302" s="1">
        <v>96</v>
      </c>
      <c r="G1302" s="1">
        <v>0</v>
      </c>
      <c r="H1302" s="1" t="str">
        <f>"96/07/03"</f>
        <v>96/07/03</v>
      </c>
      <c r="I1302" s="1" t="str">
        <f>"كيلوگرم"</f>
        <v>كيلوگرم</v>
      </c>
      <c r="J1302" s="1" t="str">
        <f>"0000000076"</f>
        <v>0000000076</v>
      </c>
      <c r="K1302" s="1" t="str">
        <f>"قير 60/70 - فله"</f>
        <v>قير 60/70 - فله</v>
      </c>
      <c r="L1302" s="1">
        <v>100</v>
      </c>
      <c r="M1302" s="1" t="str">
        <f>"مخازن قير اصفهان"</f>
        <v>مخازن قير اصفهان</v>
      </c>
      <c r="N1302" s="1">
        <v>11452</v>
      </c>
      <c r="O1302" s="1">
        <v>50036394</v>
      </c>
      <c r="P1302" s="1" t="str">
        <f>"  شهرداري گلمكان"</f>
        <v xml:space="preserve">  شهرداري گلمكان</v>
      </c>
      <c r="Q1302" s="1">
        <v>20</v>
      </c>
      <c r="R1302" s="1" t="str">
        <f>"فروش داخلي - سازمان شهرداري ها و دهياري هاي كشور"</f>
        <v>فروش داخلي - سازمان شهرداري ها و دهياري هاي كشور</v>
      </c>
      <c r="S1302" s="1" t="str">
        <f>"قرارداد فروش"</f>
        <v>قرارداد فروش</v>
      </c>
      <c r="T1302" s="1" t="str">
        <f>"ندارد"</f>
        <v>ندارد</v>
      </c>
      <c r="U1302" s="1" t="str">
        <f>"تعاوني جم گستر (1001 ج 89)"</f>
        <v>تعاوني جم گستر (1001 ج 89)</v>
      </c>
      <c r="V1302" s="1">
        <v>962000188</v>
      </c>
      <c r="W1302" s="1">
        <v>962000188</v>
      </c>
      <c r="X1302" s="1" t="str">
        <f>"1396514467"</f>
        <v>1396514467</v>
      </c>
      <c r="Y1302" s="1" t="str">
        <f>"96/07/03"</f>
        <v>96/07/03</v>
      </c>
      <c r="Z1302" s="1" t="str">
        <f>"26673مرحله اول"</f>
        <v>26673مرحله اول</v>
      </c>
      <c r="AA1302" s="1" t="str">
        <f>"شهرداريها"</f>
        <v>شهرداريها</v>
      </c>
      <c r="AB1302" s="1" t="str">
        <f>"96/06/29"</f>
        <v>96/06/29</v>
      </c>
      <c r="AC1302" s="1" t="str">
        <f>"خراسان رضوي"</f>
        <v>خراسان رضوي</v>
      </c>
      <c r="AD1302" s="1" t="str">
        <f>"96/07/03"</f>
        <v>96/07/03</v>
      </c>
      <c r="AE1302" s="1" t="str">
        <f>"اختتام"</f>
        <v>اختتام</v>
      </c>
      <c r="AF1302" s="1" t="str">
        <f>""</f>
        <v/>
      </c>
      <c r="AG1302" s="1" t="str">
        <f>""</f>
        <v/>
      </c>
      <c r="AH1302" s="1" t="str">
        <f>""</f>
        <v/>
      </c>
      <c r="AI1302" s="1" t="str">
        <f>""</f>
        <v/>
      </c>
      <c r="AJ1302" s="1" t="str">
        <f>""</f>
        <v/>
      </c>
      <c r="AK1302" s="1" t="str">
        <f>""</f>
        <v/>
      </c>
    </row>
    <row r="1303" spans="1:37">
      <c r="A1303" s="1">
        <v>136636</v>
      </c>
      <c r="B1303" s="1">
        <v>962000193</v>
      </c>
      <c r="C1303" s="1" t="str">
        <f>"تخليه خراسان رضوي بلوارامام رضابه سمت كمربندي كارخانه آسفالت شهرداري"</f>
        <v>تخليه خراسان رضوي بلوارامام رضابه سمت كمربندي كارخانه آسفالت شهرداري</v>
      </c>
      <c r="D1303" s="1">
        <v>9113</v>
      </c>
      <c r="E1303" s="1">
        <v>136636</v>
      </c>
      <c r="F1303" s="1">
        <v>96</v>
      </c>
      <c r="G1303" s="1">
        <v>0</v>
      </c>
      <c r="H1303" s="1" t="str">
        <f>"96/07/03"</f>
        <v>96/07/03</v>
      </c>
      <c r="I1303" s="1" t="str">
        <f>"كيلوگرم"</f>
        <v>كيلوگرم</v>
      </c>
      <c r="J1303" s="1" t="str">
        <f>"0000000076"</f>
        <v>0000000076</v>
      </c>
      <c r="K1303" s="1" t="str">
        <f>"قير 60/70 - فله"</f>
        <v>قير 60/70 - فله</v>
      </c>
      <c r="L1303" s="1">
        <v>100</v>
      </c>
      <c r="M1303" s="1" t="str">
        <f>"مخازن قير اصفهان"</f>
        <v>مخازن قير اصفهان</v>
      </c>
      <c r="N1303" s="1">
        <v>11455</v>
      </c>
      <c r="O1303" s="1">
        <v>50036399</v>
      </c>
      <c r="P1303" s="1" t="str">
        <f>"  شهرداري نقاب"</f>
        <v xml:space="preserve">  شهرداري نقاب</v>
      </c>
      <c r="Q1303" s="1">
        <v>20</v>
      </c>
      <c r="R1303" s="1" t="str">
        <f>"فروش داخلي - سازمان شهرداري ها و دهياري هاي كشور"</f>
        <v>فروش داخلي - سازمان شهرداري ها و دهياري هاي كشور</v>
      </c>
      <c r="S1303" s="1" t="str">
        <f>"قرارداد فروش"</f>
        <v>قرارداد فروش</v>
      </c>
      <c r="T1303" s="1" t="str">
        <f>"ندارد"</f>
        <v>ندارد</v>
      </c>
      <c r="U1303" s="1" t="str">
        <f>"تعاوني جم گستر (1001 ج 89)"</f>
        <v>تعاوني جم گستر (1001 ج 89)</v>
      </c>
      <c r="V1303" s="1">
        <v>962000193</v>
      </c>
      <c r="W1303" s="1">
        <v>962000193</v>
      </c>
      <c r="X1303" s="1" t="str">
        <f>"1396514467"</f>
        <v>1396514467</v>
      </c>
      <c r="Y1303" s="1" t="str">
        <f>"96/07/03"</f>
        <v>96/07/03</v>
      </c>
      <c r="Z1303" s="1" t="str">
        <f>"26627مرحله اول"</f>
        <v>26627مرحله اول</v>
      </c>
      <c r="AA1303" s="1" t="str">
        <f>"شهرداريها"</f>
        <v>شهرداريها</v>
      </c>
      <c r="AB1303" s="1" t="str">
        <f>"96/06/29"</f>
        <v>96/06/29</v>
      </c>
      <c r="AC1303" s="1" t="str">
        <f>"خراسان رضوي"</f>
        <v>خراسان رضوي</v>
      </c>
      <c r="AD1303" s="1" t="str">
        <f>"96/07/03"</f>
        <v>96/07/03</v>
      </c>
      <c r="AE1303" s="1" t="str">
        <f>"اختتام"</f>
        <v>اختتام</v>
      </c>
      <c r="AF1303" s="1" t="str">
        <f>""</f>
        <v/>
      </c>
      <c r="AG1303" s="1" t="str">
        <f>""</f>
        <v/>
      </c>
      <c r="AH1303" s="1" t="str">
        <f>""</f>
        <v/>
      </c>
      <c r="AI1303" s="1" t="str">
        <f>""</f>
        <v/>
      </c>
      <c r="AJ1303" s="1" t="str">
        <f>""</f>
        <v/>
      </c>
      <c r="AK1303" s="1" t="str">
        <f>""</f>
        <v/>
      </c>
    </row>
    <row r="1304" spans="1:37">
      <c r="A1304" s="1">
        <v>68318</v>
      </c>
      <c r="B1304" s="1">
        <v>962000293</v>
      </c>
      <c r="C1304" s="1" t="str">
        <f>"تخليه خراسان رضوي بلوارامام رضابه سمت كمربندي كارخانه آسفالت شهرداري"</f>
        <v>تخليه خراسان رضوي بلوارامام رضابه سمت كمربندي كارخانه آسفالت شهرداري</v>
      </c>
      <c r="D1304" s="1">
        <v>9113</v>
      </c>
      <c r="E1304" s="1">
        <v>66444</v>
      </c>
      <c r="F1304" s="1">
        <v>96</v>
      </c>
      <c r="G1304" s="1">
        <v>1874</v>
      </c>
      <c r="H1304" s="1" t="str">
        <f>"96/09/13"</f>
        <v>96/09/13</v>
      </c>
      <c r="I1304" s="1" t="str">
        <f>"كيلوگرم"</f>
        <v>كيلوگرم</v>
      </c>
      <c r="J1304" s="1" t="str">
        <f>"0000000076"</f>
        <v>0000000076</v>
      </c>
      <c r="K1304" s="1" t="str">
        <f>"قير 60/70 - فله"</f>
        <v>قير 60/70 - فله</v>
      </c>
      <c r="L1304" s="1">
        <v>100</v>
      </c>
      <c r="M1304" s="1" t="str">
        <f>"مخازن قير اصفهان"</f>
        <v>مخازن قير اصفهان</v>
      </c>
      <c r="N1304" s="1">
        <v>11455</v>
      </c>
      <c r="O1304" s="1">
        <v>50037494</v>
      </c>
      <c r="P1304" s="1" t="str">
        <f>"  شهرداري نقاب"</f>
        <v xml:space="preserve">  شهرداري نقاب</v>
      </c>
      <c r="Q1304" s="1">
        <v>20</v>
      </c>
      <c r="R1304" s="1" t="str">
        <f>"فروش داخلي - سازمان شهرداري ها و دهياري هاي كشور"</f>
        <v>فروش داخلي - سازمان شهرداري ها و دهياري هاي كشور</v>
      </c>
      <c r="S1304" s="1" t="str">
        <f>"قرارداد فروش"</f>
        <v>قرارداد فروش</v>
      </c>
      <c r="T1304" s="1" t="str">
        <f>"ندارد"</f>
        <v>ندارد</v>
      </c>
      <c r="U1304" s="1" t="str">
        <f>"تعاوني جم گستر (1001 ج 89)"</f>
        <v>تعاوني جم گستر (1001 ج 89)</v>
      </c>
      <c r="V1304" s="1">
        <v>962000293</v>
      </c>
      <c r="W1304" s="1">
        <v>962000293</v>
      </c>
      <c r="X1304" s="1" t="str">
        <f>"1396514467"</f>
        <v>1396514467</v>
      </c>
      <c r="Y1304" s="1" t="str">
        <f>"96/09/12"</f>
        <v>96/09/12</v>
      </c>
      <c r="Z1304" s="1" t="str">
        <f>"37065مرحله دوم"</f>
        <v>37065مرحله دوم</v>
      </c>
      <c r="AA1304" s="1" t="str">
        <f>"شهرداريها"</f>
        <v>شهرداريها</v>
      </c>
      <c r="AB1304" s="1" t="str">
        <f>"96/09/04"</f>
        <v>96/09/04</v>
      </c>
      <c r="AC1304" s="1" t="str">
        <f>"خراسان رضوي"</f>
        <v>خراسان رضوي</v>
      </c>
      <c r="AD1304" s="1" t="str">
        <f>"96/07/03"</f>
        <v>96/07/03</v>
      </c>
      <c r="AE1304" s="1" t="str">
        <f>"اختتام"</f>
        <v>اختتام</v>
      </c>
      <c r="AF1304" s="1" t="str">
        <f>""</f>
        <v/>
      </c>
      <c r="AG1304" s="1" t="str">
        <f>""</f>
        <v/>
      </c>
      <c r="AH1304" s="1" t="str">
        <f>""</f>
        <v/>
      </c>
      <c r="AI1304" s="1" t="str">
        <f>""</f>
        <v/>
      </c>
      <c r="AJ1304" s="1" t="str">
        <f>""</f>
        <v/>
      </c>
      <c r="AK1304" s="1" t="str">
        <f>""</f>
        <v/>
      </c>
    </row>
    <row r="1305" spans="1:37">
      <c r="A1305" s="1">
        <v>185000</v>
      </c>
      <c r="B1305" s="1">
        <v>966200353</v>
      </c>
      <c r="C1305" s="1" t="str">
        <f>"تخليه - لرستان-دلفان-جاده 24 کيلومتر-بابا بزرگ پايين تر تنگ پري"</f>
        <v>تخليه - لرستان-دلفان-جاده 24 کيلومتر-بابا بزرگ پايين تر تنگ پري</v>
      </c>
      <c r="D1305" s="1">
        <v>9416</v>
      </c>
      <c r="E1305" s="1">
        <v>185000</v>
      </c>
      <c r="F1305" s="1">
        <v>96</v>
      </c>
      <c r="G1305" s="1">
        <v>0</v>
      </c>
      <c r="H1305" s="1" t="str">
        <f>"96/08/06"</f>
        <v>96/08/06</v>
      </c>
      <c r="I1305" s="1" t="str">
        <f>"كيلوگرم"</f>
        <v>كيلوگرم</v>
      </c>
      <c r="J1305" s="1" t="str">
        <f>"0000000076"</f>
        <v>0000000076</v>
      </c>
      <c r="K1305" s="1" t="str">
        <f>"قير 60/70 - فله"</f>
        <v>قير 60/70 - فله</v>
      </c>
      <c r="L1305" s="1">
        <v>100</v>
      </c>
      <c r="M1305" s="1" t="str">
        <f>"مخازن قير اصفهان"</f>
        <v>مخازن قير اصفهان</v>
      </c>
      <c r="N1305" s="1">
        <v>11475</v>
      </c>
      <c r="O1305" s="1">
        <v>50036916</v>
      </c>
      <c r="P1305" s="1" t="str">
        <f>"  خاتم سازه جم"</f>
        <v xml:space="preserve">  خاتم سازه جم</v>
      </c>
      <c r="Q1305" s="1">
        <v>62</v>
      </c>
      <c r="R1305" s="1" t="str">
        <f>"فروش داخلي - سازمان بنيادمسكن انقلاب اسلامي"</f>
        <v>فروش داخلي - سازمان بنيادمسكن انقلاب اسلامي</v>
      </c>
      <c r="S1305" s="1" t="str">
        <f>"قرارداد فروش"</f>
        <v>قرارداد فروش</v>
      </c>
      <c r="T1305" s="1" t="str">
        <f>"ندارد"</f>
        <v>ندارد</v>
      </c>
      <c r="U1305" s="1" t="str">
        <f>"ريسماني حسن(1007ج89)"</f>
        <v>ريسماني حسن(1007ج89)</v>
      </c>
      <c r="V1305" s="1">
        <v>966200353</v>
      </c>
      <c r="W1305" s="1">
        <v>966200353</v>
      </c>
      <c r="X1305" s="1" t="str">
        <f>"1396521777"</f>
        <v>1396521777</v>
      </c>
      <c r="Y1305" s="1" t="str">
        <f>"96/08/06"</f>
        <v>96/08/06</v>
      </c>
      <c r="Z1305" s="1" t="str">
        <f>"34707/د"</f>
        <v>34707/د</v>
      </c>
      <c r="AA1305" s="1" t="str">
        <f>"بنيادمسكن انقلاب اسلامي"</f>
        <v>بنيادمسكن انقلاب اسلامي</v>
      </c>
      <c r="AB1305" s="1" t="str">
        <f>"96/08/03"</f>
        <v>96/08/03</v>
      </c>
      <c r="AC1305" s="1" t="str">
        <f>"لرستان"</f>
        <v>لرستان</v>
      </c>
      <c r="AD1305" s="1" t="str">
        <f>"96/08/06"</f>
        <v>96/08/06</v>
      </c>
      <c r="AE1305" s="1" t="str">
        <f>"اختتام"</f>
        <v>اختتام</v>
      </c>
      <c r="AF1305" s="1" t="str">
        <f>""</f>
        <v/>
      </c>
      <c r="AG1305" s="1" t="str">
        <f>""</f>
        <v/>
      </c>
      <c r="AH1305" s="1" t="str">
        <f>""</f>
        <v/>
      </c>
      <c r="AI1305" s="1" t="str">
        <f>""</f>
        <v/>
      </c>
      <c r="AJ1305" s="1" t="str">
        <f>""</f>
        <v/>
      </c>
      <c r="AK1305" s="1" t="str">
        <f>""</f>
        <v/>
      </c>
    </row>
    <row r="1306" spans="1:37">
      <c r="A1306" s="1">
        <v>96000</v>
      </c>
      <c r="B1306" s="1">
        <v>966200629</v>
      </c>
      <c r="C1306" s="1" t="str">
        <f>"تخليه-سيستان و بلوچستان-چابهار-سنگ شکن صدرا اميد دمبدف"</f>
        <v>تخليه-سيستان و بلوچستان-چابهار-سنگ شکن صدرا اميد دمبدف</v>
      </c>
      <c r="D1306" s="1">
        <v>13350</v>
      </c>
      <c r="E1306" s="1">
        <v>95700</v>
      </c>
      <c r="F1306" s="1">
        <v>96</v>
      </c>
      <c r="G1306" s="1">
        <v>300</v>
      </c>
      <c r="H1306" s="1" t="str">
        <f>"96/12/12"</f>
        <v>96/12/12</v>
      </c>
      <c r="I1306" s="1" t="str">
        <f>"كيلوگرم"</f>
        <v>كيلوگرم</v>
      </c>
      <c r="J1306" s="1" t="str">
        <f>"0000000076"</f>
        <v>0000000076</v>
      </c>
      <c r="K1306" s="1" t="str">
        <f>"قير 60/70 - فله"</f>
        <v>قير 60/70 - فله</v>
      </c>
      <c r="L1306" s="1">
        <v>100</v>
      </c>
      <c r="M1306" s="1" t="str">
        <f>"مخازن قير اصفهان"</f>
        <v>مخازن قير اصفهان</v>
      </c>
      <c r="N1306" s="1">
        <v>11496</v>
      </c>
      <c r="O1306" s="1">
        <v>50038709</v>
      </c>
      <c r="P1306" s="1" t="str">
        <f>"  سخت کاران سپاهان"</f>
        <v xml:space="preserve">  سخت کاران سپاهان</v>
      </c>
      <c r="Q1306" s="1">
        <v>62</v>
      </c>
      <c r="R1306" s="1" t="str">
        <f>"فروش داخلي - سازمان بنيادمسكن انقلاب اسلامي"</f>
        <v>فروش داخلي - سازمان بنيادمسكن انقلاب اسلامي</v>
      </c>
      <c r="S1306" s="1" t="str">
        <f>"قرارداد فروش"</f>
        <v>قرارداد فروش</v>
      </c>
      <c r="T1306" s="1" t="str">
        <f>"ندارد"</f>
        <v>ندارد</v>
      </c>
      <c r="U1306" s="1" t="str">
        <f>"تاج سعيد هوشنگ (1031ج 89)"</f>
        <v>تاج سعيد هوشنگ (1031ج 89)</v>
      </c>
      <c r="V1306" s="1">
        <v>966200629</v>
      </c>
      <c r="W1306" s="1">
        <v>966200629</v>
      </c>
      <c r="X1306" s="1" t="str">
        <f>"1396551836"</f>
        <v>1396551836</v>
      </c>
      <c r="Y1306" s="1" t="str">
        <f>"96/12/12"</f>
        <v>96/12/12</v>
      </c>
      <c r="Z1306" s="1" t="str">
        <f>"56003/د"</f>
        <v>56003/د</v>
      </c>
      <c r="AA1306" s="1" t="str">
        <f>"بنيادمسكن انقلاب اسلامي"</f>
        <v>بنيادمسكن انقلاب اسلامي</v>
      </c>
      <c r="AB1306" s="1" t="str">
        <f>"96/12/09"</f>
        <v>96/12/09</v>
      </c>
      <c r="AC1306" s="1" t="str">
        <f>"استان سيستان بلوچستان"</f>
        <v>استان سيستان بلوچستان</v>
      </c>
      <c r="AD1306" s="1" t="str">
        <f>"96/12/12"</f>
        <v>96/12/12</v>
      </c>
      <c r="AE1306" s="1" t="str">
        <f>"اختتام"</f>
        <v>اختتام</v>
      </c>
      <c r="AF1306" s="1" t="str">
        <f>""</f>
        <v/>
      </c>
      <c r="AG1306" s="1" t="str">
        <f>""</f>
        <v/>
      </c>
      <c r="AH1306" s="1" t="str">
        <f>""</f>
        <v/>
      </c>
      <c r="AI1306" s="1" t="str">
        <f>""</f>
        <v/>
      </c>
      <c r="AJ1306" s="1" t="str">
        <f>""</f>
        <v/>
      </c>
      <c r="AK1306" s="1" t="str">
        <f>""</f>
        <v/>
      </c>
    </row>
    <row r="1307" spans="1:37">
      <c r="A1307" s="1">
        <v>56593</v>
      </c>
      <c r="B1307" s="1">
        <v>962000315</v>
      </c>
      <c r="C1307" s="1" t="str">
        <f>"تخليه خراسان رضوي كيلومتر85جاده مشهدسرخس كارخانه آسفالت جهادنصر"</f>
        <v>تخليه خراسان رضوي كيلومتر85جاده مشهدسرخس كارخانه آسفالت جهادنصر</v>
      </c>
      <c r="D1307" s="1">
        <v>9113</v>
      </c>
      <c r="E1307" s="1">
        <v>55720</v>
      </c>
      <c r="F1307" s="1">
        <v>96</v>
      </c>
      <c r="G1307" s="1">
        <v>873</v>
      </c>
      <c r="H1307" s="1" t="str">
        <f>"96/09/13"</f>
        <v>96/09/13</v>
      </c>
      <c r="I1307" s="1" t="str">
        <f>"كيلوگرم"</f>
        <v>كيلوگرم</v>
      </c>
      <c r="J1307" s="1" t="str">
        <f>"0000000076"</f>
        <v>0000000076</v>
      </c>
      <c r="K1307" s="1" t="str">
        <f>"قير 60/70 - فله"</f>
        <v>قير 60/70 - فله</v>
      </c>
      <c r="L1307" s="1">
        <v>100</v>
      </c>
      <c r="M1307" s="1" t="str">
        <f>"مخازن قير اصفهان"</f>
        <v>مخازن قير اصفهان</v>
      </c>
      <c r="N1307" s="1">
        <v>11510</v>
      </c>
      <c r="O1307" s="1">
        <v>50037520</v>
      </c>
      <c r="P1307" s="1" t="str">
        <f>"  شهرداري مزداوند"</f>
        <v xml:space="preserve">  شهرداري مزداوند</v>
      </c>
      <c r="Q1307" s="1">
        <v>20</v>
      </c>
      <c r="R1307" s="1" t="str">
        <f>"فروش داخلي - سازمان شهرداري ها و دهياري هاي كشور"</f>
        <v>فروش داخلي - سازمان شهرداري ها و دهياري هاي كشور</v>
      </c>
      <c r="S1307" s="1" t="str">
        <f>"قرارداد فروش"</f>
        <v>قرارداد فروش</v>
      </c>
      <c r="T1307" s="1" t="str">
        <f>"ندارد"</f>
        <v>ندارد</v>
      </c>
      <c r="U1307" s="1" t="str">
        <f>"تعاوني جم گستر (1001 ج 89)"</f>
        <v>تعاوني جم گستر (1001 ج 89)</v>
      </c>
      <c r="V1307" s="1">
        <v>962000315</v>
      </c>
      <c r="W1307" s="1">
        <v>962000315</v>
      </c>
      <c r="X1307" s="1" t="str">
        <f>"1396514467"</f>
        <v>1396514467</v>
      </c>
      <c r="Y1307" s="1" t="str">
        <f>"96/09/12"</f>
        <v>96/09/12</v>
      </c>
      <c r="Z1307" s="1" t="str">
        <f>"37060مرحله دوم"</f>
        <v>37060مرحله دوم</v>
      </c>
      <c r="AA1307" s="1" t="str">
        <f>"شهرداريها"</f>
        <v>شهرداريها</v>
      </c>
      <c r="AB1307" s="1" t="str">
        <f>"96/09/04"</f>
        <v>96/09/04</v>
      </c>
      <c r="AC1307" s="1" t="str">
        <f>"خراسان رضوي"</f>
        <v>خراسان رضوي</v>
      </c>
      <c r="AD1307" s="1" t="str">
        <f>"96/07/03"</f>
        <v>96/07/03</v>
      </c>
      <c r="AE1307" s="1" t="str">
        <f>"اختتام"</f>
        <v>اختتام</v>
      </c>
      <c r="AF1307" s="1" t="str">
        <f>""</f>
        <v/>
      </c>
      <c r="AG1307" s="1" t="str">
        <f>""</f>
        <v/>
      </c>
      <c r="AH1307" s="1" t="str">
        <f>""</f>
        <v/>
      </c>
      <c r="AI1307" s="1" t="str">
        <f>""</f>
        <v/>
      </c>
      <c r="AJ1307" s="1" t="str">
        <f>""</f>
        <v/>
      </c>
      <c r="AK1307" s="1" t="str">
        <f>""</f>
        <v/>
      </c>
    </row>
    <row r="1308" spans="1:37">
      <c r="A1308" s="1">
        <v>94782</v>
      </c>
      <c r="B1308" s="1">
        <v>962000318</v>
      </c>
      <c r="C1308" s="1" t="str">
        <f>"تخليه خراسان رضوي شهرستان فريمان جاده بهشت كارخانه آسفالت شهرداري"</f>
        <v>تخليه خراسان رضوي شهرستان فريمان جاده بهشت كارخانه آسفالت شهرداري</v>
      </c>
      <c r="D1308" s="1">
        <v>9113</v>
      </c>
      <c r="E1308" s="1">
        <v>92680</v>
      </c>
      <c r="F1308" s="1">
        <v>96</v>
      </c>
      <c r="G1308" s="1">
        <v>2102</v>
      </c>
      <c r="H1308" s="1" t="str">
        <f>"96/09/13"</f>
        <v>96/09/13</v>
      </c>
      <c r="I1308" s="1" t="str">
        <f>"كيلوگرم"</f>
        <v>كيلوگرم</v>
      </c>
      <c r="J1308" s="1" t="str">
        <f>"0000000076"</f>
        <v>0000000076</v>
      </c>
      <c r="K1308" s="1" t="str">
        <f>"قير 60/70 - فله"</f>
        <v>قير 60/70 - فله</v>
      </c>
      <c r="L1308" s="1">
        <v>100</v>
      </c>
      <c r="M1308" s="1" t="str">
        <f>"مخازن قير اصفهان"</f>
        <v>مخازن قير اصفهان</v>
      </c>
      <c r="N1308" s="1">
        <v>11512</v>
      </c>
      <c r="O1308" s="1">
        <v>50037523</v>
      </c>
      <c r="P1308" s="1" t="str">
        <f>"  شهرداري فريمان"</f>
        <v xml:space="preserve">  شهرداري فريمان</v>
      </c>
      <c r="Q1308" s="1">
        <v>20</v>
      </c>
      <c r="R1308" s="1" t="str">
        <f>"فروش داخلي - سازمان شهرداري ها و دهياري هاي كشور"</f>
        <v>فروش داخلي - سازمان شهرداري ها و دهياري هاي كشور</v>
      </c>
      <c r="S1308" s="1" t="str">
        <f>"قرارداد فروش"</f>
        <v>قرارداد فروش</v>
      </c>
      <c r="T1308" s="1" t="str">
        <f>"ندارد"</f>
        <v>ندارد</v>
      </c>
      <c r="U1308" s="1" t="str">
        <f>"تعاوني جم گستر (1001 ج 89)"</f>
        <v>تعاوني جم گستر (1001 ج 89)</v>
      </c>
      <c r="V1308" s="1">
        <v>962000318</v>
      </c>
      <c r="W1308" s="1">
        <v>962000318</v>
      </c>
      <c r="X1308" s="1" t="str">
        <f>"1396514467"</f>
        <v>1396514467</v>
      </c>
      <c r="Y1308" s="1" t="str">
        <f>"96/09/12"</f>
        <v>96/09/12</v>
      </c>
      <c r="Z1308" s="1" t="str">
        <f>"37044مرحله دوم"</f>
        <v>37044مرحله دوم</v>
      </c>
      <c r="AA1308" s="1" t="str">
        <f>"شهرداريها"</f>
        <v>شهرداريها</v>
      </c>
      <c r="AB1308" s="1" t="str">
        <f>"96/09/04"</f>
        <v>96/09/04</v>
      </c>
      <c r="AC1308" s="1" t="str">
        <f>"خراسان رضوي"</f>
        <v>خراسان رضوي</v>
      </c>
      <c r="AD1308" s="1" t="str">
        <f>"96/07/03"</f>
        <v>96/07/03</v>
      </c>
      <c r="AE1308" s="1" t="str">
        <f>"اختتام"</f>
        <v>اختتام</v>
      </c>
      <c r="AF1308" s="1" t="str">
        <f>""</f>
        <v/>
      </c>
      <c r="AG1308" s="1" t="str">
        <f>""</f>
        <v/>
      </c>
      <c r="AH1308" s="1" t="str">
        <f>""</f>
        <v/>
      </c>
      <c r="AI1308" s="1" t="str">
        <f>""</f>
        <v/>
      </c>
      <c r="AJ1308" s="1" t="str">
        <f>""</f>
        <v/>
      </c>
      <c r="AK1308" s="1" t="str">
        <f>""</f>
        <v/>
      </c>
    </row>
    <row r="1309" spans="1:37">
      <c r="A1309" s="1">
        <v>300000</v>
      </c>
      <c r="B1309" s="1">
        <v>961700222</v>
      </c>
      <c r="C1309" s="1" t="str">
        <f>"تخليه سيستان وبلوچستان شهرستان خاش كارخانه آسفالت شهرداري خاش"</f>
        <v>تخليه سيستان وبلوچستان شهرستان خاش كارخانه آسفالت شهرداري خاش</v>
      </c>
      <c r="D1309" s="1">
        <v>16750</v>
      </c>
      <c r="E1309" s="1">
        <v>298980</v>
      </c>
      <c r="F1309" s="1">
        <v>96</v>
      </c>
      <c r="G1309" s="1">
        <v>1020</v>
      </c>
      <c r="H1309" s="1" t="str">
        <f>"96/12/24"</f>
        <v>96/12/24</v>
      </c>
      <c r="I1309" s="1" t="str">
        <f>"كيلوگرم"</f>
        <v>كيلوگرم</v>
      </c>
      <c r="J1309" s="1" t="str">
        <f>"0000000094"</f>
        <v>0000000094</v>
      </c>
      <c r="K1309" s="1" t="str">
        <f>"قير  PG70-10"</f>
        <v>قير  PG70-10</v>
      </c>
      <c r="L1309" s="1">
        <v>100</v>
      </c>
      <c r="M1309" s="1" t="str">
        <f>"مخازن قير اصفهان"</f>
        <v>مخازن قير اصفهان</v>
      </c>
      <c r="N1309" s="1">
        <v>4095</v>
      </c>
      <c r="O1309" s="1">
        <v>50039003</v>
      </c>
      <c r="P1309" s="1" t="str">
        <f>"  اداره كل راه وشهرسازي سيستان وبلوچستان"</f>
        <v xml:space="preserve">  اداره كل راه وشهرسازي سيستان وبلوچستان</v>
      </c>
      <c r="Q1309" s="1">
        <v>17</v>
      </c>
      <c r="R1309" s="1" t="str">
        <f>"فروش داخلي تهران - وزارت راه - راه روستايي - روکش"</f>
        <v>فروش داخلي تهران - وزارت راه - راه روستايي - روکش</v>
      </c>
      <c r="S1309" s="1" t="str">
        <f>"قرارداد فروش"</f>
        <v>قرارداد فروش</v>
      </c>
      <c r="T1309" s="1" t="str">
        <f>"ندارد"</f>
        <v>ندارد</v>
      </c>
      <c r="U1309" s="1" t="str">
        <f>"ميرحسيني سيناترابر سيدمحمد(4854031)"</f>
        <v>ميرحسيني سيناترابر سيدمحمد(4854031)</v>
      </c>
      <c r="V1309" s="1">
        <v>961700222</v>
      </c>
      <c r="W1309" s="1">
        <v>961700222</v>
      </c>
      <c r="X1309" s="1" t="str">
        <f>"1396554553"</f>
        <v>1396554553</v>
      </c>
      <c r="Y1309" s="1" t="str">
        <f>"96/12/24"</f>
        <v>96/12/24</v>
      </c>
      <c r="Z1309" s="1" t="str">
        <f>"298960/710"</f>
        <v>298960/710</v>
      </c>
      <c r="AA1309" s="1" t="str">
        <f>"راه روستائي -روكش"</f>
        <v>راه روستائي -روكش</v>
      </c>
      <c r="AB1309" s="1" t="str">
        <f>"96/12/21"</f>
        <v>96/12/21</v>
      </c>
      <c r="AC1309" s="1" t="str">
        <f>"استان سيستان بلوچستان"</f>
        <v>استان سيستان بلوچستان</v>
      </c>
      <c r="AD1309" s="1" t="str">
        <f>"96/12/22"</f>
        <v>96/12/22</v>
      </c>
      <c r="AE1309" s="1" t="str">
        <f>"اختتام"</f>
        <v>اختتام</v>
      </c>
      <c r="AF1309" s="1" t="str">
        <f>""</f>
        <v/>
      </c>
      <c r="AG1309" s="1" t="str">
        <f>""</f>
        <v/>
      </c>
      <c r="AH1309" s="1" t="str">
        <f>""</f>
        <v/>
      </c>
      <c r="AI1309" s="1" t="str">
        <f>""</f>
        <v/>
      </c>
      <c r="AJ1309" s="1" t="str">
        <f>""</f>
        <v/>
      </c>
      <c r="AK1309" s="1" t="str">
        <f>""</f>
        <v/>
      </c>
    </row>
    <row r="1310" spans="1:37">
      <c r="A1310" s="1">
        <v>1000000</v>
      </c>
      <c r="B1310" s="1">
        <v>961900189</v>
      </c>
      <c r="C1310" s="1" t="str">
        <f>"تخليه جزيره قشم جاده لافت به سمت فرودگاه كارخانه آسفالت عمران سازه كاشيگري"</f>
        <v>تخليه جزيره قشم جاده لافت به سمت فرودگاه كارخانه آسفالت عمران سازه كاشيگري</v>
      </c>
      <c r="D1310" s="1">
        <v>13400</v>
      </c>
      <c r="E1310" s="1">
        <v>998020</v>
      </c>
      <c r="F1310" s="1">
        <v>96</v>
      </c>
      <c r="G1310" s="1">
        <v>1980</v>
      </c>
      <c r="H1310" s="1" t="str">
        <f>"96/09/11"</f>
        <v>96/09/11</v>
      </c>
      <c r="I1310" s="1" t="str">
        <f>"كيلوگرم"</f>
        <v>كيلوگرم</v>
      </c>
      <c r="J1310" s="1" t="str">
        <f>"0000000094"</f>
        <v>0000000094</v>
      </c>
      <c r="K1310" s="1" t="str">
        <f>"قير  PG70-10"</f>
        <v>قير  PG70-10</v>
      </c>
      <c r="L1310" s="1">
        <v>100</v>
      </c>
      <c r="M1310" s="1" t="str">
        <f>"مخازن قير اصفهان"</f>
        <v>مخازن قير اصفهان</v>
      </c>
      <c r="N1310" s="1">
        <v>9459</v>
      </c>
      <c r="O1310" s="1">
        <v>50037405</v>
      </c>
      <c r="P1310" s="1" t="str">
        <f>"  عمران سازه كاشيگري"</f>
        <v xml:space="preserve">  عمران سازه كاشيگري</v>
      </c>
      <c r="Q1310" s="1">
        <v>19</v>
      </c>
      <c r="R131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310" s="1" t="str">
        <f>"قرارداد فروش"</f>
        <v>قرارداد فروش</v>
      </c>
      <c r="T1310" s="1" t="str">
        <f>"ندارد"</f>
        <v>ندارد</v>
      </c>
      <c r="U1310" s="1" t="str">
        <f>"حاصليان ترابرجنوب مرتضي حاصلي (4844006)"</f>
        <v>حاصليان ترابرجنوب مرتضي حاصلي (4844006)</v>
      </c>
      <c r="V1310" s="1">
        <v>961900189</v>
      </c>
      <c r="W1310" s="1">
        <v>961900189</v>
      </c>
      <c r="X1310" s="1" t="str">
        <f>"1396529416"</f>
        <v>1396529416</v>
      </c>
      <c r="Y1310" s="1" t="str">
        <f>"96/09/11"</f>
        <v>96/09/11</v>
      </c>
      <c r="Z1310" s="1" t="str">
        <f>"42051/710"</f>
        <v>42051/710</v>
      </c>
      <c r="AA1310" s="1" t="str">
        <f>"سازمان راهداري وحمل نقل جاده اي"</f>
        <v>سازمان راهداري وحمل نقل جاده اي</v>
      </c>
      <c r="AB1310" s="1" t="str">
        <f>"96/08/20"</f>
        <v>96/08/20</v>
      </c>
      <c r="AC1310" s="1" t="str">
        <f>"استان هرمزگان"</f>
        <v>استان هرمزگان</v>
      </c>
      <c r="AD1310" s="1" t="str">
        <f>"96/09/11"</f>
        <v>96/09/11</v>
      </c>
      <c r="AE1310" s="1" t="str">
        <f>"اختتام"</f>
        <v>اختتام</v>
      </c>
      <c r="AF1310" s="1" t="str">
        <f>""</f>
        <v/>
      </c>
      <c r="AG1310" s="1" t="str">
        <f>""</f>
        <v/>
      </c>
      <c r="AH1310" s="1" t="str">
        <f>""</f>
        <v/>
      </c>
      <c r="AI1310" s="1" t="str">
        <f>""</f>
        <v/>
      </c>
      <c r="AJ1310" s="1" t="str">
        <f>""</f>
        <v/>
      </c>
      <c r="AK1310" s="1" t="str">
        <f>""</f>
        <v/>
      </c>
    </row>
    <row r="1311" spans="1:37">
      <c r="A1311" s="1">
        <v>120000</v>
      </c>
      <c r="B1311" s="1">
        <v>966200295</v>
      </c>
      <c r="C1311" s="1" t="str">
        <f>"تخليه - ايلام-مهران-کيلومتر 15 مهران دهلران-کارخانه آسفالت سيار مستقر در سنگ شکن رحيمي(تعاوني144)"</f>
        <v>تخليه - ايلام-مهران-کيلومتر 15 مهران دهلران-کارخانه آسفالت سيار مستقر در سنگ شکن رحيمي(تعاوني144)</v>
      </c>
      <c r="D1311" s="1">
        <v>9663</v>
      </c>
      <c r="E1311" s="1">
        <v>119700</v>
      </c>
      <c r="F1311" s="1">
        <v>96</v>
      </c>
      <c r="G1311" s="1">
        <v>300</v>
      </c>
      <c r="H1311" s="1" t="str">
        <f>"96/07/15"</f>
        <v>96/07/15</v>
      </c>
      <c r="I1311" s="1" t="str">
        <f>"كيلوگرم"</f>
        <v>كيلوگرم</v>
      </c>
      <c r="J1311" s="1" t="str">
        <f>"0000000094"</f>
        <v>0000000094</v>
      </c>
      <c r="K1311" s="1" t="str">
        <f>"قير  PG70-10"</f>
        <v>قير  PG70-10</v>
      </c>
      <c r="L1311" s="1">
        <v>100</v>
      </c>
      <c r="M1311" s="1" t="str">
        <f>"مخازن قير اصفهان"</f>
        <v>مخازن قير اصفهان</v>
      </c>
      <c r="N1311" s="1">
        <v>10624</v>
      </c>
      <c r="O1311" s="1">
        <v>50036556</v>
      </c>
      <c r="P1311" s="1" t="str">
        <f>"  آژين دژ غرب"</f>
        <v xml:space="preserve">  آژين دژ غرب</v>
      </c>
      <c r="Q1311" s="1">
        <v>62</v>
      </c>
      <c r="R1311" s="1" t="str">
        <f>"فروش داخلي - سازمان بنيادمسكن انقلاب اسلامي"</f>
        <v>فروش داخلي - سازمان بنيادمسكن انقلاب اسلامي</v>
      </c>
      <c r="S1311" s="1" t="str">
        <f>"قرارداد فروش"</f>
        <v>قرارداد فروش</v>
      </c>
      <c r="T1311" s="1" t="str">
        <f>"ندارد"</f>
        <v>ندارد</v>
      </c>
      <c r="U1311" s="1" t="str">
        <f>"عظيمي محمد(2842015)"</f>
        <v>عظيمي محمد(2842015)</v>
      </c>
      <c r="V1311" s="1">
        <v>966200295</v>
      </c>
      <c r="W1311" s="1">
        <v>966200295</v>
      </c>
      <c r="X1311" s="1" t="str">
        <f>"1396516999"</f>
        <v>1396516999</v>
      </c>
      <c r="Y1311" s="1" t="str">
        <f>"96/07/15"</f>
        <v>96/07/15</v>
      </c>
      <c r="Z1311" s="1" t="str">
        <f>"30479/د"</f>
        <v>30479/د</v>
      </c>
      <c r="AA1311" s="1" t="str">
        <f>"بنيادمسكن انقلاب اسلامي"</f>
        <v>بنيادمسكن انقلاب اسلامي</v>
      </c>
      <c r="AB1311" s="1" t="str">
        <f>"96/07/11"</f>
        <v>96/07/11</v>
      </c>
      <c r="AC1311" s="1" t="str">
        <f>"استان ايلام"</f>
        <v>استان ايلام</v>
      </c>
      <c r="AD1311" s="1" t="str">
        <f>"96/07/15"</f>
        <v>96/07/15</v>
      </c>
      <c r="AE1311" s="1" t="str">
        <f>"اختتام"</f>
        <v>اختتام</v>
      </c>
      <c r="AF1311" s="1" t="str">
        <f>""</f>
        <v/>
      </c>
      <c r="AG1311" s="1" t="str">
        <f>""</f>
        <v/>
      </c>
      <c r="AH1311" s="1" t="str">
        <f>""</f>
        <v/>
      </c>
      <c r="AI1311" s="1" t="str">
        <f>""</f>
        <v/>
      </c>
      <c r="AJ1311" s="1" t="str">
        <f>""</f>
        <v/>
      </c>
      <c r="AK1311" s="1" t="str">
        <f>""</f>
        <v/>
      </c>
    </row>
    <row r="1312" spans="1:37">
      <c r="A1312" s="1">
        <v>50000</v>
      </c>
      <c r="B1312" s="1">
        <v>966200627</v>
      </c>
      <c r="C1312" s="1" t="str">
        <f>"تخليه - کهگيلويه و بيراحمد-ليکک-کارخانه آسفالت دموري نژاد"</f>
        <v>تخليه - کهگيلويه و بيراحمد-ليکک-کارخانه آسفالت دموري نژاد</v>
      </c>
      <c r="D1312" s="1">
        <v>13350</v>
      </c>
      <c r="E1312" s="1">
        <v>50000</v>
      </c>
      <c r="F1312" s="1">
        <v>96</v>
      </c>
      <c r="G1312" s="1">
        <v>0</v>
      </c>
      <c r="H1312" s="1" t="str">
        <f>"96/12/12"</f>
        <v>96/12/12</v>
      </c>
      <c r="I1312" s="1" t="str">
        <f>"كيلوگرم"</f>
        <v>كيلوگرم</v>
      </c>
      <c r="J1312" s="1" t="str">
        <f>"0000000076"</f>
        <v>0000000076</v>
      </c>
      <c r="K1312" s="1" t="str">
        <f>"قير 60/70 - فله"</f>
        <v>قير 60/70 - فله</v>
      </c>
      <c r="L1312" s="1">
        <v>100</v>
      </c>
      <c r="M1312" s="1" t="str">
        <f>"مخازن قير اصفهان"</f>
        <v>مخازن قير اصفهان</v>
      </c>
      <c r="N1312" s="1">
        <v>11521</v>
      </c>
      <c r="O1312" s="1">
        <v>50038702</v>
      </c>
      <c r="P1312" s="1" t="str">
        <f>"  پس باغ گستر"</f>
        <v xml:space="preserve">  پس باغ گستر</v>
      </c>
      <c r="Q1312" s="1">
        <v>62</v>
      </c>
      <c r="R1312" s="1" t="str">
        <f>"فروش داخلي - سازمان بنيادمسكن انقلاب اسلامي"</f>
        <v>فروش داخلي - سازمان بنيادمسكن انقلاب اسلامي</v>
      </c>
      <c r="S1312" s="1" t="str">
        <f>"قرارداد فروش"</f>
        <v>قرارداد فروش</v>
      </c>
      <c r="T1312" s="1" t="str">
        <f>"ندارد"</f>
        <v>ندارد</v>
      </c>
      <c r="U1312" s="1" t="str">
        <f>"غلام نجفي سيامك‌‌‌‌‌‌(1881082)"</f>
        <v>غلام نجفي سيامك‌‌‌‌‌‌(1881082)</v>
      </c>
      <c r="V1312" s="1">
        <v>966200627</v>
      </c>
      <c r="W1312" s="1">
        <v>966200627</v>
      </c>
      <c r="X1312" s="1" t="str">
        <f>"1396551836"</f>
        <v>1396551836</v>
      </c>
      <c r="Y1312" s="1" t="str">
        <f>"96/12/12"</f>
        <v>96/12/12</v>
      </c>
      <c r="Z1312" s="1" t="str">
        <f>"56008/د"</f>
        <v>56008/د</v>
      </c>
      <c r="AA1312" s="1" t="str">
        <f>"بنيادمسكن انقلاب اسلامي"</f>
        <v>بنيادمسكن انقلاب اسلامي</v>
      </c>
      <c r="AB1312" s="1" t="str">
        <f>"96/12/09"</f>
        <v>96/12/09</v>
      </c>
      <c r="AC1312" s="1" t="str">
        <f>"كهكيلويه و بوير احمد"</f>
        <v>كهكيلويه و بوير احمد</v>
      </c>
      <c r="AD1312" s="1" t="str">
        <f>"96/12/12"</f>
        <v>96/12/12</v>
      </c>
      <c r="AE1312" s="1" t="str">
        <f>"اختتام"</f>
        <v>اختتام</v>
      </c>
      <c r="AF1312" s="1" t="str">
        <f>""</f>
        <v/>
      </c>
      <c r="AG1312" s="1" t="str">
        <f>""</f>
        <v/>
      </c>
      <c r="AH1312" s="1" t="str">
        <f>""</f>
        <v/>
      </c>
      <c r="AI1312" s="1" t="str">
        <f>""</f>
        <v/>
      </c>
      <c r="AJ1312" s="1" t="str">
        <f>""</f>
        <v/>
      </c>
      <c r="AK1312" s="1" t="str">
        <f>""</f>
        <v/>
      </c>
    </row>
    <row r="1313" spans="1:37">
      <c r="A1313" s="1">
        <v>13000</v>
      </c>
      <c r="B1313" s="1">
        <v>966300039</v>
      </c>
      <c r="C1313" s="1" t="str">
        <f>"تخليه چهارمحال وبختياري شهركردسامان روبروي قطب صنعتي شماره 2شركت نسيم سامان"</f>
        <v>تخليه چهارمحال وبختياري شهركردسامان روبروي قطب صنعتي شماره 2شركت نسيم سامان</v>
      </c>
      <c r="D1313" s="1">
        <v>12820</v>
      </c>
      <c r="E1313" s="1">
        <v>13000</v>
      </c>
      <c r="F1313" s="1">
        <v>96</v>
      </c>
      <c r="G1313" s="1">
        <v>0</v>
      </c>
      <c r="H1313" s="1" t="str">
        <f>"96/09/22"</f>
        <v>96/09/22</v>
      </c>
      <c r="I1313" s="1" t="str">
        <f>"كيلوگرم"</f>
        <v>كيلوگرم</v>
      </c>
      <c r="J1313" s="1" t="str">
        <f>"0000000076"</f>
        <v>0000000076</v>
      </c>
      <c r="K1313" s="1" t="str">
        <f>"قير 60/70 - فله"</f>
        <v>قير 60/70 - فله</v>
      </c>
      <c r="L1313" s="1">
        <v>100</v>
      </c>
      <c r="M1313" s="1" t="str">
        <f>"مخازن قير اصفهان"</f>
        <v>مخازن قير اصفهان</v>
      </c>
      <c r="N1313" s="1">
        <v>11522</v>
      </c>
      <c r="O1313" s="1">
        <v>50037738</v>
      </c>
      <c r="P1313" s="1" t="str">
        <f>"  ساختماني برج انسجام"</f>
        <v xml:space="preserve">  ساختماني برج انسجام</v>
      </c>
      <c r="Q1313" s="1">
        <v>63</v>
      </c>
      <c r="R1313" s="1" t="str">
        <f>"سازمان نوسازي،توسعه و تجهيز مدارس كشور"</f>
        <v>سازمان نوسازي،توسعه و تجهيز مدارس كشور</v>
      </c>
      <c r="S1313" s="1" t="str">
        <f>"قرارداد فروش"</f>
        <v>قرارداد فروش</v>
      </c>
      <c r="T1313" s="1" t="str">
        <f>"ندارد"</f>
        <v>ندارد</v>
      </c>
      <c r="U1313" s="1" t="str">
        <f>"قره باغي مجيد(1871065)"</f>
        <v>قره باغي مجيد(1871065)</v>
      </c>
      <c r="V1313" s="1">
        <v>966300039</v>
      </c>
      <c r="W1313" s="1">
        <v>966300039</v>
      </c>
      <c r="X1313" s="1" t="str">
        <f>"1396532536"</f>
        <v>1396532536</v>
      </c>
      <c r="Y1313" s="1" t="str">
        <f>"96/09/22"</f>
        <v>96/09/22</v>
      </c>
      <c r="Z1313" s="1" t="str">
        <f>"18/96/1/8377"</f>
        <v>18/96/1/8377</v>
      </c>
      <c r="AA1313" s="1" t="str">
        <f>"سازمان نوسازي توسعه وتجهيزمدارس كشور"</f>
        <v>سازمان نوسازي توسعه وتجهيزمدارس كشور</v>
      </c>
      <c r="AB1313" s="1" t="str">
        <f>"96/09/11"</f>
        <v>96/09/11</v>
      </c>
      <c r="AC1313" s="1" t="str">
        <f>"استان چهارمحال بختياري"</f>
        <v>استان چهارمحال بختياري</v>
      </c>
      <c r="AD1313" s="1" t="str">
        <f>"96/09/22"</f>
        <v>96/09/22</v>
      </c>
      <c r="AE1313" s="1" t="str">
        <f>"اختتام"</f>
        <v>اختتام</v>
      </c>
      <c r="AF1313" s="1" t="str">
        <f>""</f>
        <v/>
      </c>
      <c r="AG1313" s="1" t="str">
        <f>""</f>
        <v/>
      </c>
      <c r="AH1313" s="1" t="str">
        <f>""</f>
        <v/>
      </c>
      <c r="AI1313" s="1" t="str">
        <f>""</f>
        <v/>
      </c>
      <c r="AJ1313" s="1" t="str">
        <f>""</f>
        <v/>
      </c>
      <c r="AK1313" s="1" t="str">
        <f>""</f>
        <v/>
      </c>
    </row>
    <row r="1314" spans="1:37">
      <c r="A1314" s="1">
        <v>28000</v>
      </c>
      <c r="B1314" s="1">
        <v>966300041</v>
      </c>
      <c r="C1314" s="1" t="str">
        <f>"تخليه چهارمحال وبختياري شهركردسامان روبروي قطب صنعتي شماره 2شركت نسيم سامان"</f>
        <v>تخليه چهارمحال وبختياري شهركردسامان روبروي قطب صنعتي شماره 2شركت نسيم سامان</v>
      </c>
      <c r="D1314" s="1">
        <v>12820</v>
      </c>
      <c r="E1314" s="1">
        <v>28000</v>
      </c>
      <c r="F1314" s="1">
        <v>96</v>
      </c>
      <c r="G1314" s="1">
        <v>0</v>
      </c>
      <c r="H1314" s="1" t="str">
        <f>"96/09/22"</f>
        <v>96/09/22</v>
      </c>
      <c r="I1314" s="1" t="str">
        <f>"كيلوگرم"</f>
        <v>كيلوگرم</v>
      </c>
      <c r="J1314" s="1" t="str">
        <f>"0000000076"</f>
        <v>0000000076</v>
      </c>
      <c r="K1314" s="1" t="str">
        <f>"قير 60/70 - فله"</f>
        <v>قير 60/70 - فله</v>
      </c>
      <c r="L1314" s="1">
        <v>100</v>
      </c>
      <c r="M1314" s="1" t="str">
        <f>"مخازن قير اصفهان"</f>
        <v>مخازن قير اصفهان</v>
      </c>
      <c r="N1314" s="1">
        <v>11522</v>
      </c>
      <c r="O1314" s="1">
        <v>50037740</v>
      </c>
      <c r="P1314" s="1" t="str">
        <f>"  ساختماني برج انسجام"</f>
        <v xml:space="preserve">  ساختماني برج انسجام</v>
      </c>
      <c r="Q1314" s="1">
        <v>63</v>
      </c>
      <c r="R1314" s="1" t="str">
        <f>"سازمان نوسازي،توسعه و تجهيز مدارس كشور"</f>
        <v>سازمان نوسازي،توسعه و تجهيز مدارس كشور</v>
      </c>
      <c r="S1314" s="1" t="str">
        <f>"قرارداد فروش"</f>
        <v>قرارداد فروش</v>
      </c>
      <c r="T1314" s="1" t="str">
        <f>"ندارد"</f>
        <v>ندارد</v>
      </c>
      <c r="U1314" s="1" t="str">
        <f>"قره باغي مجيد(1871065)"</f>
        <v>قره باغي مجيد(1871065)</v>
      </c>
      <c r="V1314" s="1">
        <v>966300041</v>
      </c>
      <c r="W1314" s="1">
        <v>966300041</v>
      </c>
      <c r="X1314" s="1" t="str">
        <f>"1396532536"</f>
        <v>1396532536</v>
      </c>
      <c r="Y1314" s="1" t="str">
        <f>"96/09/22"</f>
        <v>96/09/22</v>
      </c>
      <c r="Z1314" s="1" t="str">
        <f>"18/96/1/8379"</f>
        <v>18/96/1/8379</v>
      </c>
      <c r="AA1314" s="1" t="str">
        <f>"سازمان نوسازي توسعه وتجهيزمدارس كشور"</f>
        <v>سازمان نوسازي توسعه وتجهيزمدارس كشور</v>
      </c>
      <c r="AB1314" s="1" t="str">
        <f>"96/09/11"</f>
        <v>96/09/11</v>
      </c>
      <c r="AC1314" s="1" t="str">
        <f>"استان چهارمحال بختياري"</f>
        <v>استان چهارمحال بختياري</v>
      </c>
      <c r="AD1314" s="1" t="str">
        <f>"96/09/22"</f>
        <v>96/09/22</v>
      </c>
      <c r="AE1314" s="1" t="str">
        <f>"اختتام"</f>
        <v>اختتام</v>
      </c>
      <c r="AF1314" s="1" t="str">
        <f>""</f>
        <v/>
      </c>
      <c r="AG1314" s="1" t="str">
        <f>""</f>
        <v/>
      </c>
      <c r="AH1314" s="1" t="str">
        <f>""</f>
        <v/>
      </c>
      <c r="AI1314" s="1" t="str">
        <f>""</f>
        <v/>
      </c>
      <c r="AJ1314" s="1" t="str">
        <f>""</f>
        <v/>
      </c>
      <c r="AK1314" s="1" t="str">
        <f>""</f>
        <v/>
      </c>
    </row>
    <row r="1315" spans="1:37">
      <c r="A1315" s="1">
        <v>70000</v>
      </c>
      <c r="B1315" s="1">
        <v>966200743</v>
      </c>
      <c r="C1315" s="1" t="str">
        <f>"تخليه - کهگيلويه-دهدشت-کيلومتر 14جاده اصفهان-کارخانه آسفالت آقاي موسوي"</f>
        <v>تخليه - کهگيلويه-دهدشت-کيلومتر 14جاده اصفهان-کارخانه آسفالت آقاي موسوي</v>
      </c>
      <c r="D1315" s="1">
        <v>13350</v>
      </c>
      <c r="E1315" s="1">
        <v>70000</v>
      </c>
      <c r="F1315" s="1">
        <v>96</v>
      </c>
      <c r="G1315" s="1">
        <v>0</v>
      </c>
      <c r="H1315" s="1" t="str">
        <f>"96/12/26"</f>
        <v>96/12/26</v>
      </c>
      <c r="I1315" s="1" t="str">
        <f>"كيلوگرم"</f>
        <v>كيلوگرم</v>
      </c>
      <c r="J1315" s="1" t="str">
        <f>"0000000076"</f>
        <v>0000000076</v>
      </c>
      <c r="K1315" s="1" t="str">
        <f>"قير 60/70 - فله"</f>
        <v>قير 60/70 - فله</v>
      </c>
      <c r="L1315" s="1">
        <v>100</v>
      </c>
      <c r="M1315" s="1" t="str">
        <f>"مخازن قير اصفهان"</f>
        <v>مخازن قير اصفهان</v>
      </c>
      <c r="N1315" s="1">
        <v>11540</v>
      </c>
      <c r="O1315" s="1">
        <v>50039104</v>
      </c>
      <c r="P1315" s="1" t="str">
        <f>"  برازش بناي کهگيلويه"</f>
        <v xml:space="preserve">  برازش بناي کهگيلويه</v>
      </c>
      <c r="Q1315" s="1">
        <v>62</v>
      </c>
      <c r="R1315" s="1" t="str">
        <f>"فروش داخلي - سازمان بنيادمسكن انقلاب اسلامي"</f>
        <v>فروش داخلي - سازمان بنيادمسكن انقلاب اسلامي</v>
      </c>
      <c r="S1315" s="1" t="str">
        <f>"قرارداد فروش"</f>
        <v>قرارداد فروش</v>
      </c>
      <c r="T1315" s="1" t="str">
        <f>"ندارد"</f>
        <v>ندارد</v>
      </c>
      <c r="U1315" s="1" t="str">
        <f>"غلام نجفي سيامك‌‌‌‌‌‌(1881082)"</f>
        <v>غلام نجفي سيامك‌‌‌‌‌‌(1881082)</v>
      </c>
      <c r="V1315" s="1">
        <v>966200743</v>
      </c>
      <c r="W1315" s="1">
        <v>966200743</v>
      </c>
      <c r="X1315" s="1" t="str">
        <f>"1396555422"</f>
        <v>1396555422</v>
      </c>
      <c r="Y1315" s="1" t="str">
        <f>"96/12/26"</f>
        <v>96/12/26</v>
      </c>
      <c r="Z1315" s="1" t="str">
        <f>"59466/د"</f>
        <v>59466/د</v>
      </c>
      <c r="AA1315" s="1" t="str">
        <f>"بنيادمسكن انقلاب اسلامي"</f>
        <v>بنيادمسكن انقلاب اسلامي</v>
      </c>
      <c r="AB1315" s="1" t="str">
        <f>"96/12/23"</f>
        <v>96/12/23</v>
      </c>
      <c r="AC1315" s="1" t="str">
        <f>"كهكيلويه و بوير احمد"</f>
        <v>كهكيلويه و بوير احمد</v>
      </c>
      <c r="AD1315" s="1" t="str">
        <f>"96/12/26"</f>
        <v>96/12/26</v>
      </c>
      <c r="AE1315" s="1" t="str">
        <f>"اختتام"</f>
        <v>اختتام</v>
      </c>
      <c r="AF1315" s="1" t="str">
        <f>""</f>
        <v/>
      </c>
      <c r="AG1315" s="1" t="str">
        <f>""</f>
        <v/>
      </c>
      <c r="AH1315" s="1" t="str">
        <f>""</f>
        <v/>
      </c>
      <c r="AI1315" s="1" t="str">
        <f>""</f>
        <v/>
      </c>
      <c r="AJ1315" s="1" t="str">
        <f>""</f>
        <v/>
      </c>
      <c r="AK1315" s="1" t="str">
        <f>""</f>
        <v/>
      </c>
    </row>
    <row r="1316" spans="1:37">
      <c r="A1316" s="1">
        <v>213000</v>
      </c>
      <c r="B1316" s="1">
        <v>966200663</v>
      </c>
      <c r="C1316" s="1" t="str">
        <f>"تخليه - کرمان-بافت - دوراهي گوغر-شرکت سيرجان عمران تداوم"</f>
        <v>تخليه - کرمان-بافت - دوراهي گوغر-شرکت سيرجان عمران تداوم</v>
      </c>
      <c r="D1316" s="1">
        <v>13350</v>
      </c>
      <c r="E1316" s="1">
        <v>212980</v>
      </c>
      <c r="F1316" s="1">
        <v>96</v>
      </c>
      <c r="G1316" s="1">
        <v>20</v>
      </c>
      <c r="H1316" s="1" t="str">
        <f>"96/12/16"</f>
        <v>96/12/16</v>
      </c>
      <c r="I1316" s="1" t="str">
        <f>"كيلوگرم"</f>
        <v>كيلوگرم</v>
      </c>
      <c r="J1316" s="1" t="str">
        <f>"0000000076"</f>
        <v>0000000076</v>
      </c>
      <c r="K1316" s="1" t="str">
        <f>"قير 60/70 - فله"</f>
        <v>قير 60/70 - فله</v>
      </c>
      <c r="L1316" s="1">
        <v>100</v>
      </c>
      <c r="M1316" s="1" t="str">
        <f>"مخازن قير اصفهان"</f>
        <v>مخازن قير اصفهان</v>
      </c>
      <c r="N1316" s="1">
        <v>11545</v>
      </c>
      <c r="O1316" s="1">
        <v>50038799</v>
      </c>
      <c r="P1316" s="1" t="str">
        <f>"  مقاوم فولاد چهل ستون"</f>
        <v xml:space="preserve">  مقاوم فولاد چهل ستون</v>
      </c>
      <c r="Q1316" s="1">
        <v>62</v>
      </c>
      <c r="R1316" s="1" t="str">
        <f>"فروش داخلي - سازمان بنيادمسكن انقلاب اسلامي"</f>
        <v>فروش داخلي - سازمان بنيادمسكن انقلاب اسلامي</v>
      </c>
      <c r="S1316" s="1" t="str">
        <f>"قرارداد فروش"</f>
        <v>قرارداد فروش</v>
      </c>
      <c r="T1316" s="1" t="str">
        <f>"ندارد"</f>
        <v>ندارد</v>
      </c>
      <c r="U1316" s="1" t="str">
        <f>"خضرائي فريدون(4844003)"</f>
        <v>خضرائي فريدون(4844003)</v>
      </c>
      <c r="V1316" s="1">
        <v>966200663</v>
      </c>
      <c r="W1316" s="1">
        <v>966200663</v>
      </c>
      <c r="X1316" s="1" t="str">
        <f>"1396552658"</f>
        <v>1396552658</v>
      </c>
      <c r="Y1316" s="1" t="str">
        <f>"96/12/16"</f>
        <v>96/12/16</v>
      </c>
      <c r="Z1316" s="1" t="str">
        <f>"57125/د"</f>
        <v>57125/د</v>
      </c>
      <c r="AA1316" s="1" t="str">
        <f>"بنيادمسكن انقلاب اسلامي"</f>
        <v>بنيادمسكن انقلاب اسلامي</v>
      </c>
      <c r="AB1316" s="1" t="str">
        <f>"96/12/15"</f>
        <v>96/12/15</v>
      </c>
      <c r="AC1316" s="1" t="str">
        <f>"استان كرمان"</f>
        <v>استان كرمان</v>
      </c>
      <c r="AD1316" s="1" t="str">
        <f>"96/12/15"</f>
        <v>96/12/15</v>
      </c>
      <c r="AE1316" s="1" t="str">
        <f>"اختتام"</f>
        <v>اختتام</v>
      </c>
      <c r="AF1316" s="1" t="str">
        <f>""</f>
        <v/>
      </c>
      <c r="AG1316" s="1" t="str">
        <f>""</f>
        <v/>
      </c>
      <c r="AH1316" s="1" t="str">
        <f>""</f>
        <v/>
      </c>
      <c r="AI1316" s="1" t="str">
        <f>""</f>
        <v/>
      </c>
      <c r="AJ1316" s="1" t="str">
        <f>""</f>
        <v/>
      </c>
      <c r="AK1316" s="1" t="str">
        <f>""</f>
        <v/>
      </c>
    </row>
    <row r="1317" spans="1:37">
      <c r="A1317" s="1">
        <v>440000</v>
      </c>
      <c r="B1317" s="1">
        <v>961900064</v>
      </c>
      <c r="C1317" s="1" t="str">
        <f>"تخليه -سمنان -كيلومتر55محورگرمسار-سمنان -كارگاه شركت زرين سپاهان"</f>
        <v>تخليه -سمنان -كيلومتر55محورگرمسار-سمنان -كارگاه شركت زرين سپاهان</v>
      </c>
      <c r="D1317" s="1">
        <v>9154</v>
      </c>
      <c r="E1317" s="1">
        <v>439300</v>
      </c>
      <c r="F1317" s="1">
        <v>96</v>
      </c>
      <c r="G1317" s="1">
        <v>700</v>
      </c>
      <c r="H1317" s="1" t="str">
        <f>"96/03/24"</f>
        <v>96/03/24</v>
      </c>
      <c r="I1317" s="1" t="str">
        <f>"كيلوگرم"</f>
        <v>كيلوگرم</v>
      </c>
      <c r="J1317" s="1" t="str">
        <f>"0000000094"</f>
        <v>0000000094</v>
      </c>
      <c r="K1317" s="1" t="str">
        <f>"قير  PG70-10"</f>
        <v>قير  PG70-10</v>
      </c>
      <c r="L1317" s="1">
        <v>100</v>
      </c>
      <c r="M1317" s="1" t="str">
        <f>"مخازن قير اصفهان"</f>
        <v>مخازن قير اصفهان</v>
      </c>
      <c r="N1317" s="1">
        <v>10906</v>
      </c>
      <c r="O1317" s="1">
        <v>50035017</v>
      </c>
      <c r="P1317" s="1" t="str">
        <f>"  زاس (زرين ارگ سپاهان )"</f>
        <v xml:space="preserve">  زاس (زرين ارگ سپاهان )</v>
      </c>
      <c r="Q1317" s="1">
        <v>19</v>
      </c>
      <c r="R131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317" s="1" t="str">
        <f>"قرارداد فروش"</f>
        <v>قرارداد فروش</v>
      </c>
      <c r="T1317" s="1" t="str">
        <f>"ندارد"</f>
        <v>ندارد</v>
      </c>
      <c r="U1317" s="1" t="str">
        <f>"دهقانيان بيژن (4954038)"</f>
        <v>دهقانيان بيژن (4954038)</v>
      </c>
      <c r="V1317" s="1">
        <v>961900064</v>
      </c>
      <c r="W1317" s="1">
        <v>961900064</v>
      </c>
      <c r="X1317" s="1" t="str">
        <f>"1396488218"</f>
        <v>1396488218</v>
      </c>
      <c r="Y1317" s="1" t="str">
        <f>"96/03/24"</f>
        <v>96/03/24</v>
      </c>
      <c r="Z1317" s="1" t="str">
        <f>"13096/710"</f>
        <v>13096/710</v>
      </c>
      <c r="AA1317" s="1" t="str">
        <f>"سازمان راهداري وحمل نقل جاده اي"</f>
        <v>سازمان راهداري وحمل نقل جاده اي</v>
      </c>
      <c r="AB1317" s="1" t="str">
        <f>"96/03/22"</f>
        <v>96/03/22</v>
      </c>
      <c r="AC1317" s="1" t="str">
        <f>"استان سمنان"</f>
        <v>استان سمنان</v>
      </c>
      <c r="AD1317" s="1" t="str">
        <f>"96/03/24"</f>
        <v>96/03/24</v>
      </c>
      <c r="AE1317" s="1" t="str">
        <f>"اختتام"</f>
        <v>اختتام</v>
      </c>
      <c r="AF1317" s="1" t="str">
        <f>""</f>
        <v/>
      </c>
      <c r="AG1317" s="1" t="str">
        <f>""</f>
        <v/>
      </c>
      <c r="AH1317" s="1" t="str">
        <f>""</f>
        <v/>
      </c>
      <c r="AI1317" s="1" t="str">
        <f>""</f>
        <v/>
      </c>
      <c r="AJ1317" s="1" t="str">
        <f>""</f>
        <v/>
      </c>
      <c r="AK1317" s="1" t="str">
        <f>""</f>
        <v/>
      </c>
    </row>
    <row r="1318" spans="1:37">
      <c r="A1318" s="1">
        <v>308000</v>
      </c>
      <c r="B1318" s="1">
        <v>966200319</v>
      </c>
      <c r="C1318" s="1" t="str">
        <f>"تخليه - سيستان و بلوچستان-هامون-شهرمحمدآباد -کارخانه آسفالت برادران طباطبايي"</f>
        <v>تخليه - سيستان و بلوچستان-هامون-شهرمحمدآباد -کارخانه آسفالت برادران طباطبايي</v>
      </c>
      <c r="D1318" s="1">
        <v>9663</v>
      </c>
      <c r="E1318" s="1">
        <v>308000</v>
      </c>
      <c r="F1318" s="1">
        <v>96</v>
      </c>
      <c r="G1318" s="1">
        <v>0</v>
      </c>
      <c r="H1318" s="1" t="str">
        <f>"96/07/24"</f>
        <v>96/07/24</v>
      </c>
      <c r="I1318" s="1" t="str">
        <f>"كيلوگرم"</f>
        <v>كيلوگرم</v>
      </c>
      <c r="J1318" s="1" t="str">
        <f>"0000000094"</f>
        <v>0000000094</v>
      </c>
      <c r="K1318" s="1" t="str">
        <f>"قير  PG70-10"</f>
        <v>قير  PG70-10</v>
      </c>
      <c r="L1318" s="1">
        <v>100</v>
      </c>
      <c r="M1318" s="1" t="str">
        <f>"مخازن قير اصفهان"</f>
        <v>مخازن قير اصفهان</v>
      </c>
      <c r="N1318" s="1">
        <v>11360</v>
      </c>
      <c r="O1318" s="1">
        <v>50036749</v>
      </c>
      <c r="P1318" s="1" t="str">
        <f>"  پارت سازان هامون"</f>
        <v xml:space="preserve">  پارت سازان هامون</v>
      </c>
      <c r="Q1318" s="1">
        <v>62</v>
      </c>
      <c r="R1318" s="1" t="str">
        <f>"فروش داخلي - سازمان بنيادمسكن انقلاب اسلامي"</f>
        <v>فروش داخلي - سازمان بنيادمسكن انقلاب اسلامي</v>
      </c>
      <c r="S1318" s="1" t="str">
        <f>"قرارداد فروش"</f>
        <v>قرارداد فروش</v>
      </c>
      <c r="T1318" s="1" t="str">
        <f>"ندارد"</f>
        <v>ندارد</v>
      </c>
      <c r="U1318" s="1" t="str">
        <f>"قانعي محمدرضا(1011ج89)"</f>
        <v>قانعي محمدرضا(1011ج89)</v>
      </c>
      <c r="V1318" s="1">
        <v>966200319</v>
      </c>
      <c r="W1318" s="1">
        <v>966200319</v>
      </c>
      <c r="X1318" s="1" t="str">
        <f>"1396518916"</f>
        <v>1396518916</v>
      </c>
      <c r="Y1318" s="1" t="str">
        <f>"96/07/24"</f>
        <v>96/07/24</v>
      </c>
      <c r="Z1318" s="1" t="str">
        <f>"32925/د"</f>
        <v>32925/د</v>
      </c>
      <c r="AA1318" s="1" t="str">
        <f>"بنيادمسكن انقلاب اسلامي"</f>
        <v>بنيادمسكن انقلاب اسلامي</v>
      </c>
      <c r="AB1318" s="1" t="str">
        <f>"96/07/24"</f>
        <v>96/07/24</v>
      </c>
      <c r="AC1318" s="1" t="str">
        <f>"استان سيستان بلوچستان"</f>
        <v>استان سيستان بلوچستان</v>
      </c>
      <c r="AD1318" s="1" t="str">
        <f>"96/07/24"</f>
        <v>96/07/24</v>
      </c>
      <c r="AE1318" s="1" t="str">
        <f>"اختتام"</f>
        <v>اختتام</v>
      </c>
      <c r="AF1318" s="1" t="str">
        <f>""</f>
        <v/>
      </c>
      <c r="AG1318" s="1" t="str">
        <f>""</f>
        <v/>
      </c>
      <c r="AH1318" s="1" t="str">
        <f>""</f>
        <v/>
      </c>
      <c r="AI1318" s="1" t="str">
        <f>""</f>
        <v/>
      </c>
      <c r="AJ1318" s="1" t="str">
        <f>""</f>
        <v/>
      </c>
      <c r="AK1318" s="1" t="str">
        <f>""</f>
        <v/>
      </c>
    </row>
    <row r="1319" spans="1:37">
      <c r="A1319" s="1">
        <v>467000</v>
      </c>
      <c r="B1319" s="1">
        <v>966200633</v>
      </c>
      <c r="C1319" s="1" t="str">
        <f>"تخليه - سيستان و بلوچستان-هامون-شهرمحمدآباد -کارخانه آسفالت برادران طباطبايي"</f>
        <v>تخليه - سيستان و بلوچستان-هامون-شهرمحمدآباد -کارخانه آسفالت برادران طباطبايي</v>
      </c>
      <c r="D1319" s="1">
        <v>14000</v>
      </c>
      <c r="E1319" s="1">
        <v>467000</v>
      </c>
      <c r="F1319" s="1">
        <v>96</v>
      </c>
      <c r="G1319" s="1">
        <v>0</v>
      </c>
      <c r="H1319" s="1" t="str">
        <f>"96/12/14"</f>
        <v>96/12/14</v>
      </c>
      <c r="I1319" s="1" t="str">
        <f>"كيلوگرم"</f>
        <v>كيلوگرم</v>
      </c>
      <c r="J1319" s="1" t="str">
        <f>"0000000094"</f>
        <v>0000000094</v>
      </c>
      <c r="K1319" s="1" t="str">
        <f>"قير  PG70-10"</f>
        <v>قير  PG70-10</v>
      </c>
      <c r="L1319" s="1">
        <v>100</v>
      </c>
      <c r="M1319" s="1" t="str">
        <f>"مخازن قير اصفهان"</f>
        <v>مخازن قير اصفهان</v>
      </c>
      <c r="N1319" s="1">
        <v>11360</v>
      </c>
      <c r="O1319" s="1">
        <v>50038754</v>
      </c>
      <c r="P1319" s="1" t="str">
        <f>"  پارت سازان هامون"</f>
        <v xml:space="preserve">  پارت سازان هامون</v>
      </c>
      <c r="Q1319" s="1">
        <v>62</v>
      </c>
      <c r="R1319" s="1" t="str">
        <f>"فروش داخلي - سازمان بنيادمسكن انقلاب اسلامي"</f>
        <v>فروش داخلي - سازمان بنيادمسكن انقلاب اسلامي</v>
      </c>
      <c r="S1319" s="1" t="str">
        <f>"قرارداد فروش"</f>
        <v>قرارداد فروش</v>
      </c>
      <c r="T1319" s="1" t="str">
        <f>"ندارد"</f>
        <v>ندارد</v>
      </c>
      <c r="U1319" s="1" t="str">
        <f>"پورباقري ترابر (4914036)"</f>
        <v>پورباقري ترابر (4914036)</v>
      </c>
      <c r="V1319" s="1">
        <v>966200633</v>
      </c>
      <c r="W1319" s="1">
        <v>966200633</v>
      </c>
      <c r="X1319" s="1" t="str">
        <f>"1396552264"</f>
        <v>1396552264</v>
      </c>
      <c r="Y1319" s="1" t="str">
        <f>"96/12/14"</f>
        <v>96/12/14</v>
      </c>
      <c r="Z1319" s="1" t="str">
        <f>"56666/د"</f>
        <v>56666/د</v>
      </c>
      <c r="AA1319" s="1" t="str">
        <f>"بنيادمسكن انقلاب اسلامي"</f>
        <v>بنيادمسكن انقلاب اسلامي</v>
      </c>
      <c r="AB1319" s="1" t="str">
        <f>"96/12/13"</f>
        <v>96/12/13</v>
      </c>
      <c r="AC1319" s="1" t="str">
        <f>"استان سيستان بلوچستان"</f>
        <v>استان سيستان بلوچستان</v>
      </c>
      <c r="AD1319" s="1" t="str">
        <f>"96/12/14"</f>
        <v>96/12/14</v>
      </c>
      <c r="AE1319" s="1" t="str">
        <f>"اختتام"</f>
        <v>اختتام</v>
      </c>
      <c r="AF1319" s="1" t="str">
        <f>""</f>
        <v/>
      </c>
      <c r="AG1319" s="1" t="str">
        <f>""</f>
        <v/>
      </c>
      <c r="AH1319" s="1" t="str">
        <f>""</f>
        <v/>
      </c>
      <c r="AI1319" s="1" t="str">
        <f>""</f>
        <v/>
      </c>
      <c r="AJ1319" s="1" t="str">
        <f>""</f>
        <v/>
      </c>
      <c r="AK1319" s="1" t="str">
        <f>""</f>
        <v/>
      </c>
    </row>
    <row r="1320" spans="1:37">
      <c r="A1320" s="1">
        <v>1000000</v>
      </c>
      <c r="B1320" s="1">
        <v>961800026</v>
      </c>
      <c r="C1320" s="1" t="str">
        <f>"تخليه ايرانشهرجاده كنارك به سمت كهيرسه راهي شمه كارخانه آسفالت كهير"</f>
        <v>تخليه ايرانشهرجاده كنارك به سمت كهيرسه راهي شمه كارخانه آسفالت كهير</v>
      </c>
      <c r="D1320" s="1">
        <v>13850</v>
      </c>
      <c r="E1320" s="1">
        <v>1000000</v>
      </c>
      <c r="F1320" s="1">
        <v>96</v>
      </c>
      <c r="G1320" s="1">
        <v>0</v>
      </c>
      <c r="H1320" s="1" t="str">
        <f>"96/05/22"</f>
        <v>96/05/22</v>
      </c>
      <c r="I1320" s="1" t="str">
        <f>"كيلوگرم"</f>
        <v>كيلوگرم</v>
      </c>
      <c r="J1320" s="1" t="str">
        <f>"0000000094"</f>
        <v>0000000094</v>
      </c>
      <c r="K1320" s="1" t="str">
        <f>"قير  PG70-10"</f>
        <v>قير  PG70-10</v>
      </c>
      <c r="L1320" s="1">
        <v>100</v>
      </c>
      <c r="M1320" s="1" t="str">
        <f>"مخازن قير اصفهان"</f>
        <v>مخازن قير اصفهان</v>
      </c>
      <c r="N1320" s="1">
        <v>11389</v>
      </c>
      <c r="O1320" s="1">
        <v>50035629</v>
      </c>
      <c r="P1320" s="1" t="str">
        <f>"  راهسازان صنعت بلوچ"</f>
        <v xml:space="preserve">  راهسازان صنعت بلوچ</v>
      </c>
      <c r="Q1320" s="1">
        <v>18</v>
      </c>
      <c r="R1320" s="1" t="str">
        <f>"فروش داخلي تهران - وزارت راه - شرکت ساخت و توسعه راهها"</f>
        <v>فروش داخلي تهران - وزارت راه - شرکت ساخت و توسعه راهها</v>
      </c>
      <c r="S1320" s="1" t="str">
        <f>"قرارداد فروش"</f>
        <v>قرارداد فروش</v>
      </c>
      <c r="T1320" s="1" t="str">
        <f>"ندارد"</f>
        <v>ندارد</v>
      </c>
      <c r="U1320" s="1" t="str">
        <f>"پورباقري ترابر (4914036)"</f>
        <v>پورباقري ترابر (4914036)</v>
      </c>
      <c r="V1320" s="1">
        <v>961800026</v>
      </c>
      <c r="W1320" s="1">
        <v>961800026</v>
      </c>
      <c r="X1320" s="1" t="str">
        <f>"1396504863"</f>
        <v>1396504863</v>
      </c>
      <c r="Y1320" s="1" t="str">
        <f>"96/05/22"</f>
        <v>96/05/22</v>
      </c>
      <c r="Z1320" s="1" t="str">
        <f>"14949/710"</f>
        <v>14949/710</v>
      </c>
      <c r="AA1320" s="1" t="str">
        <f>"شركت  ساخت وتوسعه راهها"</f>
        <v>شركت  ساخت وتوسعه راهها</v>
      </c>
      <c r="AB1320" s="1" t="str">
        <f>"96/04/03"</f>
        <v>96/04/03</v>
      </c>
      <c r="AC1320" s="1" t="str">
        <f>"ايرانشهر"</f>
        <v>ايرانشهر</v>
      </c>
      <c r="AD1320" s="1" t="str">
        <f>"96/05/22"</f>
        <v>96/05/22</v>
      </c>
      <c r="AE1320" s="1" t="str">
        <f>"اختتام"</f>
        <v>اختتام</v>
      </c>
      <c r="AF1320" s="1" t="str">
        <f>""</f>
        <v/>
      </c>
      <c r="AG1320" s="1" t="str">
        <f>""</f>
        <v/>
      </c>
      <c r="AH1320" s="1" t="str">
        <f>""</f>
        <v/>
      </c>
      <c r="AI1320" s="1" t="str">
        <f>""</f>
        <v/>
      </c>
      <c r="AJ1320" s="1" t="str">
        <f>""</f>
        <v/>
      </c>
      <c r="AK1320" s="1" t="str">
        <f>""</f>
        <v/>
      </c>
    </row>
    <row r="1321" spans="1:37">
      <c r="A1321" s="1">
        <v>600000</v>
      </c>
      <c r="B1321" s="1">
        <v>961400008</v>
      </c>
      <c r="C1321" s="1" t="str">
        <f>"تخليه - کهگيلويه و بويراحمد-کارخانه آسفالت دارشاهي"</f>
        <v>تخليه - کهگيلويه و بويراحمد-کارخانه آسفالت دارشاهي</v>
      </c>
      <c r="D1321" s="1">
        <v>8854</v>
      </c>
      <c r="E1321" s="1">
        <v>598760</v>
      </c>
      <c r="F1321" s="1">
        <v>96</v>
      </c>
      <c r="G1321" s="1">
        <v>1240</v>
      </c>
      <c r="H1321" s="1" t="str">
        <f>"96/03/13"</f>
        <v>96/03/13</v>
      </c>
      <c r="I1321" s="1" t="str">
        <f>"كيلوگرم"</f>
        <v>كيلوگرم</v>
      </c>
      <c r="J1321" s="1" t="str">
        <f>"0000000093"</f>
        <v>0000000093</v>
      </c>
      <c r="K1321" s="1" t="str">
        <f>"قير  PG64-10"</f>
        <v>قير  PG64-10</v>
      </c>
      <c r="L1321" s="1">
        <v>100</v>
      </c>
      <c r="M1321" s="1" t="str">
        <f>"مخازن قير اصفهان"</f>
        <v>مخازن قير اصفهان</v>
      </c>
      <c r="N1321" s="1">
        <v>10526</v>
      </c>
      <c r="O1321" s="1">
        <v>50034959</v>
      </c>
      <c r="P1321" s="1" t="str">
        <f>"  رهاورد سازان مارون"</f>
        <v xml:space="preserve">  رهاورد سازان مارون</v>
      </c>
      <c r="Q1321" s="1">
        <v>14</v>
      </c>
      <c r="R1321" s="1" t="str">
        <f>"فروش داخلي - وزارت راه - حوزه راه روستايي ساخت"</f>
        <v>فروش داخلي - وزارت راه - حوزه راه روستايي ساخت</v>
      </c>
      <c r="S1321" s="1" t="str">
        <f>"قرارداد فروش"</f>
        <v>قرارداد فروش</v>
      </c>
      <c r="T1321" s="1" t="str">
        <f>"ندارد"</f>
        <v>ندارد</v>
      </c>
      <c r="U1321" s="1" t="str">
        <f>"غلام نجفي سيامك‌‌‌‌‌‌(1881082)"</f>
        <v>غلام نجفي سيامك‌‌‌‌‌‌(1881082)</v>
      </c>
      <c r="V1321" s="1">
        <v>961400008</v>
      </c>
      <c r="W1321" s="1">
        <v>961400008</v>
      </c>
      <c r="X1321" s="1" t="str">
        <f>"1396485279"</f>
        <v>1396485279</v>
      </c>
      <c r="Y1321" s="1" t="str">
        <f>"96/03/13"</f>
        <v>96/03/13</v>
      </c>
      <c r="Z1321" s="1" t="str">
        <f>"10865/710"</f>
        <v>10865/710</v>
      </c>
      <c r="AA1321" s="1" t="str">
        <f>"راه وروستايي -ساخت"</f>
        <v>راه وروستايي -ساخت</v>
      </c>
      <c r="AB1321" s="1" t="str">
        <f>"96/03/09"</f>
        <v>96/03/09</v>
      </c>
      <c r="AC1321" s="1" t="str">
        <f>"كهكيلويه و بوير احمد"</f>
        <v>كهكيلويه و بوير احمد</v>
      </c>
      <c r="AD1321" s="1" t="str">
        <f>"96/03/13"</f>
        <v>96/03/13</v>
      </c>
      <c r="AE1321" s="1" t="str">
        <f>"اختتام"</f>
        <v>اختتام</v>
      </c>
      <c r="AF1321" s="1" t="str">
        <f>""</f>
        <v/>
      </c>
      <c r="AG1321" s="1" t="str">
        <f>""</f>
        <v/>
      </c>
      <c r="AH1321" s="1" t="str">
        <f>""</f>
        <v/>
      </c>
      <c r="AI1321" s="1" t="str">
        <f>""</f>
        <v/>
      </c>
      <c r="AJ1321" s="1" t="str">
        <f>""</f>
        <v/>
      </c>
      <c r="AK1321" s="1" t="str">
        <f>""</f>
        <v/>
      </c>
    </row>
    <row r="1322" spans="1:37">
      <c r="A1322" s="1">
        <v>300000</v>
      </c>
      <c r="B1322" s="1">
        <v>961700142</v>
      </c>
      <c r="C1322" s="1" t="str">
        <f>"تخليه كهگيلويه وبويراحمد-شهرستان چرام كارخانه آسفالت شهرداري چرام"</f>
        <v>تخليه كهگيلويه وبويراحمد-شهرستان چرام كارخانه آسفالت شهرداري چرام</v>
      </c>
      <c r="D1322" s="1">
        <v>9716</v>
      </c>
      <c r="E1322" s="1">
        <v>299680</v>
      </c>
      <c r="F1322" s="1">
        <v>96</v>
      </c>
      <c r="G1322" s="1">
        <v>320</v>
      </c>
      <c r="H1322" s="1" t="str">
        <f>"96/07/29"</f>
        <v>96/07/29</v>
      </c>
      <c r="I1322" s="1" t="str">
        <f>"كيلوگرم"</f>
        <v>كيلوگرم</v>
      </c>
      <c r="J1322" s="1" t="str">
        <f>"0000000093"</f>
        <v>0000000093</v>
      </c>
      <c r="K1322" s="1" t="str">
        <f>"قير  PG64-10"</f>
        <v>قير  PG64-10</v>
      </c>
      <c r="L1322" s="1">
        <v>100</v>
      </c>
      <c r="M1322" s="1" t="str">
        <f>"مخازن قير اصفهان"</f>
        <v>مخازن قير اصفهان</v>
      </c>
      <c r="N1322" s="1">
        <v>10526</v>
      </c>
      <c r="O1322" s="1">
        <v>50036856</v>
      </c>
      <c r="P1322" s="1" t="str">
        <f>"  رهاورد سازان مارون"</f>
        <v xml:space="preserve">  رهاورد سازان مارون</v>
      </c>
      <c r="Q1322" s="1">
        <v>17</v>
      </c>
      <c r="R1322" s="1" t="str">
        <f>"فروش داخلي تهران - وزارت راه - راه روستايي - روکش"</f>
        <v>فروش داخلي تهران - وزارت راه - راه روستايي - روکش</v>
      </c>
      <c r="S1322" s="1" t="str">
        <f>"قرارداد فروش"</f>
        <v>قرارداد فروش</v>
      </c>
      <c r="T1322" s="1" t="str">
        <f>"ندارد"</f>
        <v>ندارد</v>
      </c>
      <c r="U1322" s="1" t="str">
        <f>"غلام نجفي سيامك‌‌‌‌‌‌(1881082)"</f>
        <v>غلام نجفي سيامك‌‌‌‌‌‌(1881082)</v>
      </c>
      <c r="V1322" s="1">
        <v>961700142</v>
      </c>
      <c r="W1322" s="1">
        <v>961700142</v>
      </c>
      <c r="X1322" s="1" t="str">
        <f>"1396520119"</f>
        <v>1396520119</v>
      </c>
      <c r="Y1322" s="1" t="str">
        <f>"96/07/29"</f>
        <v>96/07/29</v>
      </c>
      <c r="Z1322" s="1" t="str">
        <f>"37019/710"</f>
        <v>37019/710</v>
      </c>
      <c r="AA1322" s="1" t="str">
        <f>"راه روستائي -روكش"</f>
        <v>راه روستائي -روكش</v>
      </c>
      <c r="AB1322" s="1" t="str">
        <f>"96/07/25"</f>
        <v>96/07/25</v>
      </c>
      <c r="AC1322" s="1" t="str">
        <f>"كهكيلويه و بوير احمد"</f>
        <v>كهكيلويه و بوير احمد</v>
      </c>
      <c r="AD1322" s="1" t="str">
        <f>"96/07/29"</f>
        <v>96/07/29</v>
      </c>
      <c r="AE1322" s="1" t="str">
        <f>"اختتام"</f>
        <v>اختتام</v>
      </c>
      <c r="AF1322" s="1" t="str">
        <f>""</f>
        <v/>
      </c>
      <c r="AG1322" s="1" t="str">
        <f>""</f>
        <v/>
      </c>
      <c r="AH1322" s="1" t="str">
        <f>""</f>
        <v/>
      </c>
      <c r="AI1322" s="1" t="str">
        <f>""</f>
        <v/>
      </c>
      <c r="AJ1322" s="1" t="str">
        <f>""</f>
        <v/>
      </c>
      <c r="AK1322" s="1" t="str">
        <f>""</f>
        <v/>
      </c>
    </row>
    <row r="1323" spans="1:37">
      <c r="A1323" s="1">
        <v>140000</v>
      </c>
      <c r="B1323" s="1">
        <v>966200620</v>
      </c>
      <c r="C1323" s="1" t="str">
        <f>"تخليه-گيلان-رودسر-ابنداي جاده ماچيان-هادي کياشهر-شرکت سيرودراه خزر"</f>
        <v>تخليه-گيلان-رودسر-ابنداي جاده ماچيان-هادي کياشهر-شرکت سيرودراه خزر</v>
      </c>
      <c r="D1323" s="1">
        <v>13600</v>
      </c>
      <c r="E1323" s="1">
        <v>139780</v>
      </c>
      <c r="F1323" s="1">
        <v>96</v>
      </c>
      <c r="G1323" s="1">
        <v>220</v>
      </c>
      <c r="H1323" s="1" t="str">
        <f>"96/12/09"</f>
        <v>96/12/09</v>
      </c>
      <c r="I1323" s="1" t="str">
        <f>"كيلوگرم"</f>
        <v>كيلوگرم</v>
      </c>
      <c r="J1323" s="1" t="str">
        <f>"0000000093"</f>
        <v>0000000093</v>
      </c>
      <c r="K1323" s="1" t="str">
        <f>"قير  PG64-10"</f>
        <v>قير  PG64-10</v>
      </c>
      <c r="L1323" s="1">
        <v>100</v>
      </c>
      <c r="M1323" s="1" t="str">
        <f>"مخازن قير اصفهان"</f>
        <v>مخازن قير اصفهان</v>
      </c>
      <c r="N1323" s="1">
        <v>10584</v>
      </c>
      <c r="O1323" s="1">
        <v>50038680</v>
      </c>
      <c r="P1323" s="1" t="str">
        <f>"  سيرودراه خزر"</f>
        <v xml:space="preserve">  سيرودراه خزر</v>
      </c>
      <c r="Q1323" s="1">
        <v>62</v>
      </c>
      <c r="R1323" s="1" t="str">
        <f>"فروش داخلي - سازمان بنيادمسكن انقلاب اسلامي"</f>
        <v>فروش داخلي - سازمان بنيادمسكن انقلاب اسلامي</v>
      </c>
      <c r="S1323" s="1" t="str">
        <f>"قرارداد فروش"</f>
        <v>قرارداد فروش</v>
      </c>
      <c r="T1323" s="1" t="str">
        <f>"ندارد"</f>
        <v>ندارد</v>
      </c>
      <c r="U1323" s="1" t="str">
        <f>"حاج صادقي باقر(1841027)"</f>
        <v>حاج صادقي باقر(1841027)</v>
      </c>
      <c r="V1323" s="1">
        <v>966200620</v>
      </c>
      <c r="W1323" s="1">
        <v>966200620</v>
      </c>
      <c r="X1323" s="1" t="str">
        <f>"1396551612"</f>
        <v>1396551612</v>
      </c>
      <c r="Y1323" s="1" t="str">
        <f>"96/12/09"</f>
        <v>96/12/09</v>
      </c>
      <c r="Z1323" s="1" t="str">
        <f>"55730/د"</f>
        <v>55730/د</v>
      </c>
      <c r="AA1323" s="1" t="str">
        <f>"بنيادمسكن انقلاب اسلامي"</f>
        <v>بنيادمسكن انقلاب اسلامي</v>
      </c>
      <c r="AB1323" s="1" t="str">
        <f>"96/12/08"</f>
        <v>96/12/08</v>
      </c>
      <c r="AC1323" s="1" t="str">
        <f>"استان گيلان"</f>
        <v>استان گيلان</v>
      </c>
      <c r="AD1323" s="1" t="str">
        <f>"96/12/09"</f>
        <v>96/12/09</v>
      </c>
      <c r="AE1323" s="1" t="str">
        <f>"اختتام"</f>
        <v>اختتام</v>
      </c>
      <c r="AF1323" s="1" t="str">
        <f>""</f>
        <v/>
      </c>
      <c r="AG1323" s="1" t="str">
        <f>""</f>
        <v/>
      </c>
      <c r="AH1323" s="1" t="str">
        <f>""</f>
        <v/>
      </c>
      <c r="AI1323" s="1" t="str">
        <f>""</f>
        <v/>
      </c>
      <c r="AJ1323" s="1" t="str">
        <f>""</f>
        <v/>
      </c>
      <c r="AK1323" s="1" t="str">
        <f>""</f>
        <v/>
      </c>
    </row>
    <row r="1324" spans="1:37">
      <c r="A1324" s="1">
        <v>468000</v>
      </c>
      <c r="B1324" s="1">
        <v>966200248</v>
      </c>
      <c r="C1324" s="1" t="str">
        <f>"تخليه - گيلان-رضوانشهر-پره سر-دينال چال -کوچه آزادگان"</f>
        <v>تخليه - گيلان-رضوانشهر-پره سر-دينال چال -کوچه آزادگان</v>
      </c>
      <c r="D1324" s="1">
        <v>9204</v>
      </c>
      <c r="E1324" s="1">
        <v>464960</v>
      </c>
      <c r="F1324" s="1">
        <v>96</v>
      </c>
      <c r="G1324" s="1">
        <v>3040</v>
      </c>
      <c r="H1324" s="1" t="str">
        <f>"96/06/26"</f>
        <v>96/06/26</v>
      </c>
      <c r="I1324" s="1" t="str">
        <f>"كيلوگرم"</f>
        <v>كيلوگرم</v>
      </c>
      <c r="J1324" s="1" t="str">
        <f>"0000000093"</f>
        <v>0000000093</v>
      </c>
      <c r="K1324" s="1" t="str">
        <f>"قير  PG64-10"</f>
        <v>قير  PG64-10</v>
      </c>
      <c r="L1324" s="1">
        <v>100</v>
      </c>
      <c r="M1324" s="1" t="str">
        <f>"مخازن قير اصفهان"</f>
        <v>مخازن قير اصفهان</v>
      </c>
      <c r="N1324" s="1">
        <v>11326</v>
      </c>
      <c r="O1324" s="1">
        <v>50036070</v>
      </c>
      <c r="P1324" s="1" t="str">
        <f>"  گيلسار پايا پي"</f>
        <v xml:space="preserve">  گيلسار پايا پي</v>
      </c>
      <c r="Q1324" s="1">
        <v>62</v>
      </c>
      <c r="R1324" s="1" t="str">
        <f>"فروش داخلي - سازمان بنيادمسكن انقلاب اسلامي"</f>
        <v>فروش داخلي - سازمان بنيادمسكن انقلاب اسلامي</v>
      </c>
      <c r="S1324" s="1" t="str">
        <f>"قرارداد فروش"</f>
        <v>قرارداد فروش</v>
      </c>
      <c r="T1324" s="1" t="str">
        <f>"ندارد"</f>
        <v>ندارد</v>
      </c>
      <c r="U1324" s="1" t="str">
        <f>"حاج صادقي باقر(1841027)"</f>
        <v>حاج صادقي باقر(1841027)</v>
      </c>
      <c r="V1324" s="1">
        <v>966200248</v>
      </c>
      <c r="W1324" s="1">
        <v>966200248</v>
      </c>
      <c r="X1324" s="1" t="str">
        <f>"1396512883"</f>
        <v>1396512883</v>
      </c>
      <c r="Y1324" s="1" t="str">
        <f>"96/06/26"</f>
        <v>96/06/26</v>
      </c>
      <c r="Z1324" s="1" t="str">
        <f>"27775/د"</f>
        <v>27775/د</v>
      </c>
      <c r="AA1324" s="1" t="str">
        <f>"بنيادمسكن انقلاب اسلامي"</f>
        <v>بنيادمسكن انقلاب اسلامي</v>
      </c>
      <c r="AB1324" s="1" t="str">
        <f>"96/06/25"</f>
        <v>96/06/25</v>
      </c>
      <c r="AC1324" s="1" t="str">
        <f>"استان گيلان"</f>
        <v>استان گيلان</v>
      </c>
      <c r="AD1324" s="1" t="str">
        <f>"96/06/26"</f>
        <v>96/06/26</v>
      </c>
      <c r="AE1324" s="1" t="str">
        <f>"اختتام"</f>
        <v>اختتام</v>
      </c>
      <c r="AF1324" s="1" t="str">
        <f>""</f>
        <v/>
      </c>
      <c r="AG1324" s="1" t="str">
        <f>""</f>
        <v/>
      </c>
      <c r="AH1324" s="1" t="str">
        <f>""</f>
        <v/>
      </c>
      <c r="AI1324" s="1" t="str">
        <f>""</f>
        <v/>
      </c>
      <c r="AJ1324" s="1" t="str">
        <f>""</f>
        <v/>
      </c>
      <c r="AK1324" s="1" t="str">
        <f>""</f>
        <v/>
      </c>
    </row>
    <row r="1325" spans="1:37">
      <c r="A1325" s="1">
        <v>641000</v>
      </c>
      <c r="B1325" s="1">
        <v>966200257</v>
      </c>
      <c r="C1325" s="1" t="str">
        <f>"تخليه - گيلان-رضوانشهر-پره سر-دينال چال -کوچه آزادگان"</f>
        <v>تخليه - گيلان-رضوانشهر-پره سر-دينال چال -کوچه آزادگان</v>
      </c>
      <c r="D1325" s="1">
        <v>9363</v>
      </c>
      <c r="E1325" s="1">
        <v>639440</v>
      </c>
      <c r="F1325" s="1">
        <v>96</v>
      </c>
      <c r="G1325" s="1">
        <v>1560</v>
      </c>
      <c r="H1325" s="1" t="str">
        <f>"96/07/05"</f>
        <v>96/07/05</v>
      </c>
      <c r="I1325" s="1" t="str">
        <f>"كيلوگرم"</f>
        <v>كيلوگرم</v>
      </c>
      <c r="J1325" s="1" t="str">
        <f>"0000000093"</f>
        <v>0000000093</v>
      </c>
      <c r="K1325" s="1" t="str">
        <f>"قير  PG64-10"</f>
        <v>قير  PG64-10</v>
      </c>
      <c r="L1325" s="1">
        <v>100</v>
      </c>
      <c r="M1325" s="1" t="str">
        <f>"مخازن قير اصفهان"</f>
        <v>مخازن قير اصفهان</v>
      </c>
      <c r="N1325" s="1">
        <v>11326</v>
      </c>
      <c r="O1325" s="1">
        <v>50036294</v>
      </c>
      <c r="P1325" s="1" t="str">
        <f>"  گيلسار پايا پي"</f>
        <v xml:space="preserve">  گيلسار پايا پي</v>
      </c>
      <c r="Q1325" s="1">
        <v>62</v>
      </c>
      <c r="R1325" s="1" t="str">
        <f>"فروش داخلي - سازمان بنيادمسكن انقلاب اسلامي"</f>
        <v>فروش داخلي - سازمان بنيادمسكن انقلاب اسلامي</v>
      </c>
      <c r="S1325" s="1" t="str">
        <f>"قرارداد فروش"</f>
        <v>قرارداد فروش</v>
      </c>
      <c r="T1325" s="1" t="str">
        <f>"ندارد"</f>
        <v>ندارد</v>
      </c>
      <c r="U1325" s="1" t="str">
        <f>"حاج صادقي باقر(1841027)"</f>
        <v>حاج صادقي باقر(1841027)</v>
      </c>
      <c r="V1325" s="1">
        <v>966200257</v>
      </c>
      <c r="W1325" s="1">
        <v>966200257</v>
      </c>
      <c r="X1325" s="1" t="str">
        <f>"1396514735"</f>
        <v>1396514735</v>
      </c>
      <c r="Y1325" s="1" t="str">
        <f>"96/07/05"</f>
        <v>96/07/05</v>
      </c>
      <c r="Z1325" s="1" t="str">
        <f>"29247/د"</f>
        <v>29247/د</v>
      </c>
      <c r="AA1325" s="1" t="str">
        <f>"بنيادمسكن انقلاب اسلامي"</f>
        <v>بنيادمسكن انقلاب اسلامي</v>
      </c>
      <c r="AB1325" s="1" t="str">
        <f>"96/07/02"</f>
        <v>96/07/02</v>
      </c>
      <c r="AC1325" s="1" t="str">
        <f>"استان گيلان"</f>
        <v>استان گيلان</v>
      </c>
      <c r="AD1325" s="1" t="str">
        <f>"96/07/04"</f>
        <v>96/07/04</v>
      </c>
      <c r="AE1325" s="1" t="str">
        <f>"اختتام"</f>
        <v>اختتام</v>
      </c>
      <c r="AF1325" s="1" t="str">
        <f>""</f>
        <v/>
      </c>
      <c r="AG1325" s="1" t="str">
        <f>""</f>
        <v/>
      </c>
      <c r="AH1325" s="1" t="str">
        <f>""</f>
        <v/>
      </c>
      <c r="AI1325" s="1" t="str">
        <f>""</f>
        <v/>
      </c>
      <c r="AJ1325" s="1" t="str">
        <f>""</f>
        <v/>
      </c>
      <c r="AK1325" s="1" t="str">
        <f>""</f>
        <v/>
      </c>
    </row>
    <row r="1326" spans="1:37">
      <c r="A1326" s="1">
        <v>200000</v>
      </c>
      <c r="B1326" s="1">
        <v>966200518</v>
      </c>
      <c r="C1326" s="1" t="str">
        <f>"تخليه - گيلان-رضوانشهر-پره سر-دينال چال -کوچه آزادگان"</f>
        <v>تخليه - گيلان-رضوانشهر-پره سر-دينال چال -کوچه آزادگان</v>
      </c>
      <c r="D1326" s="1">
        <v>13100</v>
      </c>
      <c r="E1326" s="1">
        <v>200000</v>
      </c>
      <c r="F1326" s="1">
        <v>96</v>
      </c>
      <c r="G1326" s="1">
        <v>0</v>
      </c>
      <c r="H1326" s="1" t="str">
        <f>"96/10/20"</f>
        <v>96/10/20</v>
      </c>
      <c r="I1326" s="1" t="str">
        <f>"كيلوگرم"</f>
        <v>كيلوگرم</v>
      </c>
      <c r="J1326" s="1" t="str">
        <f>"0000000093"</f>
        <v>0000000093</v>
      </c>
      <c r="K1326" s="1" t="str">
        <f>"قير  PG64-10"</f>
        <v>قير  PG64-10</v>
      </c>
      <c r="L1326" s="1">
        <v>100</v>
      </c>
      <c r="M1326" s="1" t="str">
        <f>"مخازن قير اصفهان"</f>
        <v>مخازن قير اصفهان</v>
      </c>
      <c r="N1326" s="1">
        <v>11326</v>
      </c>
      <c r="O1326" s="1">
        <v>50038120</v>
      </c>
      <c r="P1326" s="1" t="str">
        <f>"  گيلسار پايا پي"</f>
        <v xml:space="preserve">  گيلسار پايا پي</v>
      </c>
      <c r="Q1326" s="1">
        <v>62</v>
      </c>
      <c r="R1326" s="1" t="str">
        <f>"فروش داخلي - سازمان بنيادمسكن انقلاب اسلامي"</f>
        <v>فروش داخلي - سازمان بنيادمسكن انقلاب اسلامي</v>
      </c>
      <c r="S1326" s="1" t="str">
        <f>"قرارداد فروش"</f>
        <v>قرارداد فروش</v>
      </c>
      <c r="T1326" s="1" t="str">
        <f>"ندارد"</f>
        <v>ندارد</v>
      </c>
      <c r="U1326" s="1" t="str">
        <f>"حاج صادقي باقر(1841027)"</f>
        <v>حاج صادقي باقر(1841027)</v>
      </c>
      <c r="V1326" s="1">
        <v>966200518</v>
      </c>
      <c r="W1326" s="1">
        <v>966200518</v>
      </c>
      <c r="X1326" s="1" t="str">
        <f>"1396539512"</f>
        <v>1396539512</v>
      </c>
      <c r="Y1326" s="1" t="str">
        <f>"96/10/20"</f>
        <v>96/10/20</v>
      </c>
      <c r="Z1326" s="1" t="str">
        <f>"46752/د"</f>
        <v>46752/د</v>
      </c>
      <c r="AA1326" s="1" t="str">
        <f>"بنيادمسكن انقلاب اسلامي"</f>
        <v>بنيادمسكن انقلاب اسلامي</v>
      </c>
      <c r="AB1326" s="1" t="str">
        <f>"96/10/20"</f>
        <v>96/10/20</v>
      </c>
      <c r="AC1326" s="1" t="str">
        <f>"استان گيلان"</f>
        <v>استان گيلان</v>
      </c>
      <c r="AD1326" s="1" t="str">
        <f>"96/10/20"</f>
        <v>96/10/20</v>
      </c>
      <c r="AE1326" s="1" t="str">
        <f>"اختتام"</f>
        <v>اختتام</v>
      </c>
      <c r="AF1326" s="1" t="str">
        <f>""</f>
        <v/>
      </c>
      <c r="AG1326" s="1" t="str">
        <f>""</f>
        <v/>
      </c>
      <c r="AH1326" s="1" t="str">
        <f>""</f>
        <v/>
      </c>
      <c r="AI1326" s="1" t="str">
        <f>""</f>
        <v/>
      </c>
      <c r="AJ1326" s="1" t="str">
        <f>""</f>
        <v/>
      </c>
      <c r="AK1326" s="1" t="str">
        <f>""</f>
        <v/>
      </c>
    </row>
    <row r="1327" spans="1:37">
      <c r="A1327" s="1">
        <v>100000</v>
      </c>
      <c r="B1327" s="1">
        <v>966200528</v>
      </c>
      <c r="C1327" s="1" t="str">
        <f>"تخليه - گيلان-رضوانشهر-پره سر-دينال چال -کوچه آزادگان"</f>
        <v>تخليه - گيلان-رضوانشهر-پره سر-دينال چال -کوچه آزادگان</v>
      </c>
      <c r="D1327" s="1">
        <v>13100</v>
      </c>
      <c r="E1327" s="1">
        <v>99940</v>
      </c>
      <c r="F1327" s="1">
        <v>96</v>
      </c>
      <c r="G1327" s="1">
        <v>60</v>
      </c>
      <c r="H1327" s="1" t="str">
        <f>"96/10/23"</f>
        <v>96/10/23</v>
      </c>
      <c r="I1327" s="1" t="str">
        <f>"كيلوگرم"</f>
        <v>كيلوگرم</v>
      </c>
      <c r="J1327" s="1" t="str">
        <f>"0000000093"</f>
        <v>0000000093</v>
      </c>
      <c r="K1327" s="1" t="str">
        <f>"قير  PG64-10"</f>
        <v>قير  PG64-10</v>
      </c>
      <c r="L1327" s="1">
        <v>100</v>
      </c>
      <c r="M1327" s="1" t="str">
        <f>"مخازن قير اصفهان"</f>
        <v>مخازن قير اصفهان</v>
      </c>
      <c r="N1327" s="1">
        <v>11326</v>
      </c>
      <c r="O1327" s="1">
        <v>50038152</v>
      </c>
      <c r="P1327" s="1" t="str">
        <f>"  گيلسار پايا پي"</f>
        <v xml:space="preserve">  گيلسار پايا پي</v>
      </c>
      <c r="Q1327" s="1">
        <v>62</v>
      </c>
      <c r="R1327" s="1" t="str">
        <f>"فروش داخلي - سازمان بنيادمسكن انقلاب اسلامي"</f>
        <v>فروش داخلي - سازمان بنيادمسكن انقلاب اسلامي</v>
      </c>
      <c r="S1327" s="1" t="str">
        <f>"قرارداد فروش"</f>
        <v>قرارداد فروش</v>
      </c>
      <c r="T1327" s="1" t="str">
        <f>"ندارد"</f>
        <v>ندارد</v>
      </c>
      <c r="U1327" s="1" t="str">
        <f>"حاج صادقي باقر(1841027)"</f>
        <v>حاج صادقي باقر(1841027)</v>
      </c>
      <c r="V1327" s="1">
        <v>966200528</v>
      </c>
      <c r="W1327" s="1">
        <v>966200528</v>
      </c>
      <c r="X1327" s="1" t="str">
        <f>"1396539697"</f>
        <v>1396539697</v>
      </c>
      <c r="Y1327" s="1" t="str">
        <f>"96/10/23"</f>
        <v>96/10/23</v>
      </c>
      <c r="Z1327" s="1" t="str">
        <f>"47049/د"</f>
        <v>47049/د</v>
      </c>
      <c r="AA1327" s="1" t="str">
        <f>"بنيادمسكن انقلاب اسلامي"</f>
        <v>بنيادمسكن انقلاب اسلامي</v>
      </c>
      <c r="AB1327" s="1" t="str">
        <f>"96/10/23"</f>
        <v>96/10/23</v>
      </c>
      <c r="AC1327" s="1" t="str">
        <f>"استان گيلان"</f>
        <v>استان گيلان</v>
      </c>
      <c r="AD1327" s="1" t="str">
        <f>"96/10/23"</f>
        <v>96/10/23</v>
      </c>
      <c r="AE1327" s="1" t="str">
        <f>"اختتام"</f>
        <v>اختتام</v>
      </c>
      <c r="AF1327" s="1" t="str">
        <f>""</f>
        <v/>
      </c>
      <c r="AG1327" s="1" t="str">
        <f>""</f>
        <v/>
      </c>
      <c r="AH1327" s="1" t="str">
        <f>""</f>
        <v/>
      </c>
      <c r="AI1327" s="1" t="str">
        <f>""</f>
        <v/>
      </c>
      <c r="AJ1327" s="1" t="str">
        <f>""</f>
        <v/>
      </c>
      <c r="AK1327" s="1" t="str">
        <f>""</f>
        <v/>
      </c>
    </row>
    <row r="1328" spans="1:37">
      <c r="A1328" s="1">
        <v>309000</v>
      </c>
      <c r="B1328" s="1">
        <v>966200232</v>
      </c>
      <c r="C1328" s="1" t="str">
        <f>"تخليه - گيلان-تالش-ليسار-کارخانه آسفالت ايران پل"</f>
        <v>تخليه - گيلان-تالش-ليسار-کارخانه آسفالت ايران پل</v>
      </c>
      <c r="D1328" s="1">
        <v>9204</v>
      </c>
      <c r="E1328" s="1">
        <v>309000</v>
      </c>
      <c r="F1328" s="1">
        <v>96</v>
      </c>
      <c r="G1328" s="1">
        <v>0</v>
      </c>
      <c r="H1328" s="1" t="str">
        <f>"96/06/21"</f>
        <v>96/06/21</v>
      </c>
      <c r="I1328" s="1" t="str">
        <f>"كيلوگرم"</f>
        <v>كيلوگرم</v>
      </c>
      <c r="J1328" s="1" t="str">
        <f>"0000000093"</f>
        <v>0000000093</v>
      </c>
      <c r="K1328" s="1" t="str">
        <f>"قير  PG64-10"</f>
        <v>قير  PG64-10</v>
      </c>
      <c r="L1328" s="1">
        <v>100</v>
      </c>
      <c r="M1328" s="1" t="str">
        <f>"مخازن قير اصفهان"</f>
        <v>مخازن قير اصفهان</v>
      </c>
      <c r="N1328" s="1">
        <v>11384</v>
      </c>
      <c r="O1328" s="1">
        <v>50035983</v>
      </c>
      <c r="P1328" s="1" t="str">
        <f>"  سازه پايدار افلاک"</f>
        <v xml:space="preserve">  سازه پايدار افلاک</v>
      </c>
      <c r="Q1328" s="1">
        <v>62</v>
      </c>
      <c r="R1328" s="1" t="str">
        <f>"فروش داخلي - سازمان بنيادمسكن انقلاب اسلامي"</f>
        <v>فروش داخلي - سازمان بنيادمسكن انقلاب اسلامي</v>
      </c>
      <c r="S1328" s="1" t="str">
        <f>"قرارداد فروش"</f>
        <v>قرارداد فروش</v>
      </c>
      <c r="T1328" s="1" t="str">
        <f>"ندارد"</f>
        <v>ندارد</v>
      </c>
      <c r="U1328" s="1" t="str">
        <f>"هيزچي مرتضي(1841036)"</f>
        <v>هيزچي مرتضي(1841036)</v>
      </c>
      <c r="V1328" s="1">
        <v>966200232</v>
      </c>
      <c r="W1328" s="1">
        <v>966200232</v>
      </c>
      <c r="X1328" s="1" t="str">
        <f>"1396511623"</f>
        <v>1396511623</v>
      </c>
      <c r="Y1328" s="1" t="str">
        <f>"96/06/21"</f>
        <v>96/06/21</v>
      </c>
      <c r="Z1328" s="1" t="str">
        <f>"26731/د"</f>
        <v>26731/د</v>
      </c>
      <c r="AA1328" s="1" t="str">
        <f>"بنيادمسكن انقلاب اسلامي"</f>
        <v>بنيادمسكن انقلاب اسلامي</v>
      </c>
      <c r="AB1328" s="1" t="str">
        <f>"96/06/19"</f>
        <v>96/06/19</v>
      </c>
      <c r="AC1328" s="1" t="str">
        <f>"استان گيلان"</f>
        <v>استان گيلان</v>
      </c>
      <c r="AD1328" s="1" t="str">
        <f>"96/06/21"</f>
        <v>96/06/21</v>
      </c>
      <c r="AE1328" s="1" t="str">
        <f>"اختتام"</f>
        <v>اختتام</v>
      </c>
      <c r="AF1328" s="1" t="str">
        <f>""</f>
        <v/>
      </c>
      <c r="AG1328" s="1" t="str">
        <f>""</f>
        <v/>
      </c>
      <c r="AH1328" s="1" t="str">
        <f>""</f>
        <v/>
      </c>
      <c r="AI1328" s="1" t="str">
        <f>""</f>
        <v/>
      </c>
      <c r="AJ1328" s="1" t="str">
        <f>""</f>
        <v/>
      </c>
      <c r="AK1328" s="1" t="str">
        <f>""</f>
        <v/>
      </c>
    </row>
    <row r="1329" spans="1:37">
      <c r="A1329" s="1">
        <v>55000</v>
      </c>
      <c r="B1329" s="1">
        <v>966200509</v>
      </c>
      <c r="C1329" s="1" t="str">
        <f>"تخليه - گيلان - جاده رشت به تهران-جنب پايانه حمل و نقل-کارخانه آسفالت شهيدباهنر-شرکت سبک بناگيل"</f>
        <v>تخليه - گيلان - جاده رشت به تهران-جنب پايانه حمل و نقل-کارخانه آسفالت شهيدباهنر-شرکت سبک بناگيل</v>
      </c>
      <c r="D1329" s="1">
        <v>13100</v>
      </c>
      <c r="E1329" s="1">
        <v>55000</v>
      </c>
      <c r="F1329" s="1">
        <v>96</v>
      </c>
      <c r="G1329" s="1">
        <v>0</v>
      </c>
      <c r="H1329" s="1" t="str">
        <f>"96/10/18"</f>
        <v>96/10/18</v>
      </c>
      <c r="I1329" s="1" t="str">
        <f>"كيلوگرم"</f>
        <v>كيلوگرم</v>
      </c>
      <c r="J1329" s="1" t="str">
        <f>"0000000093"</f>
        <v>0000000093</v>
      </c>
      <c r="K1329" s="1" t="str">
        <f>"قير  PG64-10"</f>
        <v>قير  PG64-10</v>
      </c>
      <c r="L1329" s="1">
        <v>100</v>
      </c>
      <c r="M1329" s="1" t="str">
        <f>"مخازن قير اصفهان"</f>
        <v>مخازن قير اصفهان</v>
      </c>
      <c r="N1329" s="1">
        <v>11384</v>
      </c>
      <c r="O1329" s="1">
        <v>50038077</v>
      </c>
      <c r="P1329" s="1" t="str">
        <f>"  سازه پايدار افلاک"</f>
        <v xml:space="preserve">  سازه پايدار افلاک</v>
      </c>
      <c r="Q1329" s="1">
        <v>62</v>
      </c>
      <c r="R1329" s="1" t="str">
        <f>"فروش داخلي - سازمان بنيادمسكن انقلاب اسلامي"</f>
        <v>فروش داخلي - سازمان بنيادمسكن انقلاب اسلامي</v>
      </c>
      <c r="S1329" s="1" t="str">
        <f>"قرارداد فروش"</f>
        <v>قرارداد فروش</v>
      </c>
      <c r="T1329" s="1" t="str">
        <f>"ندارد"</f>
        <v>ندارد</v>
      </c>
      <c r="U1329" s="1" t="str">
        <f>"هيزچي مرتضي(1841036)"</f>
        <v>هيزچي مرتضي(1841036)</v>
      </c>
      <c r="V1329" s="1">
        <v>966200509</v>
      </c>
      <c r="W1329" s="1">
        <v>966200509</v>
      </c>
      <c r="X1329" s="1" t="str">
        <f>"1396538377"</f>
        <v>1396538377</v>
      </c>
      <c r="Y1329" s="1" t="str">
        <f>"96/10/18"</f>
        <v>96/10/18</v>
      </c>
      <c r="Z1329" s="1" t="str">
        <f>"46086/د"</f>
        <v>46086/د</v>
      </c>
      <c r="AA1329" s="1" t="str">
        <f>"بنيادمسكن انقلاب اسلامي"</f>
        <v>بنيادمسكن انقلاب اسلامي</v>
      </c>
      <c r="AB1329" s="1" t="str">
        <f>"96/10/17"</f>
        <v>96/10/17</v>
      </c>
      <c r="AC1329" s="1" t="str">
        <f>"استان گيلان"</f>
        <v>استان گيلان</v>
      </c>
      <c r="AD1329" s="1" t="str">
        <f>"96/10/18"</f>
        <v>96/10/18</v>
      </c>
      <c r="AE1329" s="1" t="str">
        <f>"اختتام"</f>
        <v>اختتام</v>
      </c>
      <c r="AF1329" s="1" t="str">
        <f>""</f>
        <v/>
      </c>
      <c r="AG1329" s="1" t="str">
        <f>""</f>
        <v/>
      </c>
      <c r="AH1329" s="1" t="str">
        <f>""</f>
        <v/>
      </c>
      <c r="AI1329" s="1" t="str">
        <f>""</f>
        <v/>
      </c>
      <c r="AJ1329" s="1" t="str">
        <f>""</f>
        <v/>
      </c>
      <c r="AK1329" s="1" t="str">
        <f>""</f>
        <v/>
      </c>
    </row>
    <row r="1330" spans="1:37">
      <c r="A1330" s="1">
        <v>240000</v>
      </c>
      <c r="B1330" s="1">
        <v>966200165</v>
      </c>
      <c r="C1330" s="1" t="str">
        <f>"تخليه - گيلان-املش-جنب پمپ بنزين-شرکت خصيل رانکوه"</f>
        <v>تخليه - گيلان-املش-جنب پمپ بنزين-شرکت خصيل رانکوه</v>
      </c>
      <c r="D1330" s="1">
        <v>8904</v>
      </c>
      <c r="E1330" s="1">
        <v>237160</v>
      </c>
      <c r="F1330" s="1">
        <v>96</v>
      </c>
      <c r="G1330" s="1">
        <v>2840</v>
      </c>
      <c r="H1330" s="1" t="str">
        <f>"96/05/09"</f>
        <v>96/05/09</v>
      </c>
      <c r="I1330" s="1" t="str">
        <f>"كيلوگرم"</f>
        <v>كيلوگرم</v>
      </c>
      <c r="J1330" s="1" t="str">
        <f>"0000000093"</f>
        <v>0000000093</v>
      </c>
      <c r="K1330" s="1" t="str">
        <f>"قير  PG64-10"</f>
        <v>قير  PG64-10</v>
      </c>
      <c r="L1330" s="1">
        <v>100</v>
      </c>
      <c r="M1330" s="1" t="str">
        <f>"مخازن قير اصفهان"</f>
        <v>مخازن قير اصفهان</v>
      </c>
      <c r="N1330" s="1">
        <v>11385</v>
      </c>
      <c r="O1330" s="1">
        <v>50035413</v>
      </c>
      <c r="P1330" s="1" t="str">
        <f>"  سروسازان خزر"</f>
        <v xml:space="preserve">  سروسازان خزر</v>
      </c>
      <c r="Q1330" s="1">
        <v>62</v>
      </c>
      <c r="R1330" s="1" t="str">
        <f>"فروش داخلي - سازمان بنيادمسكن انقلاب اسلامي"</f>
        <v>فروش داخلي - سازمان بنيادمسكن انقلاب اسلامي</v>
      </c>
      <c r="S1330" s="1" t="str">
        <f>"قرارداد فروش"</f>
        <v>قرارداد فروش</v>
      </c>
      <c r="T1330" s="1" t="str">
        <f>"ندارد"</f>
        <v>ندارد</v>
      </c>
      <c r="U1330" s="1" t="str">
        <f>"حاج صادقي باقر(1841027)"</f>
        <v>حاج صادقي باقر(1841027)</v>
      </c>
      <c r="V1330" s="1">
        <v>966200165</v>
      </c>
      <c r="W1330" s="1">
        <v>966200165</v>
      </c>
      <c r="X1330" s="1" t="str">
        <f>"1396500986"</f>
        <v>1396500986</v>
      </c>
      <c r="Y1330" s="1" t="str">
        <f>"96/05/09"</f>
        <v>96/05/09</v>
      </c>
      <c r="Z1330" s="1" t="str">
        <f>"18717/د"</f>
        <v>18717/د</v>
      </c>
      <c r="AA1330" s="1" t="str">
        <f>"بنيادمسكن انقلاب اسلامي"</f>
        <v>بنيادمسكن انقلاب اسلامي</v>
      </c>
      <c r="AB1330" s="1" t="str">
        <f>"96/05/07"</f>
        <v>96/05/07</v>
      </c>
      <c r="AC1330" s="1" t="str">
        <f>"استان گيلان"</f>
        <v>استان گيلان</v>
      </c>
      <c r="AD1330" s="1" t="str">
        <f>"96/05/08"</f>
        <v>96/05/08</v>
      </c>
      <c r="AE1330" s="1" t="str">
        <f>"اختتام"</f>
        <v>اختتام</v>
      </c>
      <c r="AF1330" s="1" t="str">
        <f>""</f>
        <v/>
      </c>
      <c r="AG1330" s="1" t="str">
        <f>""</f>
        <v/>
      </c>
      <c r="AH1330" s="1" t="str">
        <f>""</f>
        <v/>
      </c>
      <c r="AI1330" s="1" t="str">
        <f>""</f>
        <v/>
      </c>
      <c r="AJ1330" s="1" t="str">
        <f>""</f>
        <v/>
      </c>
      <c r="AK1330" s="1" t="str">
        <f>""</f>
        <v/>
      </c>
    </row>
    <row r="1331" spans="1:37">
      <c r="A1331" s="1">
        <v>193000</v>
      </c>
      <c r="B1331" s="1">
        <v>966200696</v>
      </c>
      <c r="C1331" s="1" t="str">
        <f>"تخليه - گيلان-لوشان-ورودي شهرک صنعتي لوشان-کارخانه آسفالت باروساز شمال"</f>
        <v>تخليه - گيلان-لوشان-ورودي شهرک صنعتي لوشان-کارخانه آسفالت باروساز شمال</v>
      </c>
      <c r="D1331" s="1">
        <v>13600</v>
      </c>
      <c r="E1331" s="1">
        <v>192280</v>
      </c>
      <c r="F1331" s="1">
        <v>96</v>
      </c>
      <c r="G1331" s="1">
        <v>720</v>
      </c>
      <c r="H1331" s="1" t="str">
        <f>"96/12/23"</f>
        <v>96/12/23</v>
      </c>
      <c r="I1331" s="1" t="str">
        <f>"كيلوگرم"</f>
        <v>كيلوگرم</v>
      </c>
      <c r="J1331" s="1" t="str">
        <f>"0000000093"</f>
        <v>0000000093</v>
      </c>
      <c r="K1331" s="1" t="str">
        <f>"قير  PG64-10"</f>
        <v>قير  PG64-10</v>
      </c>
      <c r="L1331" s="1">
        <v>100</v>
      </c>
      <c r="M1331" s="1" t="str">
        <f>"مخازن قير اصفهان"</f>
        <v>مخازن قير اصفهان</v>
      </c>
      <c r="N1331" s="1">
        <v>11460</v>
      </c>
      <c r="O1331" s="1">
        <v>50038972</v>
      </c>
      <c r="P1331" s="1" t="str">
        <f>"  بارو ساز شمال"</f>
        <v xml:space="preserve">  بارو ساز شمال</v>
      </c>
      <c r="Q1331" s="1">
        <v>62</v>
      </c>
      <c r="R1331" s="1" t="str">
        <f>"فروش داخلي - سازمان بنيادمسكن انقلاب اسلامي"</f>
        <v>فروش داخلي - سازمان بنيادمسكن انقلاب اسلامي</v>
      </c>
      <c r="S1331" s="1" t="str">
        <f>"قرارداد فروش"</f>
        <v>قرارداد فروش</v>
      </c>
      <c r="T1331" s="1" t="str">
        <f>"ندارد"</f>
        <v>ندارد</v>
      </c>
      <c r="U1331" s="1" t="str">
        <f>"شيشه بر كريم(1841016)"</f>
        <v>شيشه بر كريم(1841016)</v>
      </c>
      <c r="V1331" s="1">
        <v>966200696</v>
      </c>
      <c r="W1331" s="1">
        <v>966200696</v>
      </c>
      <c r="X1331" s="1" t="str">
        <f>"1396554555"</f>
        <v>1396554555</v>
      </c>
      <c r="Y1331" s="1" t="str">
        <f>"96/12/23"</f>
        <v>96/12/23</v>
      </c>
      <c r="Z1331" s="1" t="str">
        <f>"58827/د"</f>
        <v>58827/د</v>
      </c>
      <c r="AA1331" s="1" t="str">
        <f>"بنيادمسكن انقلاب اسلامي"</f>
        <v>بنيادمسكن انقلاب اسلامي</v>
      </c>
      <c r="AB1331" s="1" t="str">
        <f>"96/12/22"</f>
        <v>96/12/22</v>
      </c>
      <c r="AC1331" s="1" t="str">
        <f>"استان گيلان"</f>
        <v>استان گيلان</v>
      </c>
      <c r="AD1331" s="1" t="str">
        <f>"96/12/22"</f>
        <v>96/12/22</v>
      </c>
      <c r="AE1331" s="1" t="str">
        <f>"اختتام"</f>
        <v>اختتام</v>
      </c>
      <c r="AF1331" s="1" t="str">
        <f>""</f>
        <v/>
      </c>
      <c r="AG1331" s="1" t="str">
        <f>""</f>
        <v/>
      </c>
      <c r="AH1331" s="1" t="str">
        <f>""</f>
        <v/>
      </c>
      <c r="AI1331" s="1" t="str">
        <f>""</f>
        <v/>
      </c>
      <c r="AJ1331" s="1" t="str">
        <f>""</f>
        <v/>
      </c>
      <c r="AK1331" s="1" t="str">
        <f>""</f>
        <v/>
      </c>
    </row>
    <row r="1332" spans="1:37">
      <c r="A1332" s="1">
        <v>243000</v>
      </c>
      <c r="B1332" s="1">
        <v>966200267</v>
      </c>
      <c r="C1332" s="1" t="str">
        <f>"تخليه - گيلان-رضوانشهر-پره سر-ديناچال-خ آزادگان-کارخانه آسفالت گيلسار پاياپي"</f>
        <v>تخليه - گيلان-رضوانشهر-پره سر-ديناچال-خ آزادگان-کارخانه آسفالت گيلسار پاياپي</v>
      </c>
      <c r="D1332" s="1">
        <v>9363</v>
      </c>
      <c r="E1332" s="1">
        <v>240000</v>
      </c>
      <c r="F1332" s="1">
        <v>96</v>
      </c>
      <c r="G1332" s="1">
        <v>3000</v>
      </c>
      <c r="H1332" s="1" t="str">
        <f>"96/07/06"</f>
        <v>96/07/06</v>
      </c>
      <c r="I1332" s="1" t="str">
        <f>"كيلوگرم"</f>
        <v>كيلوگرم</v>
      </c>
      <c r="J1332" s="1" t="str">
        <f>"0000000093"</f>
        <v>0000000093</v>
      </c>
      <c r="K1332" s="1" t="str">
        <f>"قير  PG64-10"</f>
        <v>قير  PG64-10</v>
      </c>
      <c r="L1332" s="1">
        <v>100</v>
      </c>
      <c r="M1332" s="1" t="str">
        <f>"مخازن قير اصفهان"</f>
        <v>مخازن قير اصفهان</v>
      </c>
      <c r="N1332" s="1">
        <v>11462</v>
      </c>
      <c r="O1332" s="1">
        <v>50036433</v>
      </c>
      <c r="P1332" s="1" t="str">
        <f>"  برزه کوه راه"</f>
        <v xml:space="preserve">  برزه کوه راه</v>
      </c>
      <c r="Q1332" s="1">
        <v>62</v>
      </c>
      <c r="R1332" s="1" t="str">
        <f>"فروش داخلي - سازمان بنيادمسكن انقلاب اسلامي"</f>
        <v>فروش داخلي - سازمان بنيادمسكن انقلاب اسلامي</v>
      </c>
      <c r="S1332" s="1" t="str">
        <f>"قرارداد فروش"</f>
        <v>قرارداد فروش</v>
      </c>
      <c r="T1332" s="1" t="str">
        <f>"ندارد"</f>
        <v>ندارد</v>
      </c>
      <c r="U1332" s="1" t="str">
        <f>"حاج صادقي باقر(1841027)"</f>
        <v>حاج صادقي باقر(1841027)</v>
      </c>
      <c r="V1332" s="1">
        <v>966200267</v>
      </c>
      <c r="W1332" s="1">
        <v>966200267</v>
      </c>
      <c r="X1332" s="1" t="str">
        <f>"1396514775"</f>
        <v>1396514775</v>
      </c>
      <c r="Y1332" s="1" t="str">
        <f>"96/07/06"</f>
        <v>96/07/06</v>
      </c>
      <c r="Z1332" s="1" t="str">
        <f>"29275/د"</f>
        <v>29275/د</v>
      </c>
      <c r="AA1332" s="1" t="str">
        <f>"بنيادمسكن انقلاب اسلامي"</f>
        <v>بنيادمسكن انقلاب اسلامي</v>
      </c>
      <c r="AB1332" s="1" t="str">
        <f>"96/07/02"</f>
        <v>96/07/02</v>
      </c>
      <c r="AC1332" s="1" t="str">
        <f>"استان گيلان"</f>
        <v>استان گيلان</v>
      </c>
      <c r="AD1332" s="1" t="str">
        <f>"96/07/04"</f>
        <v>96/07/04</v>
      </c>
      <c r="AE1332" s="1" t="str">
        <f>"اختتام"</f>
        <v>اختتام</v>
      </c>
      <c r="AF1332" s="1" t="str">
        <f>""</f>
        <v/>
      </c>
      <c r="AG1332" s="1" t="str">
        <f>""</f>
        <v/>
      </c>
      <c r="AH1332" s="1" t="str">
        <f>""</f>
        <v/>
      </c>
      <c r="AI1332" s="1" t="str">
        <f>""</f>
        <v/>
      </c>
      <c r="AJ1332" s="1" t="str">
        <f>""</f>
        <v/>
      </c>
      <c r="AK1332" s="1" t="str">
        <f>""</f>
        <v/>
      </c>
    </row>
    <row r="1333" spans="1:37">
      <c r="A1333" s="1">
        <v>451000</v>
      </c>
      <c r="B1333" s="1">
        <v>966200280</v>
      </c>
      <c r="C1333" s="1" t="str">
        <f>"تخليه - گيلان-رضوانشهر-پرده سر-خ آزادگان-کارخانه آسفالت هشت نم"</f>
        <v>تخليه - گيلان-رضوانشهر-پرده سر-خ آزادگان-کارخانه آسفالت هشت نم</v>
      </c>
      <c r="D1333" s="1">
        <v>9363</v>
      </c>
      <c r="E1333" s="1">
        <v>450040</v>
      </c>
      <c r="F1333" s="1">
        <v>96</v>
      </c>
      <c r="G1333" s="1">
        <v>960</v>
      </c>
      <c r="H1333" s="1" t="str">
        <f>"96/07/10"</f>
        <v>96/07/10</v>
      </c>
      <c r="I1333" s="1" t="str">
        <f>"كيلوگرم"</f>
        <v>كيلوگرم</v>
      </c>
      <c r="J1333" s="1" t="str">
        <f>"0000000093"</f>
        <v>0000000093</v>
      </c>
      <c r="K1333" s="1" t="str">
        <f>"قير  PG64-10"</f>
        <v>قير  PG64-10</v>
      </c>
      <c r="L1333" s="1">
        <v>100</v>
      </c>
      <c r="M1333" s="1" t="str">
        <f>"مخازن قير اصفهان"</f>
        <v>مخازن قير اصفهان</v>
      </c>
      <c r="N1333" s="1">
        <v>11464</v>
      </c>
      <c r="O1333" s="1">
        <v>50036492</v>
      </c>
      <c r="P1333" s="1" t="str">
        <f>"  طرح صنعت سازه گيلان"</f>
        <v xml:space="preserve">  طرح صنعت سازه گيلان</v>
      </c>
      <c r="Q1333" s="1">
        <v>62</v>
      </c>
      <c r="R1333" s="1" t="str">
        <f>"فروش داخلي - سازمان بنيادمسكن انقلاب اسلامي"</f>
        <v>فروش داخلي - سازمان بنيادمسكن انقلاب اسلامي</v>
      </c>
      <c r="S1333" s="1" t="str">
        <f>"قرارداد فروش"</f>
        <v>قرارداد فروش</v>
      </c>
      <c r="T1333" s="1" t="str">
        <f>"ندارد"</f>
        <v>ندارد</v>
      </c>
      <c r="U1333" s="1" t="str">
        <f>"حاج صادقي باقر(1841027)"</f>
        <v>حاج صادقي باقر(1841027)</v>
      </c>
      <c r="V1333" s="1">
        <v>966200280</v>
      </c>
      <c r="W1333" s="1">
        <v>966200280</v>
      </c>
      <c r="X1333" s="1" t="str">
        <f>"1396515522"</f>
        <v>1396515522</v>
      </c>
      <c r="Y1333" s="1" t="str">
        <f>"96/07/10"</f>
        <v>96/07/10</v>
      </c>
      <c r="Z1333" s="1" t="str">
        <f>"29689/د"</f>
        <v>29689/د</v>
      </c>
      <c r="AA1333" s="1" t="str">
        <f>"بنيادمسكن انقلاب اسلامي"</f>
        <v>بنيادمسكن انقلاب اسلامي</v>
      </c>
      <c r="AB1333" s="1" t="str">
        <f>"96/07/04"</f>
        <v>96/07/04</v>
      </c>
      <c r="AC1333" s="1" t="str">
        <f>"استان گيلان"</f>
        <v>استان گيلان</v>
      </c>
      <c r="AD1333" s="1" t="str">
        <f>"96/07/05"</f>
        <v>96/07/05</v>
      </c>
      <c r="AE1333" s="1" t="str">
        <f>"اختتام"</f>
        <v>اختتام</v>
      </c>
      <c r="AF1333" s="1" t="str">
        <f>""</f>
        <v/>
      </c>
      <c r="AG1333" s="1" t="str">
        <f>""</f>
        <v/>
      </c>
      <c r="AH1333" s="1" t="str">
        <f>""</f>
        <v/>
      </c>
      <c r="AI1333" s="1" t="str">
        <f>""</f>
        <v/>
      </c>
      <c r="AJ1333" s="1" t="str">
        <f>""</f>
        <v/>
      </c>
      <c r="AK1333" s="1" t="str">
        <f>""</f>
        <v/>
      </c>
    </row>
    <row r="1334" spans="1:37">
      <c r="A1334" s="1">
        <v>604000</v>
      </c>
      <c r="B1334" s="1">
        <v>966200278</v>
      </c>
      <c r="C1334" s="1" t="str">
        <f>"تخليه- گيلان- تالش-ليسار-کارخانه آسفالت ايران پل"</f>
        <v>تخليه- گيلان- تالش-ليسار-کارخانه آسفالت ايران پل</v>
      </c>
      <c r="D1334" s="1">
        <v>9363</v>
      </c>
      <c r="E1334" s="1">
        <v>604000</v>
      </c>
      <c r="F1334" s="1">
        <v>96</v>
      </c>
      <c r="G1334" s="1">
        <v>0</v>
      </c>
      <c r="H1334" s="1" t="str">
        <f>"96/07/10"</f>
        <v>96/07/10</v>
      </c>
      <c r="I1334" s="1" t="str">
        <f>"كيلوگرم"</f>
        <v>كيلوگرم</v>
      </c>
      <c r="J1334" s="1" t="str">
        <f>"0000000093"</f>
        <v>0000000093</v>
      </c>
      <c r="K1334" s="1" t="str">
        <f>"قير  PG64-10"</f>
        <v>قير  PG64-10</v>
      </c>
      <c r="L1334" s="1">
        <v>100</v>
      </c>
      <c r="M1334" s="1" t="str">
        <f>"مخازن قير اصفهان"</f>
        <v>مخازن قير اصفهان</v>
      </c>
      <c r="N1334" s="1">
        <v>11465</v>
      </c>
      <c r="O1334" s="1">
        <v>50036490</v>
      </c>
      <c r="P1334" s="1" t="str">
        <f>"  مشاهير انرژي سپنتا"</f>
        <v xml:space="preserve">  مشاهير انرژي سپنتا</v>
      </c>
      <c r="Q1334" s="1">
        <v>62</v>
      </c>
      <c r="R1334" s="1" t="str">
        <f>"فروش داخلي - سازمان بنيادمسكن انقلاب اسلامي"</f>
        <v>فروش داخلي - سازمان بنيادمسكن انقلاب اسلامي</v>
      </c>
      <c r="S1334" s="1" t="str">
        <f>"قرارداد فروش"</f>
        <v>قرارداد فروش</v>
      </c>
      <c r="T1334" s="1" t="str">
        <f>"ندارد"</f>
        <v>ندارد</v>
      </c>
      <c r="U1334" s="1" t="str">
        <f>"هيزچي مرتضي(1841036)"</f>
        <v>هيزچي مرتضي(1841036)</v>
      </c>
      <c r="V1334" s="1">
        <v>966200278</v>
      </c>
      <c r="W1334" s="1">
        <v>966200278</v>
      </c>
      <c r="X1334" s="1" t="str">
        <f>"1396515522"</f>
        <v>1396515522</v>
      </c>
      <c r="Y1334" s="1" t="str">
        <f>"96/07/10"</f>
        <v>96/07/10</v>
      </c>
      <c r="Z1334" s="1" t="str">
        <f>"29692/د"</f>
        <v>29692/د</v>
      </c>
      <c r="AA1334" s="1" t="str">
        <f>"بنيادمسكن انقلاب اسلامي"</f>
        <v>بنيادمسكن انقلاب اسلامي</v>
      </c>
      <c r="AB1334" s="1" t="str">
        <f>"96/07/04"</f>
        <v>96/07/04</v>
      </c>
      <c r="AC1334" s="1" t="str">
        <f>"استان گيلان"</f>
        <v>استان گيلان</v>
      </c>
      <c r="AD1334" s="1" t="str">
        <f>"96/07/05"</f>
        <v>96/07/05</v>
      </c>
      <c r="AE1334" s="1" t="str">
        <f>"اختتام"</f>
        <v>اختتام</v>
      </c>
      <c r="AF1334" s="1" t="str">
        <f>""</f>
        <v/>
      </c>
      <c r="AG1334" s="1" t="str">
        <f>""</f>
        <v/>
      </c>
      <c r="AH1334" s="1" t="str">
        <f>""</f>
        <v/>
      </c>
      <c r="AI1334" s="1" t="str">
        <f>""</f>
        <v/>
      </c>
      <c r="AJ1334" s="1" t="str">
        <f>""</f>
        <v/>
      </c>
      <c r="AK1334" s="1" t="str">
        <f>""</f>
        <v/>
      </c>
    </row>
    <row r="1335" spans="1:37">
      <c r="A1335" s="1">
        <v>91000</v>
      </c>
      <c r="B1335" s="1">
        <v>966200529</v>
      </c>
      <c r="C1335" s="1" t="str">
        <f>"تخليه-گيلان - رشت - جاده جيرده - شهرک صنعتي سپيدرود-کارخانه آسفالت آقاي اشکان نصيري"</f>
        <v>تخليه-گيلان - رشت - جاده جيرده - شهرک صنعتي سپيدرود-کارخانه آسفالت آقاي اشکان نصيري</v>
      </c>
      <c r="D1335" s="1">
        <v>13100</v>
      </c>
      <c r="E1335" s="1">
        <v>91000</v>
      </c>
      <c r="F1335" s="1">
        <v>96</v>
      </c>
      <c r="G1335" s="1">
        <v>0</v>
      </c>
      <c r="H1335" s="1" t="str">
        <f>"96/10/23"</f>
        <v>96/10/23</v>
      </c>
      <c r="I1335" s="1" t="str">
        <f>"كيلوگرم"</f>
        <v>كيلوگرم</v>
      </c>
      <c r="J1335" s="1" t="str">
        <f>"0000000093"</f>
        <v>0000000093</v>
      </c>
      <c r="K1335" s="1" t="str">
        <f>"قير  PG64-10"</f>
        <v>قير  PG64-10</v>
      </c>
      <c r="L1335" s="1">
        <v>100</v>
      </c>
      <c r="M1335" s="1" t="str">
        <f>"مخازن قير اصفهان"</f>
        <v>مخازن قير اصفهان</v>
      </c>
      <c r="N1335" s="1">
        <v>11526</v>
      </c>
      <c r="O1335" s="1">
        <v>50038153</v>
      </c>
      <c r="P1335" s="1" t="str">
        <f>"  بنياد مسکن انقلاب اسلامي گيلان"</f>
        <v xml:space="preserve">  بنياد مسکن انقلاب اسلامي گيلان</v>
      </c>
      <c r="Q1335" s="1">
        <v>62</v>
      </c>
      <c r="R1335" s="1" t="str">
        <f>"فروش داخلي - سازمان بنيادمسكن انقلاب اسلامي"</f>
        <v>فروش داخلي - سازمان بنيادمسكن انقلاب اسلامي</v>
      </c>
      <c r="S1335" s="1" t="str">
        <f>"قرارداد فروش"</f>
        <v>قرارداد فروش</v>
      </c>
      <c r="T1335" s="1" t="str">
        <f>"ندارد"</f>
        <v>ندارد</v>
      </c>
      <c r="U1335" s="1" t="str">
        <f>"شيشه بر كريم(1841016)"</f>
        <v>شيشه بر كريم(1841016)</v>
      </c>
      <c r="V1335" s="1">
        <v>966200529</v>
      </c>
      <c r="W1335" s="1">
        <v>966200529</v>
      </c>
      <c r="X1335" s="1" t="str">
        <f>"1396539697"</f>
        <v>1396539697</v>
      </c>
      <c r="Y1335" s="1" t="str">
        <f>"96/10/23"</f>
        <v>96/10/23</v>
      </c>
      <c r="Z1335" s="1" t="str">
        <f>"47047/د"</f>
        <v>47047/د</v>
      </c>
      <c r="AA1335" s="1" t="str">
        <f>"بنيادمسكن انقلاب اسلامي"</f>
        <v>بنيادمسكن انقلاب اسلامي</v>
      </c>
      <c r="AB1335" s="1" t="str">
        <f>"96/10/23"</f>
        <v>96/10/23</v>
      </c>
      <c r="AC1335" s="1" t="str">
        <f>"استان گيلان"</f>
        <v>استان گيلان</v>
      </c>
      <c r="AD1335" s="1" t="str">
        <f>"96/10/23"</f>
        <v>96/10/23</v>
      </c>
      <c r="AE1335" s="1" t="str">
        <f>"اختتام"</f>
        <v>اختتام</v>
      </c>
      <c r="AF1335" s="1" t="str">
        <f>""</f>
        <v/>
      </c>
      <c r="AG1335" s="1" t="str">
        <f>""</f>
        <v/>
      </c>
      <c r="AH1335" s="1" t="str">
        <f>""</f>
        <v/>
      </c>
      <c r="AI1335" s="1" t="str">
        <f>""</f>
        <v/>
      </c>
      <c r="AJ1335" s="1" t="str">
        <f>""</f>
        <v/>
      </c>
      <c r="AK1335" s="1" t="str">
        <f>""</f>
        <v/>
      </c>
    </row>
    <row r="1336" spans="1:37">
      <c r="A1336" s="1">
        <v>420000</v>
      </c>
      <c r="B1336" s="1">
        <v>966200544</v>
      </c>
      <c r="C1336" s="1" t="str">
        <f>"تخليه - گيلان- تالش-ليسار-کارخانه آسفالت ايران پل"</f>
        <v>تخليه - گيلان- تالش-ليسار-کارخانه آسفالت ايران پل</v>
      </c>
      <c r="D1336" s="1">
        <v>13450</v>
      </c>
      <c r="E1336" s="1">
        <v>418380</v>
      </c>
      <c r="F1336" s="1">
        <v>96</v>
      </c>
      <c r="G1336" s="1">
        <v>1620</v>
      </c>
      <c r="H1336" s="1" t="str">
        <f>"96/11/03"</f>
        <v>96/11/03</v>
      </c>
      <c r="I1336" s="1" t="str">
        <f>"كيلوگرم"</f>
        <v>كيلوگرم</v>
      </c>
      <c r="J1336" s="1" t="str">
        <f>"0000000093"</f>
        <v>0000000093</v>
      </c>
      <c r="K1336" s="1" t="str">
        <f>"قير  PG64-10"</f>
        <v>قير  PG64-10</v>
      </c>
      <c r="L1336" s="1">
        <v>100</v>
      </c>
      <c r="M1336" s="1" t="str">
        <f>"مخازن قير اصفهان"</f>
        <v>مخازن قير اصفهان</v>
      </c>
      <c r="N1336" s="1">
        <v>11530</v>
      </c>
      <c r="O1336" s="1">
        <v>50038269</v>
      </c>
      <c r="P1336" s="1" t="str">
        <f>"  ژئوسازان بين الملل"</f>
        <v xml:space="preserve">  ژئوسازان بين الملل</v>
      </c>
      <c r="Q1336" s="1">
        <v>62</v>
      </c>
      <c r="R1336" s="1" t="str">
        <f>"فروش داخلي - سازمان بنيادمسكن انقلاب اسلامي"</f>
        <v>فروش داخلي - سازمان بنيادمسكن انقلاب اسلامي</v>
      </c>
      <c r="S1336" s="1" t="str">
        <f>"قرارداد فروش"</f>
        <v>قرارداد فروش</v>
      </c>
      <c r="T1336" s="1" t="str">
        <f>"ندارد"</f>
        <v>ندارد</v>
      </c>
      <c r="U1336" s="1" t="str">
        <f>"هيزچي مرتضي(1841036)"</f>
        <v>هيزچي مرتضي(1841036)</v>
      </c>
      <c r="V1336" s="1">
        <v>966200544</v>
      </c>
      <c r="W1336" s="1">
        <v>966200544</v>
      </c>
      <c r="X1336" s="1" t="str">
        <f>"1396542496"</f>
        <v>1396542496</v>
      </c>
      <c r="Y1336" s="1" t="str">
        <f>"96/11/03"</f>
        <v>96/11/03</v>
      </c>
      <c r="Z1336" s="1" t="str">
        <f>"48183/د"</f>
        <v>48183/د</v>
      </c>
      <c r="AA1336" s="1" t="str">
        <f>"بنيادمسكن انقلاب اسلامي"</f>
        <v>بنيادمسكن انقلاب اسلامي</v>
      </c>
      <c r="AB1336" s="1" t="str">
        <f>"96/10/27"</f>
        <v>96/10/27</v>
      </c>
      <c r="AC1336" s="1" t="str">
        <f>"استان گيلان"</f>
        <v>استان گيلان</v>
      </c>
      <c r="AD1336" s="1" t="str">
        <f>"96/11/03"</f>
        <v>96/11/03</v>
      </c>
      <c r="AE1336" s="1" t="str">
        <f>"اختتام"</f>
        <v>اختتام</v>
      </c>
      <c r="AF1336" s="1" t="str">
        <f>""</f>
        <v/>
      </c>
      <c r="AG1336" s="1" t="str">
        <f>""</f>
        <v/>
      </c>
      <c r="AH1336" s="1" t="str">
        <f>""</f>
        <v/>
      </c>
      <c r="AI1336" s="1" t="str">
        <f>""</f>
        <v/>
      </c>
      <c r="AJ1336" s="1" t="str">
        <f>""</f>
        <v/>
      </c>
      <c r="AK1336" s="1" t="str">
        <f>""</f>
        <v/>
      </c>
    </row>
    <row r="1337" spans="1:37">
      <c r="A1337" s="1">
        <v>43000</v>
      </c>
      <c r="B1337" s="1">
        <v>966200621</v>
      </c>
      <c r="C1337" s="1" t="str">
        <f>"تخليه-گيلان-لاهيجان-جاده ازيرم-جنب زندان لاهيجان"</f>
        <v>تخليه-گيلان-لاهيجان-جاده ازيرم-جنب زندان لاهيجان</v>
      </c>
      <c r="D1337" s="1">
        <v>13600</v>
      </c>
      <c r="E1337" s="1">
        <v>42820</v>
      </c>
      <c r="F1337" s="1">
        <v>96</v>
      </c>
      <c r="G1337" s="1">
        <v>180</v>
      </c>
      <c r="H1337" s="1" t="str">
        <f>"96/12/09"</f>
        <v>96/12/09</v>
      </c>
      <c r="I1337" s="1" t="str">
        <f>"كيلوگرم"</f>
        <v>كيلوگرم</v>
      </c>
      <c r="J1337" s="1" t="str">
        <f>"0000000093"</f>
        <v>0000000093</v>
      </c>
      <c r="K1337" s="1" t="str">
        <f>"قير  PG64-10"</f>
        <v>قير  PG64-10</v>
      </c>
      <c r="L1337" s="1">
        <v>100</v>
      </c>
      <c r="M1337" s="1" t="str">
        <f>"مخازن قير اصفهان"</f>
        <v>مخازن قير اصفهان</v>
      </c>
      <c r="N1337" s="1">
        <v>11541</v>
      </c>
      <c r="O1337" s="1">
        <v>50038682</v>
      </c>
      <c r="P1337" s="1" t="str">
        <f>"  گيتي سازان پويا"</f>
        <v xml:space="preserve">  گيتي سازان پويا</v>
      </c>
      <c r="Q1337" s="1">
        <v>62</v>
      </c>
      <c r="R1337" s="1" t="str">
        <f>"فروش داخلي - سازمان بنيادمسكن انقلاب اسلامي"</f>
        <v>فروش داخلي - سازمان بنيادمسكن انقلاب اسلامي</v>
      </c>
      <c r="S1337" s="1" t="str">
        <f>"قرارداد فروش"</f>
        <v>قرارداد فروش</v>
      </c>
      <c r="T1337" s="1" t="str">
        <f>"ندارد"</f>
        <v>ندارد</v>
      </c>
      <c r="U1337" s="1" t="str">
        <f>"هيزچي مرتضي(1841036)"</f>
        <v>هيزچي مرتضي(1841036)</v>
      </c>
      <c r="V1337" s="1">
        <v>966200621</v>
      </c>
      <c r="W1337" s="1">
        <v>966200621</v>
      </c>
      <c r="X1337" s="1" t="str">
        <f>"1396551612"</f>
        <v>1396551612</v>
      </c>
      <c r="Y1337" s="1" t="str">
        <f>"96/12/09"</f>
        <v>96/12/09</v>
      </c>
      <c r="Z1337" s="1" t="str">
        <f>"55672/د"</f>
        <v>55672/د</v>
      </c>
      <c r="AA1337" s="1" t="str">
        <f>"بنيادمسكن انقلاب اسلامي"</f>
        <v>بنيادمسكن انقلاب اسلامي</v>
      </c>
      <c r="AB1337" s="1" t="str">
        <f>"96/12/08"</f>
        <v>96/12/08</v>
      </c>
      <c r="AC1337" s="1" t="str">
        <f>"استان گيلان"</f>
        <v>استان گيلان</v>
      </c>
      <c r="AD1337" s="1" t="str">
        <f>"96/12/09"</f>
        <v>96/12/09</v>
      </c>
      <c r="AE1337" s="1" t="str">
        <f>"اختتام"</f>
        <v>اختتام</v>
      </c>
      <c r="AF1337" s="1" t="str">
        <f>""</f>
        <v/>
      </c>
      <c r="AG1337" s="1" t="str">
        <f>""</f>
        <v/>
      </c>
      <c r="AH1337" s="1" t="str">
        <f>""</f>
        <v/>
      </c>
      <c r="AI1337" s="1" t="str">
        <f>""</f>
        <v/>
      </c>
      <c r="AJ1337" s="1" t="str">
        <f>""</f>
        <v/>
      </c>
      <c r="AK1337" s="1" t="str">
        <f>""</f>
        <v/>
      </c>
    </row>
    <row r="1338" spans="1:37">
      <c r="A1338" s="1">
        <v>250000</v>
      </c>
      <c r="B1338" s="1">
        <v>961700212</v>
      </c>
      <c r="C1338" s="1" t="str">
        <f>"تخليه فارس شهرستان فساپشت پليس راه كارخانه آسفالت هامن گسترشهر"</f>
        <v>تخليه فارس شهرستان فساپشت پليس راه كارخانه آسفالت هامن گسترشهر</v>
      </c>
      <c r="D1338" s="1">
        <v>15810</v>
      </c>
      <c r="E1338" s="1">
        <v>249660</v>
      </c>
      <c r="F1338" s="1">
        <v>96</v>
      </c>
      <c r="G1338" s="1">
        <v>340</v>
      </c>
      <c r="H1338" s="1" t="str">
        <f>"96/12/24"</f>
        <v>96/12/24</v>
      </c>
      <c r="I1338" s="1" t="str">
        <f>"كيلوگرم"</f>
        <v>كيلوگرم</v>
      </c>
      <c r="J1338" s="1" t="str">
        <f>"0000000093"</f>
        <v>0000000093</v>
      </c>
      <c r="K1338" s="1" t="str">
        <f>"قير  PG64-10"</f>
        <v>قير  PG64-10</v>
      </c>
      <c r="L1338" s="1">
        <v>100</v>
      </c>
      <c r="M1338" s="1" t="str">
        <f>"مخازن قير اصفهان"</f>
        <v>مخازن قير اصفهان</v>
      </c>
      <c r="N1338" s="1">
        <v>11550</v>
      </c>
      <c r="O1338" s="1">
        <v>50038987</v>
      </c>
      <c r="P1338" s="1" t="str">
        <f>"  كولدوفور"</f>
        <v xml:space="preserve">  كولدوفور</v>
      </c>
      <c r="Q1338" s="1">
        <v>17</v>
      </c>
      <c r="R1338" s="1" t="str">
        <f>"فروش داخلي تهران - وزارت راه - راه روستايي - روکش"</f>
        <v>فروش داخلي تهران - وزارت راه - راه روستايي - روکش</v>
      </c>
      <c r="S1338" s="1" t="str">
        <f>"قرارداد فروش"</f>
        <v>قرارداد فروش</v>
      </c>
      <c r="T1338" s="1" t="str">
        <f>"ندارد"</f>
        <v>ندارد</v>
      </c>
      <c r="U1338" s="1" t="str">
        <f>"اژدري مسعود(4844011)"</f>
        <v>اژدري مسعود(4844011)</v>
      </c>
      <c r="V1338" s="1">
        <v>961700212</v>
      </c>
      <c r="W1338" s="1">
        <v>961700212</v>
      </c>
      <c r="X1338" s="1" t="str">
        <f>"1396554112"</f>
        <v>1396554112</v>
      </c>
      <c r="Y1338" s="1" t="str">
        <f>"96/12/24"</f>
        <v>96/12/24</v>
      </c>
      <c r="Z1338" s="1" t="str">
        <f>"48691/710"</f>
        <v>48691/710</v>
      </c>
      <c r="AA1338" s="1" t="str">
        <f>"راه روستائي -روكش"</f>
        <v>راه روستائي -روكش</v>
      </c>
      <c r="AB1338" s="1" t="str">
        <f>"96/09/22"</f>
        <v>96/09/22</v>
      </c>
      <c r="AC1338" s="1" t="str">
        <f>"استان فارس"</f>
        <v>استان فارس</v>
      </c>
      <c r="AD1338" s="1" t="str">
        <f>"96/12/21"</f>
        <v>96/12/21</v>
      </c>
      <c r="AE1338" s="1" t="str">
        <f>"اختتام"</f>
        <v>اختتام</v>
      </c>
      <c r="AF1338" s="1" t="str">
        <f>""</f>
        <v/>
      </c>
      <c r="AG1338" s="1" t="str">
        <f>""</f>
        <v/>
      </c>
      <c r="AH1338" s="1" t="str">
        <f>""</f>
        <v/>
      </c>
      <c r="AI1338" s="1" t="str">
        <f>""</f>
        <v/>
      </c>
      <c r="AJ1338" s="1" t="str">
        <f>""</f>
        <v/>
      </c>
      <c r="AK1338" s="1" t="str">
        <f>""</f>
        <v/>
      </c>
    </row>
    <row r="1339" spans="1:37">
      <c r="A1339" s="1">
        <v>1000000</v>
      </c>
      <c r="B1339" s="1">
        <v>961800033</v>
      </c>
      <c r="C1339" s="1" t="str">
        <f>"تخليه -زاهدان -كارگاه ساختماني پاريز"</f>
        <v>تخليه -زاهدان -كارگاه ساختماني پاريز</v>
      </c>
      <c r="D1339" s="1">
        <v>13270</v>
      </c>
      <c r="E1339" s="1">
        <v>998640</v>
      </c>
      <c r="F1339" s="1">
        <v>96</v>
      </c>
      <c r="G1339" s="1">
        <v>1360</v>
      </c>
      <c r="H1339" s="1" t="str">
        <f>"96/06/05"</f>
        <v>96/06/05</v>
      </c>
      <c r="I1339" s="1" t="str">
        <f>"كيلوگرم"</f>
        <v>كيلوگرم</v>
      </c>
      <c r="J1339" s="1" t="str">
        <f>"0000000094"</f>
        <v>0000000094</v>
      </c>
      <c r="K1339" s="1" t="str">
        <f>"قير  PG70-10"</f>
        <v>قير  PG70-10</v>
      </c>
      <c r="L1339" s="1">
        <v>100</v>
      </c>
      <c r="M1339" s="1" t="str">
        <f>"مخازن قير اصفهان"</f>
        <v>مخازن قير اصفهان</v>
      </c>
      <c r="N1339" s="1">
        <v>8224</v>
      </c>
      <c r="O1339" s="1">
        <v>50035812</v>
      </c>
      <c r="P1339" s="1" t="str">
        <f>"  ساختماني پاريز"</f>
        <v xml:space="preserve">  ساختماني پاريز</v>
      </c>
      <c r="Q1339" s="1">
        <v>18</v>
      </c>
      <c r="R1339" s="1" t="str">
        <f>"فروش داخلي تهران - وزارت راه - شرکت ساخت و توسعه راهها"</f>
        <v>فروش داخلي تهران - وزارت راه - شرکت ساخت و توسعه راهها</v>
      </c>
      <c r="S1339" s="1" t="str">
        <f>"قرارداد فروش"</f>
        <v>قرارداد فروش</v>
      </c>
      <c r="T1339" s="1" t="str">
        <f>"ندارد"</f>
        <v>ندارد</v>
      </c>
      <c r="U1339" s="1" t="str">
        <f>"ميرحسيني چاپارحقيقت كرمان(4844008)"</f>
        <v>ميرحسيني چاپارحقيقت كرمان(4844008)</v>
      </c>
      <c r="V1339" s="1">
        <v>961800033</v>
      </c>
      <c r="W1339" s="1">
        <v>961800033</v>
      </c>
      <c r="X1339" s="1" t="str">
        <f>"1396508152"</f>
        <v>1396508152</v>
      </c>
      <c r="Y1339" s="1" t="str">
        <f>"96/06/05"</f>
        <v>96/06/05</v>
      </c>
      <c r="Z1339" s="1" t="str">
        <f>"25842/710"</f>
        <v>25842/710</v>
      </c>
      <c r="AA1339" s="1" t="str">
        <f>"شركت  ساخت وتوسعه راهها"</f>
        <v>شركت  ساخت وتوسعه راهها</v>
      </c>
      <c r="AB1339" s="1" t="str">
        <f>"96/05/28"</f>
        <v>96/05/28</v>
      </c>
      <c r="AC1339" s="1" t="str">
        <f>"استان سيستان بلوچستان"</f>
        <v>استان سيستان بلوچستان</v>
      </c>
      <c r="AD1339" s="1" t="str">
        <f>"96/06/05"</f>
        <v>96/06/05</v>
      </c>
      <c r="AE1339" s="1" t="str">
        <f>"اختتام"</f>
        <v>اختتام</v>
      </c>
      <c r="AF1339" s="1" t="str">
        <f>""</f>
        <v/>
      </c>
      <c r="AG1339" s="1" t="str">
        <f>""</f>
        <v/>
      </c>
      <c r="AH1339" s="1" t="str">
        <f>""</f>
        <v/>
      </c>
      <c r="AI1339" s="1" t="str">
        <f>""</f>
        <v/>
      </c>
      <c r="AJ1339" s="1" t="str">
        <f>""</f>
        <v/>
      </c>
      <c r="AK1339" s="1" t="str">
        <f>""</f>
        <v/>
      </c>
    </row>
    <row r="1340" spans="1:37">
      <c r="A1340" s="1">
        <v>1000000</v>
      </c>
      <c r="B1340" s="1">
        <v>961600028</v>
      </c>
      <c r="C1340" s="1" t="str">
        <f>"تخليه شهرستان جاسك كارخانه آسفالت شماره 3شركت عمران سازه كاشيگري"</f>
        <v>تخليه شهرستان جاسك كارخانه آسفالت شماره 3شركت عمران سازه كاشيگري</v>
      </c>
      <c r="D1340" s="1">
        <v>16750</v>
      </c>
      <c r="E1340" s="1">
        <v>1000000</v>
      </c>
      <c r="F1340" s="1">
        <v>96</v>
      </c>
      <c r="G1340" s="1">
        <v>0</v>
      </c>
      <c r="H1340" s="1" t="str">
        <f>"96/12/24"</f>
        <v>96/12/24</v>
      </c>
      <c r="I1340" s="1" t="str">
        <f>"كيلوگرم"</f>
        <v>كيلوگرم</v>
      </c>
      <c r="J1340" s="1" t="str">
        <f>"0000000094"</f>
        <v>0000000094</v>
      </c>
      <c r="K1340" s="1" t="str">
        <f>"قير  PG70-10"</f>
        <v>قير  PG70-10</v>
      </c>
      <c r="L1340" s="1">
        <v>100</v>
      </c>
      <c r="M1340" s="1" t="str">
        <f>"مخازن قير اصفهان"</f>
        <v>مخازن قير اصفهان</v>
      </c>
      <c r="N1340" s="1">
        <v>9459</v>
      </c>
      <c r="O1340" s="1">
        <v>50038992</v>
      </c>
      <c r="P1340" s="1" t="str">
        <f>"  عمران سازه كاشيگري"</f>
        <v xml:space="preserve">  عمران سازه كاشيگري</v>
      </c>
      <c r="Q1340" s="1">
        <v>16</v>
      </c>
      <c r="R1340" s="1" t="str">
        <f>"فروش داخلي تهران - وزارت راه - معاونت اقتصاد"</f>
        <v>فروش داخلي تهران - وزارت راه - معاونت اقتصاد</v>
      </c>
      <c r="S1340" s="1" t="str">
        <f>"قرارداد فروش"</f>
        <v>قرارداد فروش</v>
      </c>
      <c r="T1340" s="1" t="str">
        <f>"ندارد"</f>
        <v>ندارد</v>
      </c>
      <c r="U1340" s="1" t="str">
        <f>"حاصليان ترابرجنوب مرتضي حاصلي (4844006)"</f>
        <v>حاصليان ترابرجنوب مرتضي حاصلي (4844006)</v>
      </c>
      <c r="V1340" s="1">
        <v>961600028</v>
      </c>
      <c r="W1340" s="1">
        <v>961600028</v>
      </c>
      <c r="X1340" s="1" t="str">
        <f>"1396555243"</f>
        <v>1396555243</v>
      </c>
      <c r="Y1340" s="1" t="str">
        <f>"96/12/24"</f>
        <v>96/12/24</v>
      </c>
      <c r="Z1340" s="1" t="str">
        <f>"299139/710"</f>
        <v>299139/710</v>
      </c>
      <c r="AA1340" s="1" t="str">
        <f>"معاونت اقتصادوزارت راه وشهرسازي"</f>
        <v>معاونت اقتصادوزارت راه وشهرسازي</v>
      </c>
      <c r="AB1340" s="1" t="str">
        <f>"96/12/21"</f>
        <v>96/12/21</v>
      </c>
      <c r="AC1340" s="1" t="str">
        <f>"استان هرمزگان"</f>
        <v>استان هرمزگان</v>
      </c>
      <c r="AD1340" s="1" t="str">
        <f>"96/12/23"</f>
        <v>96/12/23</v>
      </c>
      <c r="AE1340" s="1" t="str">
        <f>"اختتام"</f>
        <v>اختتام</v>
      </c>
      <c r="AF1340" s="1" t="str">
        <f>""</f>
        <v/>
      </c>
      <c r="AG1340" s="1" t="str">
        <f>""</f>
        <v/>
      </c>
      <c r="AH1340" s="1" t="str">
        <f>""</f>
        <v/>
      </c>
      <c r="AI1340" s="1" t="str">
        <f>""</f>
        <v/>
      </c>
      <c r="AJ1340" s="1" t="str">
        <f>""</f>
        <v/>
      </c>
      <c r="AK1340" s="1" t="str">
        <f>""</f>
        <v/>
      </c>
    </row>
    <row r="1341" spans="1:37">
      <c r="A1341" s="1">
        <v>318000</v>
      </c>
      <c r="B1341" s="1">
        <v>966200632</v>
      </c>
      <c r="C1341" s="1" t="str">
        <f>"تخليه -سيستان وبلوچستان -هامون شهرمحمدآباد-كيلومتر5روستاي شهرك مير-كارخانه آسفالت برادران طباطبائي"</f>
        <v>تخليه -سيستان وبلوچستان -هامون شهرمحمدآباد-كيلومتر5روستاي شهرك مير-كارخانه آسفالت برادران طباطبائي</v>
      </c>
      <c r="D1341" s="1">
        <v>14000</v>
      </c>
      <c r="E1341" s="1">
        <v>317340</v>
      </c>
      <c r="F1341" s="1">
        <v>96</v>
      </c>
      <c r="G1341" s="1">
        <v>660</v>
      </c>
      <c r="H1341" s="1" t="str">
        <f>"96/12/14"</f>
        <v>96/12/14</v>
      </c>
      <c r="I1341" s="1" t="str">
        <f>"كيلوگرم"</f>
        <v>كيلوگرم</v>
      </c>
      <c r="J1341" s="1" t="str">
        <f>"0000000094"</f>
        <v>0000000094</v>
      </c>
      <c r="K1341" s="1" t="str">
        <f>"قير  PG70-10"</f>
        <v>قير  PG70-10</v>
      </c>
      <c r="L1341" s="1">
        <v>100</v>
      </c>
      <c r="M1341" s="1" t="str">
        <f>"مخازن قير اصفهان"</f>
        <v>مخازن قير اصفهان</v>
      </c>
      <c r="N1341" s="1">
        <v>10421</v>
      </c>
      <c r="O1341" s="1">
        <v>50038753</v>
      </c>
      <c r="P1341" s="1" t="str">
        <f>"  تعاوني راه وساختمان  3136سيستان سازه زابل"</f>
        <v xml:space="preserve">  تعاوني راه وساختمان  3136سيستان سازه زابل</v>
      </c>
      <c r="Q1341" s="1">
        <v>62</v>
      </c>
      <c r="R1341" s="1" t="str">
        <f>"فروش داخلي - سازمان بنيادمسكن انقلاب اسلامي"</f>
        <v>فروش داخلي - سازمان بنيادمسكن انقلاب اسلامي</v>
      </c>
      <c r="S1341" s="1" t="str">
        <f>"قرارداد فروش"</f>
        <v>قرارداد فروش</v>
      </c>
      <c r="T1341" s="1" t="str">
        <f>"ندارد"</f>
        <v>ندارد</v>
      </c>
      <c r="U1341" s="1" t="str">
        <f>"پورباقري ترابر (4914036)"</f>
        <v>پورباقري ترابر (4914036)</v>
      </c>
      <c r="V1341" s="1">
        <v>966200632</v>
      </c>
      <c r="W1341" s="1">
        <v>966200632</v>
      </c>
      <c r="X1341" s="1" t="str">
        <f>"1396552264"</f>
        <v>1396552264</v>
      </c>
      <c r="Y1341" s="1" t="str">
        <f>"96/12/14"</f>
        <v>96/12/14</v>
      </c>
      <c r="Z1341" s="1" t="str">
        <f>"56665/د"</f>
        <v>56665/د</v>
      </c>
      <c r="AA1341" s="1" t="str">
        <f>"بنيادمسكن انقلاب اسلامي"</f>
        <v>بنيادمسكن انقلاب اسلامي</v>
      </c>
      <c r="AB1341" s="1" t="str">
        <f>"96/12/13"</f>
        <v>96/12/13</v>
      </c>
      <c r="AC1341" s="1" t="str">
        <f>"استان سيستان بلوچستان"</f>
        <v>استان سيستان بلوچستان</v>
      </c>
      <c r="AD1341" s="1" t="str">
        <f>"96/12/14"</f>
        <v>96/12/14</v>
      </c>
      <c r="AE1341" s="1" t="str">
        <f>"اختتام"</f>
        <v>اختتام</v>
      </c>
      <c r="AF1341" s="1" t="str">
        <f>""</f>
        <v/>
      </c>
      <c r="AG1341" s="1" t="str">
        <f>""</f>
        <v/>
      </c>
      <c r="AH1341" s="1" t="str">
        <f>""</f>
        <v/>
      </c>
      <c r="AI1341" s="1" t="str">
        <f>""</f>
        <v/>
      </c>
      <c r="AJ1341" s="1" t="str">
        <f>""</f>
        <v/>
      </c>
      <c r="AK1341" s="1" t="str">
        <f>""</f>
        <v/>
      </c>
    </row>
    <row r="1342" spans="1:37">
      <c r="A1342" s="1">
        <v>110000</v>
      </c>
      <c r="B1342" s="1">
        <v>966200327</v>
      </c>
      <c r="C1342" s="1" t="str">
        <f>"تخليه ايلام آبدانان روستاي ماهوته كارخانه آسفالت شركت شناشيل سازان آبدانان"</f>
        <v>تخليه ايلام آبدانان روستاي ماهوته كارخانه آسفالت شركت شناشيل سازان آبدانان</v>
      </c>
      <c r="D1342" s="1">
        <v>9663</v>
      </c>
      <c r="E1342" s="1">
        <v>109240</v>
      </c>
      <c r="F1342" s="1">
        <v>96</v>
      </c>
      <c r="G1342" s="1">
        <v>760</v>
      </c>
      <c r="H1342" s="1" t="str">
        <f>"96/07/24"</f>
        <v>96/07/24</v>
      </c>
      <c r="I1342" s="1" t="str">
        <f>"كيلوگرم"</f>
        <v>كيلوگرم</v>
      </c>
      <c r="J1342" s="1" t="str">
        <f>"0000000094"</f>
        <v>0000000094</v>
      </c>
      <c r="K1342" s="1" t="str">
        <f>"قير  PG70-10"</f>
        <v>قير  PG70-10</v>
      </c>
      <c r="L1342" s="1">
        <v>100</v>
      </c>
      <c r="M1342" s="1" t="str">
        <f>"مخازن قير اصفهان"</f>
        <v>مخازن قير اصفهان</v>
      </c>
      <c r="N1342" s="1">
        <v>10693</v>
      </c>
      <c r="O1342" s="1">
        <v>50036757</v>
      </c>
      <c r="P1342" s="1" t="str">
        <f>"  شناشيل سازان آبدانان"</f>
        <v xml:space="preserve">  شناشيل سازان آبدانان</v>
      </c>
      <c r="Q1342" s="1">
        <v>62</v>
      </c>
      <c r="R1342" s="1" t="str">
        <f>"فروش داخلي - سازمان بنيادمسكن انقلاب اسلامي"</f>
        <v>فروش داخلي - سازمان بنيادمسكن انقلاب اسلامي</v>
      </c>
      <c r="S1342" s="1" t="str">
        <f>"قرارداد فروش"</f>
        <v>قرارداد فروش</v>
      </c>
      <c r="T1342" s="1" t="str">
        <f>"ندارد"</f>
        <v>ندارد</v>
      </c>
      <c r="U1342" s="1" t="str">
        <f>"عظيمي محمد(2842015)"</f>
        <v>عظيمي محمد(2842015)</v>
      </c>
      <c r="V1342" s="1">
        <v>966200327</v>
      </c>
      <c r="W1342" s="1">
        <v>966200327</v>
      </c>
      <c r="X1342" s="1" t="str">
        <f>"1396518916"</f>
        <v>1396518916</v>
      </c>
      <c r="Y1342" s="1" t="str">
        <f>"96/07/24"</f>
        <v>96/07/24</v>
      </c>
      <c r="Z1342" s="1" t="str">
        <f>"32894/د"</f>
        <v>32894/د</v>
      </c>
      <c r="AA1342" s="1" t="str">
        <f>"بنيادمسكن انقلاب اسلامي"</f>
        <v>بنيادمسكن انقلاب اسلامي</v>
      </c>
      <c r="AB1342" s="1" t="str">
        <f>"96/07/24"</f>
        <v>96/07/24</v>
      </c>
      <c r="AC1342" s="1" t="str">
        <f>"استان ايلام"</f>
        <v>استان ايلام</v>
      </c>
      <c r="AD1342" s="1" t="str">
        <f>"96/07/24"</f>
        <v>96/07/24</v>
      </c>
      <c r="AE1342" s="1" t="str">
        <f>"اختتام"</f>
        <v>اختتام</v>
      </c>
      <c r="AF1342" s="1" t="str">
        <f>""</f>
        <v/>
      </c>
      <c r="AG1342" s="1" t="str">
        <f>""</f>
        <v/>
      </c>
      <c r="AH1342" s="1" t="str">
        <f>""</f>
        <v/>
      </c>
      <c r="AI1342" s="1" t="str">
        <f>""</f>
        <v/>
      </c>
      <c r="AJ1342" s="1" t="str">
        <f>""</f>
        <v/>
      </c>
      <c r="AK1342" s="1" t="str">
        <f>""</f>
        <v/>
      </c>
    </row>
    <row r="1343" spans="1:37">
      <c r="A1343" s="1">
        <v>140000</v>
      </c>
      <c r="B1343" s="1">
        <v>961700165</v>
      </c>
      <c r="C1343" s="1" t="str">
        <f>"تخليه -جنوب استان كرمان -جيرفت -دانشگاه آزاد-كمربندي به طرف كهنوج -روبروي مدرسه استثنائي -كارخانه آسفالت نگين صحت جيرفت"</f>
        <v>تخليه -جنوب استان كرمان -جيرفت -دانشگاه آزاد-كمربندي به طرف كهنوج -روبروي مدرسه استثنائي -كارخانه آسفالت نگين صحت جيرفت</v>
      </c>
      <c r="D1343" s="1">
        <v>13400</v>
      </c>
      <c r="E1343" s="1">
        <v>139220</v>
      </c>
      <c r="F1343" s="1">
        <v>96</v>
      </c>
      <c r="G1343" s="1">
        <v>780</v>
      </c>
      <c r="H1343" s="1" t="str">
        <f>"96/09/25"</f>
        <v>96/09/25</v>
      </c>
      <c r="I1343" s="1" t="str">
        <f>"كيلوگرم"</f>
        <v>كيلوگرم</v>
      </c>
      <c r="J1343" s="1" t="str">
        <f>"0000000094"</f>
        <v>0000000094</v>
      </c>
      <c r="K1343" s="1" t="str">
        <f>"قير  PG70-10"</f>
        <v>قير  PG70-10</v>
      </c>
      <c r="L1343" s="1">
        <v>100</v>
      </c>
      <c r="M1343" s="1" t="str">
        <f>"مخازن قير اصفهان"</f>
        <v>مخازن قير اصفهان</v>
      </c>
      <c r="N1343" s="1">
        <v>10717</v>
      </c>
      <c r="O1343" s="1">
        <v>50037851</v>
      </c>
      <c r="P1343" s="1" t="str">
        <f>"  تعاوني نگين صحت جيرفت"</f>
        <v xml:space="preserve">  تعاوني نگين صحت جيرفت</v>
      </c>
      <c r="Q1343" s="1">
        <v>17</v>
      </c>
      <c r="R1343" s="1" t="str">
        <f>"فروش داخلي تهران - وزارت راه - راه روستايي - روکش"</f>
        <v>فروش داخلي تهران - وزارت راه - راه روستايي - روکش</v>
      </c>
      <c r="S1343" s="1" t="str">
        <f>"قرارداد فروش"</f>
        <v>قرارداد فروش</v>
      </c>
      <c r="T1343" s="1" t="str">
        <f>"ندارد"</f>
        <v>ندارد</v>
      </c>
      <c r="U1343" s="1" t="str">
        <f>"دشت بشي پودنگ وبرادران رضا(4844014)"</f>
        <v>دشت بشي پودنگ وبرادران رضا(4844014)</v>
      </c>
      <c r="V1343" s="1">
        <v>961700165</v>
      </c>
      <c r="W1343" s="1">
        <v>961700165</v>
      </c>
      <c r="X1343" s="1" t="str">
        <f>"1396532732"</f>
        <v>1396532732</v>
      </c>
      <c r="Y1343" s="1" t="str">
        <f>"96/09/25"</f>
        <v>96/09/25</v>
      </c>
      <c r="Z1343" s="1" t="str">
        <f>"47423/710"</f>
        <v>47423/710</v>
      </c>
      <c r="AA1343" s="1" t="str">
        <f>"راه روستائي -روكش"</f>
        <v>راه روستائي -روكش</v>
      </c>
      <c r="AB1343" s="1" t="str">
        <f>"96/09/14"</f>
        <v>96/09/14</v>
      </c>
      <c r="AC1343" s="1" t="str">
        <f>"جنوب کرمان"</f>
        <v>جنوب کرمان</v>
      </c>
      <c r="AD1343" s="1" t="str">
        <f>"96/09/25"</f>
        <v>96/09/25</v>
      </c>
      <c r="AE1343" s="1" t="str">
        <f>"اختتام"</f>
        <v>اختتام</v>
      </c>
      <c r="AF1343" s="1" t="str">
        <f>""</f>
        <v/>
      </c>
      <c r="AG1343" s="1" t="str">
        <f>""</f>
        <v/>
      </c>
      <c r="AH1343" s="1" t="str">
        <f>""</f>
        <v/>
      </c>
      <c r="AI1343" s="1" t="str">
        <f>""</f>
        <v/>
      </c>
      <c r="AJ1343" s="1" t="str">
        <f>""</f>
        <v/>
      </c>
      <c r="AK1343" s="1" t="str">
        <f>""</f>
        <v/>
      </c>
    </row>
    <row r="1344" spans="1:37">
      <c r="A1344" s="1">
        <v>1000000</v>
      </c>
      <c r="B1344" s="1">
        <v>961800031</v>
      </c>
      <c r="C1344" s="1" t="str">
        <f>"تخليه سيستان وبلوچستان زابل كيلومتر45جاده زابل نهبندان كارخانه آسفالت موسسه نصر"</f>
        <v>تخليه سيستان وبلوچستان زابل كيلومتر45جاده زابل نهبندان كارخانه آسفالت موسسه نصر</v>
      </c>
      <c r="D1344" s="1">
        <v>13400</v>
      </c>
      <c r="E1344" s="1">
        <v>997860</v>
      </c>
      <c r="F1344" s="1">
        <v>96</v>
      </c>
      <c r="G1344" s="1">
        <v>2140</v>
      </c>
      <c r="H1344" s="1" t="str">
        <f>"96/05/29"</f>
        <v>96/05/29</v>
      </c>
      <c r="I1344" s="1" t="str">
        <f>"كيلوگرم"</f>
        <v>كيلوگرم</v>
      </c>
      <c r="J1344" s="1" t="str">
        <f>"0000000094"</f>
        <v>0000000094</v>
      </c>
      <c r="K1344" s="1" t="str">
        <f>"قير  PG70-10"</f>
        <v>قير  PG70-10</v>
      </c>
      <c r="L1344" s="1">
        <v>100</v>
      </c>
      <c r="M1344" s="1" t="str">
        <f>"مخازن قير اصفهان"</f>
        <v>مخازن قير اصفهان</v>
      </c>
      <c r="N1344" s="1">
        <v>11164</v>
      </c>
      <c r="O1344" s="1">
        <v>50035746</v>
      </c>
      <c r="P1344" s="1" t="str">
        <f>"  قرارگاه سازندگي خاتم الانبياء(ص )"</f>
        <v xml:space="preserve">  قرارگاه سازندگي خاتم الانبياء(ص )</v>
      </c>
      <c r="Q1344" s="1">
        <v>18</v>
      </c>
      <c r="R1344" s="1" t="str">
        <f>"فروش داخلي تهران - وزارت راه - شرکت ساخت و توسعه راهها"</f>
        <v>فروش داخلي تهران - وزارت راه - شرکت ساخت و توسعه راهها</v>
      </c>
      <c r="S1344" s="1" t="str">
        <f>"قرارداد فروش"</f>
        <v>قرارداد فروش</v>
      </c>
      <c r="T1344" s="1" t="str">
        <f>"ندارد"</f>
        <v>ندارد</v>
      </c>
      <c r="U1344" s="1" t="str">
        <f>"ميرحسيني چاپارحقيقت كرمان(4844008)"</f>
        <v>ميرحسيني چاپارحقيقت كرمان(4844008)</v>
      </c>
      <c r="V1344" s="1">
        <v>961800031</v>
      </c>
      <c r="W1344" s="1">
        <v>961800031</v>
      </c>
      <c r="X1344" s="1" t="str">
        <f>"1396506154"</f>
        <v>1396506154</v>
      </c>
      <c r="Y1344" s="1" t="str">
        <f>"96/05/29"</f>
        <v>96/05/29</v>
      </c>
      <c r="Z1344" s="1" t="str">
        <f>"24128/710"</f>
        <v>24128/710</v>
      </c>
      <c r="AA1344" s="1" t="str">
        <f>"شركت  ساخت وتوسعه راهها"</f>
        <v>شركت  ساخت وتوسعه راهها</v>
      </c>
      <c r="AB1344" s="1" t="str">
        <f>"96/05/21"</f>
        <v>96/05/21</v>
      </c>
      <c r="AC1344" s="1" t="str">
        <f>"استان سيستان بلوچستان"</f>
        <v>استان سيستان بلوچستان</v>
      </c>
      <c r="AD1344" s="1" t="str">
        <f>"96/05/25"</f>
        <v>96/05/25</v>
      </c>
      <c r="AE1344" s="1" t="str">
        <f>"اختتام"</f>
        <v>اختتام</v>
      </c>
      <c r="AF1344" s="1" t="str">
        <f>""</f>
        <v/>
      </c>
      <c r="AG1344" s="1" t="str">
        <f>""</f>
        <v/>
      </c>
      <c r="AH1344" s="1" t="str">
        <f>""</f>
        <v/>
      </c>
      <c r="AI1344" s="1" t="str">
        <f>""</f>
        <v/>
      </c>
      <c r="AJ1344" s="1" t="str">
        <f>""</f>
        <v/>
      </c>
      <c r="AK1344" s="1" t="str">
        <f>""</f>
        <v/>
      </c>
    </row>
    <row r="1345" spans="1:37">
      <c r="A1345" s="1">
        <v>159000</v>
      </c>
      <c r="B1345" s="1">
        <v>966200407</v>
      </c>
      <c r="C1345" s="1" t="str">
        <f>"تخليه-ايلام-جاده ايلام-بدره-کارخانه آسفالت ايلام راه بان"</f>
        <v>تخليه-ايلام-جاده ايلام-بدره-کارخانه آسفالت ايلام راه بان</v>
      </c>
      <c r="D1345" s="1">
        <v>13270</v>
      </c>
      <c r="E1345" s="1">
        <v>157780</v>
      </c>
      <c r="F1345" s="1">
        <v>96</v>
      </c>
      <c r="G1345" s="1">
        <v>1220</v>
      </c>
      <c r="H1345" s="1" t="str">
        <f>"96/09/09"</f>
        <v>96/09/09</v>
      </c>
      <c r="I1345" s="1" t="str">
        <f>"كيلوگرم"</f>
        <v>كيلوگرم</v>
      </c>
      <c r="J1345" s="1" t="str">
        <f>"0000000094"</f>
        <v>0000000094</v>
      </c>
      <c r="K1345" s="1" t="str">
        <f>"قير  PG70-10"</f>
        <v>قير  PG70-10</v>
      </c>
      <c r="L1345" s="1">
        <v>100</v>
      </c>
      <c r="M1345" s="1" t="str">
        <f>"مخازن قير اصفهان"</f>
        <v>مخازن قير اصفهان</v>
      </c>
      <c r="N1345" s="1">
        <v>11476</v>
      </c>
      <c r="O1345" s="1">
        <v>50037371</v>
      </c>
      <c r="P1345" s="1" t="str">
        <f>"  آرمه بتن هيراد"</f>
        <v xml:space="preserve">  آرمه بتن هيراد</v>
      </c>
      <c r="Q1345" s="1">
        <v>62</v>
      </c>
      <c r="R1345" s="1" t="str">
        <f>"فروش داخلي - سازمان بنيادمسكن انقلاب اسلامي"</f>
        <v>فروش داخلي - سازمان بنيادمسكن انقلاب اسلامي</v>
      </c>
      <c r="S1345" s="1" t="str">
        <f>"قرارداد فروش"</f>
        <v>قرارداد فروش</v>
      </c>
      <c r="T1345" s="1" t="str">
        <f>"ندارد"</f>
        <v>ندارد</v>
      </c>
      <c r="U1345" s="1" t="str">
        <f>"ريسماني حسن(1007ج89)"</f>
        <v>ريسماني حسن(1007ج89)</v>
      </c>
      <c r="V1345" s="1">
        <v>966200407</v>
      </c>
      <c r="W1345" s="1">
        <v>966200407</v>
      </c>
      <c r="X1345" s="1" t="str">
        <f>"1396529176"</f>
        <v>1396529176</v>
      </c>
      <c r="Y1345" s="1" t="str">
        <f>"96/09/09"</f>
        <v>96/09/09</v>
      </c>
      <c r="Z1345" s="1" t="str">
        <f>"38624/د"</f>
        <v>38624/د</v>
      </c>
      <c r="AA1345" s="1" t="str">
        <f>"بنيادمسكن انقلاب اسلامي"</f>
        <v>بنيادمسكن انقلاب اسلامي</v>
      </c>
      <c r="AB1345" s="1" t="str">
        <f>"96/08/30"</f>
        <v>96/08/30</v>
      </c>
      <c r="AC1345" s="1" t="str">
        <f>"استان ايلام"</f>
        <v>استان ايلام</v>
      </c>
      <c r="AD1345" s="1" t="str">
        <f>"96/09/08"</f>
        <v>96/09/08</v>
      </c>
      <c r="AE1345" s="1" t="str">
        <f>"اختتام"</f>
        <v>اختتام</v>
      </c>
      <c r="AF1345" s="1" t="str">
        <f>""</f>
        <v/>
      </c>
      <c r="AG1345" s="1" t="str">
        <f>""</f>
        <v/>
      </c>
      <c r="AH1345" s="1" t="str">
        <f>""</f>
        <v/>
      </c>
      <c r="AI1345" s="1" t="str">
        <f>""</f>
        <v/>
      </c>
      <c r="AJ1345" s="1" t="str">
        <f>""</f>
        <v/>
      </c>
      <c r="AK1345" s="1" t="str">
        <f>""</f>
        <v/>
      </c>
    </row>
    <row r="1346" spans="1:37">
      <c r="A1346" s="1">
        <v>143000</v>
      </c>
      <c r="B1346" s="1">
        <v>966200535</v>
      </c>
      <c r="C1346" s="1" t="str">
        <f>"تخليه -چهارمحال وبختياري -شهرستان اردل -ناحيه صنعتي -كارخانه آسفالت دشتاونددزپارت"</f>
        <v>تخليه -چهارمحال وبختياري -شهرستان اردل -ناحيه صنعتي -كارخانه آسفالت دشتاونددزپارت</v>
      </c>
      <c r="D1346" s="1">
        <v>12850</v>
      </c>
      <c r="E1346" s="1">
        <v>141740</v>
      </c>
      <c r="F1346" s="1">
        <v>96</v>
      </c>
      <c r="G1346" s="1">
        <v>1260</v>
      </c>
      <c r="H1346" s="1" t="str">
        <f>"96/10/25"</f>
        <v>96/10/25</v>
      </c>
      <c r="I1346" s="1" t="str">
        <f>"كيلوگرم"</f>
        <v>كيلوگرم</v>
      </c>
      <c r="J1346" s="1" t="str">
        <f>"0000000076"</f>
        <v>0000000076</v>
      </c>
      <c r="K1346" s="1" t="str">
        <f>"قير 60/70 - فله"</f>
        <v>قير 60/70 - فله</v>
      </c>
      <c r="L1346" s="1">
        <v>100</v>
      </c>
      <c r="M1346" s="1" t="str">
        <f>"مخازن قير اصفهان"</f>
        <v>مخازن قير اصفهان</v>
      </c>
      <c r="N1346" s="1">
        <v>9310</v>
      </c>
      <c r="O1346" s="1">
        <v>50038183</v>
      </c>
      <c r="P1346" s="1" t="str">
        <f>"  دشتاونددزپارت"</f>
        <v xml:space="preserve">  دشتاونددزپارت</v>
      </c>
      <c r="Q1346" s="1">
        <v>62</v>
      </c>
      <c r="R1346" s="1" t="str">
        <f>"فروش داخلي - سازمان بنيادمسكن انقلاب اسلامي"</f>
        <v>فروش داخلي - سازمان بنيادمسكن انقلاب اسلامي</v>
      </c>
      <c r="S1346" s="1" t="str">
        <f>"قرارداد فروش"</f>
        <v>قرارداد فروش</v>
      </c>
      <c r="T1346" s="1" t="str">
        <f>"ندارد"</f>
        <v>ندارد</v>
      </c>
      <c r="U1346" s="1" t="str">
        <f>"قره باغي مجيد(1871065)"</f>
        <v>قره باغي مجيد(1871065)</v>
      </c>
      <c r="V1346" s="1">
        <v>966200535</v>
      </c>
      <c r="W1346" s="1">
        <v>966200535</v>
      </c>
      <c r="X1346" s="1" t="str">
        <f>"1396540147"</f>
        <v>1396540147</v>
      </c>
      <c r="Y1346" s="1" t="str">
        <f>"96/10/25"</f>
        <v>96/10/25</v>
      </c>
      <c r="Z1346" s="1" t="str">
        <f>"47461/د"</f>
        <v>47461/د</v>
      </c>
      <c r="AA1346" s="1" t="str">
        <f>"بنيادمسكن انقلاب اسلامي"</f>
        <v>بنيادمسكن انقلاب اسلامي</v>
      </c>
      <c r="AB1346" s="1" t="str">
        <f>"96/10/24"</f>
        <v>96/10/24</v>
      </c>
      <c r="AC1346" s="1" t="str">
        <f>"استان چهارمحال بختياري"</f>
        <v>استان چهارمحال بختياري</v>
      </c>
      <c r="AD1346" s="1" t="str">
        <f>"96/10/25"</f>
        <v>96/10/25</v>
      </c>
      <c r="AE1346" s="1" t="str">
        <f>"اختتام"</f>
        <v>اختتام</v>
      </c>
      <c r="AF1346" s="1" t="str">
        <f>""</f>
        <v/>
      </c>
      <c r="AG1346" s="1" t="str">
        <f>""</f>
        <v/>
      </c>
      <c r="AH1346" s="1" t="str">
        <f>""</f>
        <v/>
      </c>
      <c r="AI1346" s="1" t="str">
        <f>""</f>
        <v/>
      </c>
      <c r="AJ1346" s="1" t="str">
        <f>""</f>
        <v/>
      </c>
      <c r="AK1346" s="1" t="str">
        <f>""</f>
        <v/>
      </c>
    </row>
    <row r="1347" spans="1:37">
      <c r="A1347" s="1">
        <v>60967</v>
      </c>
      <c r="B1347" s="1">
        <v>962000370</v>
      </c>
      <c r="C1347" s="1" t="str">
        <f>"تخليه-چهارمحال-فرخشهر-کارخانه آسفالت شهرداري"</f>
        <v>تخليه-چهارمحال-فرخشهر-کارخانه آسفالت شهرداري</v>
      </c>
      <c r="D1347" s="1">
        <v>12820</v>
      </c>
      <c r="E1347" s="1">
        <v>60967</v>
      </c>
      <c r="F1347" s="1">
        <v>96</v>
      </c>
      <c r="G1347" s="1">
        <v>0</v>
      </c>
      <c r="H1347" s="1" t="str">
        <f>"96/09/19"</f>
        <v>96/09/19</v>
      </c>
      <c r="I1347" s="1" t="str">
        <f>"كيلوگرم"</f>
        <v>كيلوگرم</v>
      </c>
      <c r="J1347" s="1" t="str">
        <f>"1000000002"</f>
        <v>1000000002</v>
      </c>
      <c r="K1347" s="1" t="str">
        <f>"قير 85/100 - فله"</f>
        <v>قير 85/100 - فله</v>
      </c>
      <c r="L1347" s="1">
        <v>100</v>
      </c>
      <c r="M1347" s="1" t="str">
        <f>"مخازن قير اصفهان"</f>
        <v>مخازن قير اصفهان</v>
      </c>
      <c r="N1347" s="1">
        <v>1465</v>
      </c>
      <c r="O1347" s="1">
        <v>50037667</v>
      </c>
      <c r="P1347" s="1" t="str">
        <f>"  شهرداري فرخ شهر"</f>
        <v xml:space="preserve">  شهرداري فرخ شهر</v>
      </c>
      <c r="Q1347" s="1">
        <v>20</v>
      </c>
      <c r="R1347" s="1" t="str">
        <f>"فروش داخلي - سازمان شهرداري ها و دهياري هاي كشور"</f>
        <v>فروش داخلي - سازمان شهرداري ها و دهياري هاي كشور</v>
      </c>
      <c r="S1347" s="1" t="str">
        <f>"قرارداد فروش"</f>
        <v>قرارداد فروش</v>
      </c>
      <c r="T1347" s="1" t="str">
        <f>"ندارد"</f>
        <v>ندارد</v>
      </c>
      <c r="U1347" s="1" t="str">
        <f>"تعاوني جم گستر (1001 ج 89)"</f>
        <v>تعاوني جم گستر (1001 ج 89)</v>
      </c>
      <c r="V1347" s="1">
        <v>962000370</v>
      </c>
      <c r="W1347" s="1">
        <v>962000370</v>
      </c>
      <c r="X1347" s="1" t="str">
        <f>"1396529715"</f>
        <v>1396529715</v>
      </c>
      <c r="Y1347" s="1" t="str">
        <f>"96/09/19"</f>
        <v>96/09/19</v>
      </c>
      <c r="Z1347" s="1" t="str">
        <f>"38497مرحله دوم"</f>
        <v>38497مرحله دوم</v>
      </c>
      <c r="AA1347" s="1" t="str">
        <f>"شهرداريها"</f>
        <v>شهرداريها</v>
      </c>
      <c r="AB1347" s="1" t="str">
        <f>"96/09/11"</f>
        <v>96/09/11</v>
      </c>
      <c r="AC1347" s="1" t="str">
        <f>"استان چهارمحال بختياري"</f>
        <v>استان چهارمحال بختياري</v>
      </c>
      <c r="AD1347" s="1" t="str">
        <f>"96/09/13"</f>
        <v>96/09/13</v>
      </c>
      <c r="AE1347" s="1" t="str">
        <f>"اختتام"</f>
        <v>اختتام</v>
      </c>
      <c r="AF1347" s="1" t="str">
        <f>""</f>
        <v/>
      </c>
      <c r="AG1347" s="1" t="str">
        <f>""</f>
        <v/>
      </c>
      <c r="AH1347" s="1" t="str">
        <f>""</f>
        <v/>
      </c>
      <c r="AI1347" s="1" t="str">
        <f>""</f>
        <v/>
      </c>
      <c r="AJ1347" s="1" t="str">
        <f>""</f>
        <v/>
      </c>
      <c r="AK1347" s="1" t="str">
        <f>""</f>
        <v/>
      </c>
    </row>
    <row r="1348" spans="1:37">
      <c r="A1348" s="1">
        <v>35802</v>
      </c>
      <c r="B1348" s="1">
        <v>962000394</v>
      </c>
      <c r="C1348" s="1" t="str">
        <f>"تخليه - اصفهان - کاشان - کيلومتر 18 جاده قمصر -شرکت بتن آسفالت مهر"</f>
        <v>تخليه - اصفهان - کاشان - کيلومتر 18 جاده قمصر -شرکت بتن آسفالت مهر</v>
      </c>
      <c r="D1348" s="1">
        <v>12820</v>
      </c>
      <c r="E1348" s="1">
        <v>35802</v>
      </c>
      <c r="F1348" s="1">
        <v>96</v>
      </c>
      <c r="G1348" s="1">
        <v>0</v>
      </c>
      <c r="H1348" s="1" t="str">
        <f>"96/09/20"</f>
        <v>96/09/20</v>
      </c>
      <c r="I1348" s="1" t="str">
        <f>"كيلوگرم"</f>
        <v>كيلوگرم</v>
      </c>
      <c r="J1348" s="1" t="str">
        <f>"0000000076"</f>
        <v>0000000076</v>
      </c>
      <c r="K1348" s="1" t="str">
        <f>"قير 60/70 - فله"</f>
        <v>قير 60/70 - فله</v>
      </c>
      <c r="L1348" s="1">
        <v>100</v>
      </c>
      <c r="M1348" s="1" t="str">
        <f>"مخازن قير اصفهان"</f>
        <v>مخازن قير اصفهان</v>
      </c>
      <c r="N1348" s="1">
        <v>9417</v>
      </c>
      <c r="O1348" s="1">
        <v>50037706</v>
      </c>
      <c r="P1348" s="1" t="str">
        <f>"  شهرداري ابوزيدآباد"</f>
        <v xml:space="preserve">  شهرداري ابوزيدآباد</v>
      </c>
      <c r="Q1348" s="1">
        <v>20</v>
      </c>
      <c r="R1348" s="1" t="str">
        <f>"فروش داخلي - سازمان شهرداري ها و دهياري هاي كشور"</f>
        <v>فروش داخلي - سازمان شهرداري ها و دهياري هاي كشور</v>
      </c>
      <c r="S1348" s="1" t="str">
        <f>"قرارداد فروش"</f>
        <v>قرارداد فروش</v>
      </c>
      <c r="T1348" s="1" t="str">
        <f>"ندارد"</f>
        <v>ندارد</v>
      </c>
      <c r="U1348" s="1" t="str">
        <f>"تعاوني جم گستر (1001 ج 89)"</f>
        <v>تعاوني جم گستر (1001 ج 89)</v>
      </c>
      <c r="V1348" s="1">
        <v>962000394</v>
      </c>
      <c r="W1348" s="1">
        <v>962000394</v>
      </c>
      <c r="X1348" s="1" t="str">
        <f>"1396529711"</f>
        <v>1396529711</v>
      </c>
      <c r="Y1348" s="1" t="str">
        <f>"96/09/20"</f>
        <v>96/09/20</v>
      </c>
      <c r="Z1348" s="1" t="str">
        <f>"37103مرحله دوم"</f>
        <v>37103مرحله دوم</v>
      </c>
      <c r="AA1348" s="1" t="str">
        <f>"شهرداريها"</f>
        <v>شهرداريها</v>
      </c>
      <c r="AB1348" s="1" t="str">
        <f>"96/09/04"</f>
        <v>96/09/04</v>
      </c>
      <c r="AC1348" s="1" t="str">
        <f>"استان اصفهان"</f>
        <v>استان اصفهان</v>
      </c>
      <c r="AD1348" s="1" t="str">
        <f>"96/09/13"</f>
        <v>96/09/13</v>
      </c>
      <c r="AE1348" s="1" t="str">
        <f>"اختتام"</f>
        <v>اختتام</v>
      </c>
      <c r="AF1348" s="1" t="str">
        <f>""</f>
        <v/>
      </c>
      <c r="AG1348" s="1" t="str">
        <f>""</f>
        <v/>
      </c>
      <c r="AH1348" s="1" t="str">
        <f>""</f>
        <v/>
      </c>
      <c r="AI1348" s="1" t="str">
        <f>""</f>
        <v/>
      </c>
      <c r="AJ1348" s="1" t="str">
        <f>""</f>
        <v/>
      </c>
      <c r="AK1348" s="1" t="str">
        <f>""</f>
        <v/>
      </c>
    </row>
    <row r="1349" spans="1:37">
      <c r="A1349" s="1">
        <v>23000</v>
      </c>
      <c r="B1349" s="1">
        <v>966200150</v>
      </c>
      <c r="C1349" s="1" t="str">
        <f>"تخليه - کرمان-جيرفت-کيلومتر 12 جاده کهنوج کارخانه شرکت ره ياد سازه جنوب"</f>
        <v>تخليه - کرمان-جيرفت-کيلومتر 12 جاده کهنوج کارخانه شرکت ره ياد سازه جنوب</v>
      </c>
      <c r="D1349" s="1">
        <v>8704</v>
      </c>
      <c r="E1349" s="1">
        <v>22020</v>
      </c>
      <c r="F1349" s="1">
        <v>96</v>
      </c>
      <c r="G1349" s="1">
        <v>980</v>
      </c>
      <c r="H1349" s="1" t="str">
        <f>"96/05/04"</f>
        <v>96/05/04</v>
      </c>
      <c r="I1349" s="1" t="str">
        <f>"كيلوگرم"</f>
        <v>كيلوگرم</v>
      </c>
      <c r="J1349" s="1" t="str">
        <f>"0000000076"</f>
        <v>0000000076</v>
      </c>
      <c r="K1349" s="1" t="str">
        <f>"قير 60/70 - فله"</f>
        <v>قير 60/70 - فله</v>
      </c>
      <c r="L1349" s="1">
        <v>100</v>
      </c>
      <c r="M1349" s="1" t="str">
        <f>"مخازن قير اصفهان"</f>
        <v>مخازن قير اصفهان</v>
      </c>
      <c r="N1349" s="1">
        <v>9424</v>
      </c>
      <c r="O1349" s="1">
        <v>50035349</v>
      </c>
      <c r="P1349" s="1" t="str">
        <f>"  راه وساختمان ره يادسازه جنوب"</f>
        <v xml:space="preserve">  راه وساختمان ره يادسازه جنوب</v>
      </c>
      <c r="Q1349" s="1">
        <v>62</v>
      </c>
      <c r="R1349" s="1" t="str">
        <f>"فروش داخلي - سازمان بنيادمسكن انقلاب اسلامي"</f>
        <v>فروش داخلي - سازمان بنيادمسكن انقلاب اسلامي</v>
      </c>
      <c r="S1349" s="1" t="str">
        <f>"قرارداد فروش"</f>
        <v>قرارداد فروش</v>
      </c>
      <c r="T1349" s="1" t="str">
        <f>"ندارد"</f>
        <v>ندارد</v>
      </c>
      <c r="U1349" s="1" t="str">
        <f>"حاصليان ترابرجنوب مرتضي حاصلي (4844006)"</f>
        <v>حاصليان ترابرجنوب مرتضي حاصلي (4844006)</v>
      </c>
      <c r="V1349" s="1">
        <v>966200150</v>
      </c>
      <c r="W1349" s="1">
        <v>966200150</v>
      </c>
      <c r="X1349" s="1" t="str">
        <f>"1396500366"</f>
        <v>1396500366</v>
      </c>
      <c r="Y1349" s="1" t="str">
        <f>"96/05/04"</f>
        <v>96/05/04</v>
      </c>
      <c r="Z1349" s="1" t="str">
        <f>"18161/د"</f>
        <v>18161/د</v>
      </c>
      <c r="AA1349" s="1" t="str">
        <f>"بنيادمسكن انقلاب اسلامي"</f>
        <v>بنيادمسكن انقلاب اسلامي</v>
      </c>
      <c r="AB1349" s="1" t="str">
        <f>"96/05/02"</f>
        <v>96/05/02</v>
      </c>
      <c r="AC1349" s="1" t="str">
        <f>"استان كرمان"</f>
        <v>استان كرمان</v>
      </c>
      <c r="AD1349" s="1" t="str">
        <f>"96/05/04"</f>
        <v>96/05/04</v>
      </c>
      <c r="AE1349" s="1" t="str">
        <f>"اختتام"</f>
        <v>اختتام</v>
      </c>
      <c r="AF1349" s="1" t="str">
        <f>""</f>
        <v/>
      </c>
      <c r="AG1349" s="1" t="str">
        <f>""</f>
        <v/>
      </c>
      <c r="AH1349" s="1" t="str">
        <f>""</f>
        <v/>
      </c>
      <c r="AI1349" s="1" t="str">
        <f>""</f>
        <v/>
      </c>
      <c r="AJ1349" s="1" t="str">
        <f>""</f>
        <v/>
      </c>
      <c r="AK1349" s="1" t="str">
        <f>""</f>
        <v/>
      </c>
    </row>
    <row r="1350" spans="1:37">
      <c r="A1350" s="1">
        <v>72000</v>
      </c>
      <c r="B1350" s="1">
        <v>966200651</v>
      </c>
      <c r="C1350" s="1" t="str">
        <f>"تخليه -لرستان -خرم آبادكيلومتر5جاده چغلوندي -بخش مركزي ده پيرروستاي اسكين -شرکت پرتو صنعت نور"</f>
        <v>تخليه -لرستان -خرم آبادكيلومتر5جاده چغلوندي -بخش مركزي ده پيرروستاي اسكين -شرکت پرتو صنعت نور</v>
      </c>
      <c r="D1350" s="1">
        <v>13350</v>
      </c>
      <c r="E1350" s="1">
        <v>72000</v>
      </c>
      <c r="F1350" s="1">
        <v>96</v>
      </c>
      <c r="G1350" s="1">
        <v>0</v>
      </c>
      <c r="H1350" s="1" t="str">
        <f>"96/12/14"</f>
        <v>96/12/14</v>
      </c>
      <c r="I1350" s="1" t="str">
        <f>"كيلوگرم"</f>
        <v>كيلوگرم</v>
      </c>
      <c r="J1350" s="1" t="str">
        <f>"0000000076"</f>
        <v>0000000076</v>
      </c>
      <c r="K1350" s="1" t="str">
        <f>"قير 60/70 - فله"</f>
        <v>قير 60/70 - فله</v>
      </c>
      <c r="L1350" s="1">
        <v>100</v>
      </c>
      <c r="M1350" s="1" t="str">
        <f>"مخازن قير اصفهان"</f>
        <v>مخازن قير اصفهان</v>
      </c>
      <c r="N1350" s="1">
        <v>9488</v>
      </c>
      <c r="O1350" s="1">
        <v>50038776</v>
      </c>
      <c r="P1350" s="1" t="str">
        <f>"  البرز بنيان دالاهو"</f>
        <v xml:space="preserve">  البرز بنيان دالاهو</v>
      </c>
      <c r="Q1350" s="1">
        <v>62</v>
      </c>
      <c r="R1350" s="1" t="str">
        <f>"فروش داخلي - سازمان بنيادمسكن انقلاب اسلامي"</f>
        <v>فروش داخلي - سازمان بنيادمسكن انقلاب اسلامي</v>
      </c>
      <c r="S1350" s="1" t="str">
        <f>"قرارداد فروش"</f>
        <v>قرارداد فروش</v>
      </c>
      <c r="T1350" s="1" t="str">
        <f>"ندارد"</f>
        <v>ندارد</v>
      </c>
      <c r="U1350" s="1" t="str">
        <f>"ريسماني حسن(1007ج89)"</f>
        <v>ريسماني حسن(1007ج89)</v>
      </c>
      <c r="V1350" s="1">
        <v>966200651</v>
      </c>
      <c r="W1350" s="1">
        <v>966200651</v>
      </c>
      <c r="X1350" s="1" t="str">
        <f>"1396552261"</f>
        <v>1396552261</v>
      </c>
      <c r="Y1350" s="1" t="str">
        <f>"96/12/14"</f>
        <v>96/12/14</v>
      </c>
      <c r="Z1350" s="1" t="str">
        <f>"56654/د"</f>
        <v>56654/د</v>
      </c>
      <c r="AA1350" s="1" t="str">
        <f>"بنيادمسكن انقلاب اسلامي"</f>
        <v>بنيادمسكن انقلاب اسلامي</v>
      </c>
      <c r="AB1350" s="1" t="str">
        <f>"96/12/13"</f>
        <v>96/12/13</v>
      </c>
      <c r="AC1350" s="1" t="str">
        <f>"لرستان"</f>
        <v>لرستان</v>
      </c>
      <c r="AD1350" s="1" t="str">
        <f>"96/12/14"</f>
        <v>96/12/14</v>
      </c>
      <c r="AE1350" s="1" t="str">
        <f>"اختتام"</f>
        <v>اختتام</v>
      </c>
      <c r="AF1350" s="1" t="str">
        <f>""</f>
        <v/>
      </c>
      <c r="AG1350" s="1" t="str">
        <f>""</f>
        <v/>
      </c>
      <c r="AH1350" s="1" t="str">
        <f>""</f>
        <v/>
      </c>
      <c r="AI1350" s="1" t="str">
        <f>""</f>
        <v/>
      </c>
      <c r="AJ1350" s="1" t="str">
        <f>""</f>
        <v/>
      </c>
      <c r="AK1350" s="1" t="str">
        <f>""</f>
        <v/>
      </c>
    </row>
    <row r="1351" spans="1:37">
      <c r="A1351" s="1">
        <v>100000</v>
      </c>
      <c r="B1351" s="1">
        <v>961100040</v>
      </c>
      <c r="C1351" s="1" t="str">
        <f>"تخليه -شهركرد-جاده دانشگاه آزادعراضي منصوريه -كارخانه آسفالت شهرداري شهركرد"</f>
        <v>تخليه -شهركرد-جاده دانشگاه آزادعراضي منصوريه -كارخانه آسفالت شهرداري شهركرد</v>
      </c>
      <c r="D1351" s="1">
        <v>8854</v>
      </c>
      <c r="E1351" s="1">
        <v>99760</v>
      </c>
      <c r="F1351" s="1">
        <v>96</v>
      </c>
      <c r="G1351" s="1">
        <v>240</v>
      </c>
      <c r="H1351" s="1" t="str">
        <f>"96/05/01"</f>
        <v>96/05/01</v>
      </c>
      <c r="I1351" s="1" t="str">
        <f>"كيلوگرم"</f>
        <v>كيلوگرم</v>
      </c>
      <c r="J1351" s="1" t="str">
        <f>"0000000088"</f>
        <v>0000000088</v>
      </c>
      <c r="K1351" s="1" t="str">
        <f>"قير  PG58-22"</f>
        <v>قير  PG58-22</v>
      </c>
      <c r="L1351" s="1">
        <v>100</v>
      </c>
      <c r="M1351" s="1" t="str">
        <f>"مخازن قير اصفهان"</f>
        <v>مخازن قير اصفهان</v>
      </c>
      <c r="N1351" s="1">
        <v>7047</v>
      </c>
      <c r="O1351" s="1">
        <v>50035296</v>
      </c>
      <c r="P1351" s="1" t="str">
        <f>"  شهرداري شهركرد"</f>
        <v xml:space="preserve">  شهرداري شهركرد</v>
      </c>
      <c r="Q1351" s="1">
        <v>11</v>
      </c>
      <c r="R1351" s="1" t="str">
        <f>"فروش داخلي تهران - بورس"</f>
        <v>فروش داخلي تهران - بورس</v>
      </c>
      <c r="S1351" s="1" t="str">
        <f>"قرارداد فروش"</f>
        <v>قرارداد فروش</v>
      </c>
      <c r="T1351" s="1" t="str">
        <f>"ندارد"</f>
        <v>ندارد</v>
      </c>
      <c r="U1351" s="1" t="str">
        <f>"مظلوم فريبرز(1008ج89)"</f>
        <v>مظلوم فريبرز(1008ج89)</v>
      </c>
      <c r="V1351" s="1">
        <v>961100040</v>
      </c>
      <c r="W1351" s="1">
        <v>961100040</v>
      </c>
      <c r="X1351" s="1" t="str">
        <f>"1396496976"</f>
        <v>1396496976</v>
      </c>
      <c r="Y1351" s="1" t="str">
        <f>"96/04/31"</f>
        <v>96/04/31</v>
      </c>
      <c r="Z1351" s="1" t="str">
        <f>"96-35865"</f>
        <v>96-35865</v>
      </c>
      <c r="AA1351" s="1" t="str">
        <f>"شهرداريها"</f>
        <v>شهرداريها</v>
      </c>
      <c r="AB1351" s="1" t="str">
        <f>"96/04/31"</f>
        <v>96/04/31</v>
      </c>
      <c r="AC1351" s="1" t="str">
        <f>"استان چهارمحال بختياري"</f>
        <v>استان چهارمحال بختياري</v>
      </c>
      <c r="AD1351" s="1" t="str">
        <f>"96/04/25"</f>
        <v>96/04/25</v>
      </c>
      <c r="AE1351" s="1" t="str">
        <f>"اختتام"</f>
        <v>اختتام</v>
      </c>
      <c r="AF1351" s="1" t="str">
        <f>""</f>
        <v/>
      </c>
      <c r="AG1351" s="1" t="str">
        <f>""</f>
        <v/>
      </c>
      <c r="AH1351" s="1" t="str">
        <f>""</f>
        <v/>
      </c>
      <c r="AI1351" s="1" t="str">
        <f>""</f>
        <v/>
      </c>
      <c r="AJ1351" s="1" t="str">
        <f>""</f>
        <v/>
      </c>
      <c r="AK1351" s="1" t="str">
        <f>""</f>
        <v/>
      </c>
    </row>
    <row r="1352" spans="1:37">
      <c r="A1352" s="1">
        <v>503000</v>
      </c>
      <c r="B1352" s="1">
        <v>966100002</v>
      </c>
      <c r="C1352" s="1" t="str">
        <f>"تخليه -چهارمحال بختياري -شهركردهفشجان نوآبادكارخانه آسفالت سازمان همياري شهرداريها"</f>
        <v>تخليه -چهارمحال بختياري -شهركردهفشجان نوآبادكارخانه آسفالت سازمان همياري شهرداريها</v>
      </c>
      <c r="D1352" s="1">
        <v>8854</v>
      </c>
      <c r="E1352" s="1">
        <v>498580</v>
      </c>
      <c r="F1352" s="1">
        <v>96</v>
      </c>
      <c r="G1352" s="1">
        <v>4420</v>
      </c>
      <c r="H1352" s="1" t="str">
        <f>"96/01/16"</f>
        <v>96/01/16</v>
      </c>
      <c r="I1352" s="1" t="str">
        <f>"كيلوگرم"</f>
        <v>كيلوگرم</v>
      </c>
      <c r="J1352" s="1" t="str">
        <f>"0000000088"</f>
        <v>0000000088</v>
      </c>
      <c r="K1352" s="1" t="str">
        <f>"قير  PG58-22"</f>
        <v>قير  PG58-22</v>
      </c>
      <c r="L1352" s="1">
        <v>100</v>
      </c>
      <c r="M1352" s="1" t="str">
        <f>"مخازن قير اصفهان"</f>
        <v>مخازن قير اصفهان</v>
      </c>
      <c r="N1352" s="1">
        <v>7190</v>
      </c>
      <c r="O1352" s="1">
        <v>50034411</v>
      </c>
      <c r="P1352" s="1" t="str">
        <f>"  اداره كل راه و شهرسازي چهارمحال وبختياري"</f>
        <v xml:space="preserve">  اداره كل راه و شهرسازي چهارمحال وبختياري</v>
      </c>
      <c r="Q1352" s="1">
        <v>61</v>
      </c>
      <c r="R1352" s="1" t="str">
        <f>"فروش داخلي - وزارت راه - مسكن مهر"</f>
        <v>فروش داخلي - وزارت راه - مسكن مهر</v>
      </c>
      <c r="S1352" s="1" t="str">
        <f>"قرارداد فروش"</f>
        <v>قرارداد فروش</v>
      </c>
      <c r="T1352" s="1" t="str">
        <f>"ندارد"</f>
        <v>ندارد</v>
      </c>
      <c r="U1352" s="1" t="str">
        <f>"قره باغي مجيد(1871065)"</f>
        <v>قره باغي مجيد(1871065)</v>
      </c>
      <c r="V1352" s="1">
        <v>966100002</v>
      </c>
      <c r="W1352" s="1">
        <v>966100002</v>
      </c>
      <c r="X1352" s="1" t="str">
        <f>"1395471088"</f>
        <v>1395471088</v>
      </c>
      <c r="Y1352" s="1" t="str">
        <f>"96/01/16"</f>
        <v>96/01/16</v>
      </c>
      <c r="Z1352" s="1" t="str">
        <f>"67140/710"</f>
        <v>67140/710</v>
      </c>
      <c r="AA1352" s="1" t="str">
        <f>"مسكن مهر-وزارت راه"</f>
        <v>مسكن مهر-وزارت راه</v>
      </c>
      <c r="AB1352" s="1" t="str">
        <f>"95/12/25"</f>
        <v>95/12/25</v>
      </c>
      <c r="AC1352" s="1" t="str">
        <f>"استان چهارمحال بختياري"</f>
        <v>استان چهارمحال بختياري</v>
      </c>
      <c r="AD1352" s="1" t="str">
        <f>"95/12/28"</f>
        <v>95/12/28</v>
      </c>
      <c r="AE1352" s="1" t="str">
        <f>"اختتام"</f>
        <v>اختتام</v>
      </c>
      <c r="AF1352" s="1" t="str">
        <f>""</f>
        <v/>
      </c>
      <c r="AG1352" s="1" t="str">
        <f>""</f>
        <v/>
      </c>
      <c r="AH1352" s="1" t="str">
        <f>""</f>
        <v/>
      </c>
      <c r="AI1352" s="1" t="str">
        <f>""</f>
        <v/>
      </c>
      <c r="AJ1352" s="1" t="str">
        <f>""</f>
        <v/>
      </c>
      <c r="AK1352" s="1" t="str">
        <f>""</f>
        <v/>
      </c>
    </row>
    <row r="1353" spans="1:37">
      <c r="A1353" s="1">
        <v>220000</v>
      </c>
      <c r="B1353" s="1">
        <v>961700183</v>
      </c>
      <c r="C1353" s="1" t="str">
        <f>"تخليه-شهرستان شهرکرد-کارخانه آسفالت شهرداري شهرکرد"</f>
        <v>تخليه-شهرستان شهرکرد-کارخانه آسفالت شهرداري شهرکرد</v>
      </c>
      <c r="D1353" s="1">
        <v>13600</v>
      </c>
      <c r="E1353" s="1">
        <v>219560</v>
      </c>
      <c r="F1353" s="1">
        <v>96</v>
      </c>
      <c r="G1353" s="1">
        <v>440</v>
      </c>
      <c r="H1353" s="1" t="str">
        <f>"96/12/22"</f>
        <v>96/12/22</v>
      </c>
      <c r="I1353" s="1" t="str">
        <f>"كيلوگرم"</f>
        <v>كيلوگرم</v>
      </c>
      <c r="J1353" s="1" t="str">
        <f>"0000000088"</f>
        <v>0000000088</v>
      </c>
      <c r="K1353" s="1" t="str">
        <f>"قير  PG58-22"</f>
        <v>قير  PG58-22</v>
      </c>
      <c r="L1353" s="1">
        <v>100</v>
      </c>
      <c r="M1353" s="1" t="str">
        <f>"مخازن قير اصفهان"</f>
        <v>مخازن قير اصفهان</v>
      </c>
      <c r="N1353" s="1">
        <v>7190</v>
      </c>
      <c r="O1353" s="1">
        <v>50038908</v>
      </c>
      <c r="P1353" s="1" t="str">
        <f>"  اداره كل راه و شهرسازي چهارمحال وبختياري"</f>
        <v xml:space="preserve">  اداره كل راه و شهرسازي چهارمحال وبختياري</v>
      </c>
      <c r="Q1353" s="1">
        <v>17</v>
      </c>
      <c r="R1353" s="1" t="str">
        <f>"فروش داخلي تهران - وزارت راه - راه روستايي - روکش"</f>
        <v>فروش داخلي تهران - وزارت راه - راه روستايي - روکش</v>
      </c>
      <c r="S1353" s="1" t="str">
        <f>"قرارداد فروش"</f>
        <v>قرارداد فروش</v>
      </c>
      <c r="T1353" s="1" t="str">
        <f>"ندارد"</f>
        <v>ندارد</v>
      </c>
      <c r="U1353" s="1" t="str">
        <f>"مظلوم فريبرز(1008ج89)"</f>
        <v>مظلوم فريبرز(1008ج89)</v>
      </c>
      <c r="V1353" s="1">
        <v>961700183</v>
      </c>
      <c r="W1353" s="1">
        <v>961700183</v>
      </c>
      <c r="X1353" s="1" t="str">
        <f>"1396553920"</f>
        <v>1396553920</v>
      </c>
      <c r="Y1353" s="1" t="str">
        <f>"96/12/22"</f>
        <v>96/12/22</v>
      </c>
      <c r="Z1353" s="1" t="str">
        <f>"48002/710"</f>
        <v>48002/710</v>
      </c>
      <c r="AA1353" s="1" t="str">
        <f>"راه روستائي -روكش"</f>
        <v>راه روستائي -روكش</v>
      </c>
      <c r="AB1353" s="1" t="str">
        <f>"96/09/19"</f>
        <v>96/09/19</v>
      </c>
      <c r="AC1353" s="1" t="str">
        <f>"استان چهارمحال بختياري"</f>
        <v>استان چهارمحال بختياري</v>
      </c>
      <c r="AD1353" s="1" t="str">
        <f>"96/12/20"</f>
        <v>96/12/20</v>
      </c>
      <c r="AE1353" s="1" t="str">
        <f>"اختتام"</f>
        <v>اختتام</v>
      </c>
      <c r="AF1353" s="1" t="str">
        <f>""</f>
        <v/>
      </c>
      <c r="AG1353" s="1" t="str">
        <f>""</f>
        <v/>
      </c>
      <c r="AH1353" s="1" t="str">
        <f>""</f>
        <v/>
      </c>
      <c r="AI1353" s="1" t="str">
        <f>""</f>
        <v/>
      </c>
      <c r="AJ1353" s="1" t="str">
        <f>""</f>
        <v/>
      </c>
      <c r="AK1353" s="1" t="str">
        <f>""</f>
        <v/>
      </c>
    </row>
    <row r="1354" spans="1:37">
      <c r="A1354" s="1">
        <v>70000</v>
      </c>
      <c r="B1354" s="1">
        <v>961700228</v>
      </c>
      <c r="C1354" s="1" t="str">
        <f>"تخليه -چهارمحال بختياري -فلاردكارخانه آسفالت ياسين گنج فلارد"</f>
        <v>تخليه -چهارمحال بختياري -فلاردكارخانه آسفالت ياسين گنج فلارد</v>
      </c>
      <c r="D1354" s="1">
        <v>15810</v>
      </c>
      <c r="E1354" s="1">
        <v>67580</v>
      </c>
      <c r="F1354" s="1">
        <v>96</v>
      </c>
      <c r="G1354" s="1">
        <v>2420</v>
      </c>
      <c r="H1354" s="1" t="str">
        <f>"96/12/24"</f>
        <v>96/12/24</v>
      </c>
      <c r="I1354" s="1" t="str">
        <f>"كيلوگرم"</f>
        <v>كيلوگرم</v>
      </c>
      <c r="J1354" s="1" t="str">
        <f>"0000000088"</f>
        <v>0000000088</v>
      </c>
      <c r="K1354" s="1" t="str">
        <f>"قير  PG58-22"</f>
        <v>قير  PG58-22</v>
      </c>
      <c r="L1354" s="1">
        <v>100</v>
      </c>
      <c r="M1354" s="1" t="str">
        <f>"مخازن قير اصفهان"</f>
        <v>مخازن قير اصفهان</v>
      </c>
      <c r="N1354" s="1">
        <v>7190</v>
      </c>
      <c r="O1354" s="1">
        <v>50039009</v>
      </c>
      <c r="P1354" s="1" t="str">
        <f>"  اداره كل راه و شهرسازي چهارمحال وبختياري"</f>
        <v xml:space="preserve">  اداره كل راه و شهرسازي چهارمحال وبختياري</v>
      </c>
      <c r="Q1354" s="1">
        <v>17</v>
      </c>
      <c r="R1354" s="1" t="str">
        <f>"فروش داخلي تهران - وزارت راه - راه روستايي - روکش"</f>
        <v>فروش داخلي تهران - وزارت راه - راه روستايي - روکش</v>
      </c>
      <c r="S1354" s="1" t="str">
        <f>"قرارداد فروش"</f>
        <v>قرارداد فروش</v>
      </c>
      <c r="T1354" s="1" t="str">
        <f>"ندارد"</f>
        <v>ندارد</v>
      </c>
      <c r="U1354" s="1" t="str">
        <f>"قره باغي مجيد(1871065)"</f>
        <v>قره باغي مجيد(1871065)</v>
      </c>
      <c r="V1354" s="1">
        <v>961700228</v>
      </c>
      <c r="W1354" s="1">
        <v>961700228</v>
      </c>
      <c r="X1354" s="1" t="str">
        <f>"1396553920"</f>
        <v>1396553920</v>
      </c>
      <c r="Y1354" s="1" t="str">
        <f>"96/12/24"</f>
        <v>96/12/24</v>
      </c>
      <c r="Z1354" s="1" t="str">
        <f>"48007/710"</f>
        <v>48007/710</v>
      </c>
      <c r="AA1354" s="1" t="str">
        <f>"راه روستائي -روكش"</f>
        <v>راه روستائي -روكش</v>
      </c>
      <c r="AB1354" s="1" t="str">
        <f>"96/09/19"</f>
        <v>96/09/19</v>
      </c>
      <c r="AC1354" s="1" t="str">
        <f>"استان چهارمحال بختياري"</f>
        <v>استان چهارمحال بختياري</v>
      </c>
      <c r="AD1354" s="1" t="str">
        <f>"96/12/20"</f>
        <v>96/12/20</v>
      </c>
      <c r="AE1354" s="1" t="str">
        <f>"اختتام"</f>
        <v>اختتام</v>
      </c>
      <c r="AF1354" s="1" t="str">
        <f>""</f>
        <v/>
      </c>
      <c r="AG1354" s="1" t="str">
        <f>""</f>
        <v/>
      </c>
      <c r="AH1354" s="1" t="str">
        <f>""</f>
        <v/>
      </c>
      <c r="AI1354" s="1" t="str">
        <f>""</f>
        <v/>
      </c>
      <c r="AJ1354" s="1" t="str">
        <f>""</f>
        <v/>
      </c>
      <c r="AK1354" s="1" t="str">
        <f>""</f>
        <v/>
      </c>
    </row>
    <row r="1355" spans="1:37">
      <c r="A1355" s="1">
        <v>250000</v>
      </c>
      <c r="B1355" s="1">
        <v>961700233</v>
      </c>
      <c r="C1355" s="1" t="str">
        <f>"تخليه -چهارمحال وبختياري -بروجن كارخانه آسفالت شهرداري بروجن"</f>
        <v>تخليه -چهارمحال وبختياري -بروجن كارخانه آسفالت شهرداري بروجن</v>
      </c>
      <c r="D1355" s="1">
        <v>15810</v>
      </c>
      <c r="E1355" s="1">
        <v>249280</v>
      </c>
      <c r="F1355" s="1">
        <v>96</v>
      </c>
      <c r="G1355" s="1">
        <v>720</v>
      </c>
      <c r="H1355" s="1" t="str">
        <f>"96/12/24"</f>
        <v>96/12/24</v>
      </c>
      <c r="I1355" s="1" t="str">
        <f>"كيلوگرم"</f>
        <v>كيلوگرم</v>
      </c>
      <c r="J1355" s="1" t="str">
        <f>"0000000088"</f>
        <v>0000000088</v>
      </c>
      <c r="K1355" s="1" t="str">
        <f>"قير  PG58-22"</f>
        <v>قير  PG58-22</v>
      </c>
      <c r="L1355" s="1">
        <v>100</v>
      </c>
      <c r="M1355" s="1" t="str">
        <f>"مخازن قير اصفهان"</f>
        <v>مخازن قير اصفهان</v>
      </c>
      <c r="N1355" s="1">
        <v>7190</v>
      </c>
      <c r="O1355" s="1">
        <v>50039014</v>
      </c>
      <c r="P1355" s="1" t="str">
        <f>"  اداره كل راه و شهرسازي چهارمحال وبختياري"</f>
        <v xml:space="preserve">  اداره كل راه و شهرسازي چهارمحال وبختياري</v>
      </c>
      <c r="Q1355" s="1">
        <v>17</v>
      </c>
      <c r="R1355" s="1" t="str">
        <f>"فروش داخلي تهران - وزارت راه - راه روستايي - روکش"</f>
        <v>فروش داخلي تهران - وزارت راه - راه روستايي - روکش</v>
      </c>
      <c r="S1355" s="1" t="str">
        <f>"قرارداد فروش"</f>
        <v>قرارداد فروش</v>
      </c>
      <c r="T1355" s="1" t="str">
        <f>"ندارد"</f>
        <v>ندارد</v>
      </c>
      <c r="U1355" s="1" t="str">
        <f>"مظلوم فريبرز(1008ج89)"</f>
        <v>مظلوم فريبرز(1008ج89)</v>
      </c>
      <c r="V1355" s="1">
        <v>961700233</v>
      </c>
      <c r="W1355" s="1">
        <v>961700233</v>
      </c>
      <c r="X1355" s="1" t="str">
        <f>"1396553920"</f>
        <v>1396553920</v>
      </c>
      <c r="Y1355" s="1" t="str">
        <f>"96/12/24"</f>
        <v>96/12/24</v>
      </c>
      <c r="Z1355" s="1" t="str">
        <f>"48027/710"</f>
        <v>48027/710</v>
      </c>
      <c r="AA1355" s="1" t="str">
        <f>"راه روستائي -روكش"</f>
        <v>راه روستائي -روكش</v>
      </c>
      <c r="AB1355" s="1" t="str">
        <f>"96/09/19"</f>
        <v>96/09/19</v>
      </c>
      <c r="AC1355" s="1" t="str">
        <f>"استان چهارمحال بختياري"</f>
        <v>استان چهارمحال بختياري</v>
      </c>
      <c r="AD1355" s="1" t="str">
        <f>"96/12/20"</f>
        <v>96/12/20</v>
      </c>
      <c r="AE1355" s="1" t="str">
        <f>"اختتام"</f>
        <v>اختتام</v>
      </c>
      <c r="AF1355" s="1" t="str">
        <f>""</f>
        <v/>
      </c>
      <c r="AG1355" s="1" t="str">
        <f>""</f>
        <v/>
      </c>
      <c r="AH1355" s="1" t="str">
        <f>""</f>
        <v/>
      </c>
      <c r="AI1355" s="1" t="str">
        <f>""</f>
        <v/>
      </c>
      <c r="AJ1355" s="1" t="str">
        <f>""</f>
        <v/>
      </c>
      <c r="AK1355" s="1" t="str">
        <f>""</f>
        <v/>
      </c>
    </row>
    <row r="1356" spans="1:37">
      <c r="A1356" s="1">
        <v>1000000</v>
      </c>
      <c r="B1356" s="1">
        <v>961600011</v>
      </c>
      <c r="C1356" s="1" t="str">
        <f>"تخليه -اصفهان -روكش راههاي شهرستان گلپايگان -شركت فردسازه سپاهان"</f>
        <v>تخليه -اصفهان -روكش راههاي شهرستان گلپايگان -شركت فردسازه سپاهان</v>
      </c>
      <c r="D1356" s="1">
        <v>9204</v>
      </c>
      <c r="E1356" s="1">
        <v>999280</v>
      </c>
      <c r="F1356" s="1">
        <v>96</v>
      </c>
      <c r="G1356" s="1">
        <v>720</v>
      </c>
      <c r="H1356" s="1" t="str">
        <f>"96/05/25"</f>
        <v>96/05/25</v>
      </c>
      <c r="I1356" s="1" t="str">
        <f>"كيلوگرم"</f>
        <v>كيلوگرم</v>
      </c>
      <c r="J1356" s="1" t="str">
        <f>"0000000088"</f>
        <v>0000000088</v>
      </c>
      <c r="K1356" s="1" t="str">
        <f>"قير  PG58-22"</f>
        <v>قير  PG58-22</v>
      </c>
      <c r="L1356" s="1">
        <v>100</v>
      </c>
      <c r="M1356" s="1" t="str">
        <f>"مخازن قير اصفهان"</f>
        <v>مخازن قير اصفهان</v>
      </c>
      <c r="N1356" s="1">
        <v>7325</v>
      </c>
      <c r="O1356" s="1">
        <v>50035692</v>
      </c>
      <c r="P1356" s="1" t="str">
        <f>"  فردسازه سپاهان"</f>
        <v xml:space="preserve">  فردسازه سپاهان</v>
      </c>
      <c r="Q1356" s="1">
        <v>16</v>
      </c>
      <c r="R1356" s="1" t="str">
        <f>"فروش داخلي تهران - وزارت راه - معاونت اقتصاد"</f>
        <v>فروش داخلي تهران - وزارت راه - معاونت اقتصاد</v>
      </c>
      <c r="S1356" s="1" t="str">
        <f>"قرارداد فروش"</f>
        <v>قرارداد فروش</v>
      </c>
      <c r="T1356" s="1" t="str">
        <f>"ندارد"</f>
        <v>ندارد</v>
      </c>
      <c r="U1356" s="1" t="str">
        <f>"علي عابدي ابوالقاسم(1003ج89)"</f>
        <v>علي عابدي ابوالقاسم(1003ج89)</v>
      </c>
      <c r="V1356" s="1">
        <v>961600011</v>
      </c>
      <c r="W1356" s="1">
        <v>961600011</v>
      </c>
      <c r="X1356" s="1" t="str">
        <f>"1396506149"</f>
        <v>1396506149</v>
      </c>
      <c r="Y1356" s="1" t="str">
        <f>"96/05/25"</f>
        <v>96/05/25</v>
      </c>
      <c r="Z1356" s="1" t="str">
        <f>"24738/710"</f>
        <v>24738/710</v>
      </c>
      <c r="AA1356" s="1" t="str">
        <f>"معاونت اقتصادوزارت راه وشهرسازي"</f>
        <v>معاونت اقتصادوزارت راه وشهرسازي</v>
      </c>
      <c r="AB1356" s="1" t="str">
        <f>"96/05/23"</f>
        <v>96/05/23</v>
      </c>
      <c r="AC1356" s="1" t="str">
        <f>"استان اصفهان"</f>
        <v>استان اصفهان</v>
      </c>
      <c r="AD1356" s="1" t="str">
        <f>"96/05/25"</f>
        <v>96/05/25</v>
      </c>
      <c r="AE1356" s="1" t="str">
        <f>"اختتام"</f>
        <v>اختتام</v>
      </c>
      <c r="AF1356" s="1" t="str">
        <f>""</f>
        <v/>
      </c>
      <c r="AG1356" s="1" t="str">
        <f>""</f>
        <v/>
      </c>
      <c r="AH1356" s="1" t="str">
        <f>""</f>
        <v/>
      </c>
      <c r="AI1356" s="1" t="str">
        <f>""</f>
        <v/>
      </c>
      <c r="AJ1356" s="1" t="str">
        <f>""</f>
        <v/>
      </c>
      <c r="AK1356" s="1" t="str">
        <f>""</f>
        <v/>
      </c>
    </row>
    <row r="1357" spans="1:37">
      <c r="A1357" s="1">
        <v>500000</v>
      </c>
      <c r="B1357" s="1">
        <v>961600020</v>
      </c>
      <c r="C1357" s="1" t="str">
        <f>"تخليه -چهارمحال وبختياري -گردنه رخ -كارخانه آسفالت شركت زرين استحكام"</f>
        <v>تخليه -چهارمحال وبختياري -گردنه رخ -كارخانه آسفالت شركت زرين استحكام</v>
      </c>
      <c r="D1357" s="1">
        <v>13600</v>
      </c>
      <c r="E1357" s="1">
        <v>499080</v>
      </c>
      <c r="F1357" s="1">
        <v>96</v>
      </c>
      <c r="G1357" s="1">
        <v>920</v>
      </c>
      <c r="H1357" s="1" t="str">
        <f>"96/08/16"</f>
        <v>96/08/16</v>
      </c>
      <c r="I1357" s="1" t="str">
        <f>"كيلوگرم"</f>
        <v>كيلوگرم</v>
      </c>
      <c r="J1357" s="1" t="str">
        <f>"0000000088"</f>
        <v>0000000088</v>
      </c>
      <c r="K1357" s="1" t="str">
        <f>"قير  PG58-22"</f>
        <v>قير  PG58-22</v>
      </c>
      <c r="L1357" s="1">
        <v>100</v>
      </c>
      <c r="M1357" s="1" t="str">
        <f>"مخازن قير اصفهان"</f>
        <v>مخازن قير اصفهان</v>
      </c>
      <c r="N1357" s="1">
        <v>9777</v>
      </c>
      <c r="O1357" s="1">
        <v>50037088</v>
      </c>
      <c r="P1357" s="1" t="str">
        <f>"  كاويان سازان كوهستان"</f>
        <v xml:space="preserve">  كاويان سازان كوهستان</v>
      </c>
      <c r="Q1357" s="1">
        <v>16</v>
      </c>
      <c r="R1357" s="1" t="str">
        <f>"فروش داخلي تهران - وزارت راه - معاونت اقتصاد"</f>
        <v>فروش داخلي تهران - وزارت راه - معاونت اقتصاد</v>
      </c>
      <c r="S1357" s="1" t="str">
        <f>"قرارداد فروش"</f>
        <v>قرارداد فروش</v>
      </c>
      <c r="T1357" s="1" t="str">
        <f>"ندارد"</f>
        <v>ندارد</v>
      </c>
      <c r="U1357" s="1" t="str">
        <f>"قره باغي مجيد(1871065)"</f>
        <v>قره باغي مجيد(1871065)</v>
      </c>
      <c r="V1357" s="1">
        <v>961600020</v>
      </c>
      <c r="W1357" s="1">
        <v>961600020</v>
      </c>
      <c r="X1357" s="1" t="str">
        <f>"1396524016"</f>
        <v>1396524016</v>
      </c>
      <c r="Y1357" s="1" t="str">
        <f>"96/08/16"</f>
        <v>96/08/16</v>
      </c>
      <c r="Z1357" s="1" t="str">
        <f>"40856/710"</f>
        <v>40856/710</v>
      </c>
      <c r="AA1357" s="1" t="str">
        <f>"معاونت اقتصادوزارت راه وشهرسازي"</f>
        <v>معاونت اقتصادوزارت راه وشهرسازي</v>
      </c>
      <c r="AB1357" s="1" t="str">
        <f>"96/08/14"</f>
        <v>96/08/14</v>
      </c>
      <c r="AC1357" s="1" t="str">
        <f>"استان چهارمحال بختياري"</f>
        <v>استان چهارمحال بختياري</v>
      </c>
      <c r="AD1357" s="1" t="str">
        <f>"96/08/16"</f>
        <v>96/08/16</v>
      </c>
      <c r="AE1357" s="1" t="str">
        <f>"اختتام"</f>
        <v>اختتام</v>
      </c>
      <c r="AF1357" s="1" t="str">
        <f>""</f>
        <v/>
      </c>
      <c r="AG1357" s="1" t="str">
        <f>""</f>
        <v/>
      </c>
      <c r="AH1357" s="1" t="str">
        <f>""</f>
        <v/>
      </c>
      <c r="AI1357" s="1" t="str">
        <f>""</f>
        <v/>
      </c>
      <c r="AJ1357" s="1" t="str">
        <f>""</f>
        <v/>
      </c>
      <c r="AK1357" s="1" t="str">
        <f>""</f>
        <v/>
      </c>
    </row>
    <row r="1358" spans="1:37">
      <c r="A1358" s="1">
        <v>400000</v>
      </c>
      <c r="B1358" s="1">
        <v>961800029</v>
      </c>
      <c r="C1358" s="1" t="str">
        <f>"تخليه -كيلومتر25سقز-سنندج -کارخانه آسفالت شركت بيس راه"</f>
        <v>تخليه -كيلومتر25سقز-سنندج -کارخانه آسفالت شركت بيس راه</v>
      </c>
      <c r="D1358" s="1">
        <v>9204</v>
      </c>
      <c r="E1358" s="1">
        <v>400000</v>
      </c>
      <c r="F1358" s="1">
        <v>96</v>
      </c>
      <c r="G1358" s="1">
        <v>0</v>
      </c>
      <c r="H1358" s="1" t="str">
        <f>"96/05/25"</f>
        <v>96/05/25</v>
      </c>
      <c r="I1358" s="1" t="str">
        <f>"كيلوگرم"</f>
        <v>كيلوگرم</v>
      </c>
      <c r="J1358" s="1" t="str">
        <f>"0000000088"</f>
        <v>0000000088</v>
      </c>
      <c r="K1358" s="1" t="str">
        <f>"قير  PG58-22"</f>
        <v>قير  PG58-22</v>
      </c>
      <c r="L1358" s="1">
        <v>100</v>
      </c>
      <c r="M1358" s="1" t="str">
        <f>"مخازن قير اصفهان"</f>
        <v>مخازن قير اصفهان</v>
      </c>
      <c r="N1358" s="1">
        <v>9805</v>
      </c>
      <c r="O1358" s="1">
        <v>50035704</v>
      </c>
      <c r="P1358" s="1" t="str">
        <f>"  بيس راه"</f>
        <v xml:space="preserve">  بيس راه</v>
      </c>
      <c r="Q1358" s="1">
        <v>18</v>
      </c>
      <c r="R1358" s="1" t="str">
        <f>"فروش داخلي تهران - وزارت راه - شرکت ساخت و توسعه راهها"</f>
        <v>فروش داخلي تهران - وزارت راه - شرکت ساخت و توسعه راهها</v>
      </c>
      <c r="S1358" s="1" t="str">
        <f>"قرارداد فروش"</f>
        <v>قرارداد فروش</v>
      </c>
      <c r="T1358" s="1" t="str">
        <f>"ندارد"</f>
        <v>ندارد</v>
      </c>
      <c r="U1358" s="1" t="str">
        <f>"خليلي مقدم حسين(3843001)"</f>
        <v>خليلي مقدم حسين(3843001)</v>
      </c>
      <c r="V1358" s="1">
        <v>961800029</v>
      </c>
      <c r="W1358" s="1">
        <v>961800029</v>
      </c>
      <c r="X1358" s="1" t="str">
        <f>"1396506148"</f>
        <v>1396506148</v>
      </c>
      <c r="Y1358" s="1" t="str">
        <f>"96/05/25"</f>
        <v>96/05/25</v>
      </c>
      <c r="Z1358" s="1" t="str">
        <f>"23747/710"</f>
        <v>23747/710</v>
      </c>
      <c r="AA1358" s="1" t="str">
        <f>"شركت  ساخت وتوسعه راهها"</f>
        <v>شركت  ساخت وتوسعه راهها</v>
      </c>
      <c r="AB1358" s="1" t="str">
        <f>"96/05/18"</f>
        <v>96/05/18</v>
      </c>
      <c r="AC1358" s="1" t="str">
        <f>"استان كرمانشاه"</f>
        <v>استان كرمانشاه</v>
      </c>
      <c r="AD1358" s="1" t="str">
        <f>"96/05/25"</f>
        <v>96/05/25</v>
      </c>
      <c r="AE1358" s="1" t="str">
        <f>"اختتام"</f>
        <v>اختتام</v>
      </c>
      <c r="AF1358" s="1" t="str">
        <f>""</f>
        <v/>
      </c>
      <c r="AG1358" s="1" t="str">
        <f>""</f>
        <v/>
      </c>
      <c r="AH1358" s="1" t="str">
        <f>""</f>
        <v/>
      </c>
      <c r="AI1358" s="1" t="str">
        <f>""</f>
        <v/>
      </c>
      <c r="AJ1358" s="1" t="str">
        <f>""</f>
        <v/>
      </c>
      <c r="AK1358" s="1" t="str">
        <f>""</f>
        <v/>
      </c>
    </row>
    <row r="1359" spans="1:37">
      <c r="A1359" s="1">
        <v>300000</v>
      </c>
      <c r="B1359" s="1">
        <v>961900084</v>
      </c>
      <c r="C1359" s="1" t="str">
        <f>"تخليه -چهارمحال وبختياري -دوراهي فارسان جونقان جنب كارخانه گچ -كارخانه آسفالت شركت احمديه چليچه"</f>
        <v>تخليه -چهارمحال وبختياري -دوراهي فارسان جونقان جنب كارخانه گچ -كارخانه آسفالت شركت احمديه چليچه</v>
      </c>
      <c r="D1359" s="1">
        <v>8904</v>
      </c>
      <c r="E1359" s="1">
        <v>298620</v>
      </c>
      <c r="F1359" s="1">
        <v>96</v>
      </c>
      <c r="G1359" s="1">
        <v>1380</v>
      </c>
      <c r="H1359" s="1" t="str">
        <f>"96/04/25"</f>
        <v>96/04/25</v>
      </c>
      <c r="I1359" s="1" t="str">
        <f>"كيلوگرم"</f>
        <v>كيلوگرم</v>
      </c>
      <c r="J1359" s="1" t="str">
        <f>"0000000088"</f>
        <v>0000000088</v>
      </c>
      <c r="K1359" s="1" t="str">
        <f>"قير  PG58-22"</f>
        <v>قير  PG58-22</v>
      </c>
      <c r="L1359" s="1">
        <v>100</v>
      </c>
      <c r="M1359" s="1" t="str">
        <f>"مخازن قير اصفهان"</f>
        <v>مخازن قير اصفهان</v>
      </c>
      <c r="N1359" s="1">
        <v>9809</v>
      </c>
      <c r="O1359" s="1">
        <v>50035226</v>
      </c>
      <c r="P1359" s="1" t="str">
        <f>"  راه و ساختمان احمديه چليچه"</f>
        <v xml:space="preserve">  راه و ساختمان احمديه چليچه</v>
      </c>
      <c r="Q1359" s="1">
        <v>19</v>
      </c>
      <c r="R135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359" s="1" t="str">
        <f>"قرارداد فروش"</f>
        <v>قرارداد فروش</v>
      </c>
      <c r="T1359" s="1" t="str">
        <f>"ندارد"</f>
        <v>ندارد</v>
      </c>
      <c r="U1359" s="1" t="str">
        <f>"قره باغي مجيد(1871065)"</f>
        <v>قره باغي مجيد(1871065)</v>
      </c>
      <c r="V1359" s="1">
        <v>961900084</v>
      </c>
      <c r="W1359" s="1">
        <v>961900084</v>
      </c>
      <c r="X1359" s="1" t="str">
        <f>"1396496977"</f>
        <v>1396496977</v>
      </c>
      <c r="Y1359" s="1" t="str">
        <f>"96/04/25"</f>
        <v>96/04/25</v>
      </c>
      <c r="Z1359" s="1" t="str">
        <f>"18229/710"</f>
        <v>18229/710</v>
      </c>
      <c r="AA1359" s="1" t="str">
        <f>"سازمان راهداري وحمل نقل جاده اي"</f>
        <v>سازمان راهداري وحمل نقل جاده اي</v>
      </c>
      <c r="AB1359" s="1" t="str">
        <f>"96/04/21"</f>
        <v>96/04/21</v>
      </c>
      <c r="AC1359" s="1" t="str">
        <f>"استان چهارمحال بختياري"</f>
        <v>استان چهارمحال بختياري</v>
      </c>
      <c r="AD1359" s="1" t="str">
        <f>"96/04/25"</f>
        <v>96/04/25</v>
      </c>
      <c r="AE1359" s="1" t="str">
        <f>"اختتام"</f>
        <v>اختتام</v>
      </c>
      <c r="AF1359" s="1" t="str">
        <f>""</f>
        <v/>
      </c>
      <c r="AG1359" s="1" t="str">
        <f>""</f>
        <v/>
      </c>
      <c r="AH1359" s="1" t="str">
        <f>""</f>
        <v/>
      </c>
      <c r="AI1359" s="1" t="str">
        <f>""</f>
        <v/>
      </c>
      <c r="AJ1359" s="1" t="str">
        <f>""</f>
        <v/>
      </c>
      <c r="AK1359" s="1" t="str">
        <f>""</f>
        <v/>
      </c>
    </row>
    <row r="1360" spans="1:37">
      <c r="A1360" s="1">
        <v>459000</v>
      </c>
      <c r="B1360" s="1">
        <v>961400007</v>
      </c>
      <c r="C1360" s="1" t="str">
        <f>"تخليه - چهارمحال و بختياري-شهرکرد-پروژه بهسازي و آسفالت جاده هاي منطقه اوره -شهرستان لردگان"</f>
        <v>تخليه - چهارمحال و بختياري-شهرکرد-پروژه بهسازي و آسفالت جاده هاي منطقه اوره -شهرستان لردگان</v>
      </c>
      <c r="D1360" s="1">
        <v>9354</v>
      </c>
      <c r="E1360" s="1">
        <v>458480</v>
      </c>
      <c r="F1360" s="1">
        <v>96</v>
      </c>
      <c r="G1360" s="1">
        <v>520</v>
      </c>
      <c r="H1360" s="1" t="str">
        <f>"96/02/06"</f>
        <v>96/02/06</v>
      </c>
      <c r="I1360" s="1" t="str">
        <f>"كيلوگرم"</f>
        <v>كيلوگرم</v>
      </c>
      <c r="J1360" s="1" t="str">
        <f>"0000000088"</f>
        <v>0000000088</v>
      </c>
      <c r="K1360" s="1" t="str">
        <f>"قير  PG58-22"</f>
        <v>قير  PG58-22</v>
      </c>
      <c r="L1360" s="1">
        <v>100</v>
      </c>
      <c r="M1360" s="1" t="str">
        <f>"مخازن قير اصفهان"</f>
        <v>مخازن قير اصفهان</v>
      </c>
      <c r="N1360" s="1">
        <v>9939</v>
      </c>
      <c r="O1360" s="1">
        <v>50034708</v>
      </c>
      <c r="P1360" s="1" t="str">
        <f>"  بهسازان ميلاس"</f>
        <v xml:space="preserve">  بهسازان ميلاس</v>
      </c>
      <c r="Q1360" s="1">
        <v>14</v>
      </c>
      <c r="R1360" s="1" t="str">
        <f>"فروش داخلي - وزارت راه - حوزه راه روستايي ساخت"</f>
        <v>فروش داخلي - وزارت راه - حوزه راه روستايي ساخت</v>
      </c>
      <c r="S1360" s="1" t="str">
        <f>"قرارداد فروش"</f>
        <v>قرارداد فروش</v>
      </c>
      <c r="T1360" s="1" t="str">
        <f>"ندارد"</f>
        <v>ندارد</v>
      </c>
      <c r="U1360" s="1" t="str">
        <f>"مظلوم فريبرز(1008ج89)"</f>
        <v>مظلوم فريبرز(1008ج89)</v>
      </c>
      <c r="V1360" s="1">
        <v>961400007</v>
      </c>
      <c r="W1360" s="1">
        <v>961400007</v>
      </c>
      <c r="X1360" s="1" t="str">
        <f>"1396477334"</f>
        <v>1396477334</v>
      </c>
      <c r="Y1360" s="1" t="str">
        <f>"96/02/06"</f>
        <v>96/02/06</v>
      </c>
      <c r="Z1360" s="1" t="str">
        <f>"1650/710"</f>
        <v>1650/710</v>
      </c>
      <c r="AA1360" s="1" t="str">
        <f>"راه وروستايي -ساخت"</f>
        <v>راه وروستايي -ساخت</v>
      </c>
      <c r="AB1360" s="1" t="str">
        <f>"95/12/28"</f>
        <v>95/12/28</v>
      </c>
      <c r="AC1360" s="1" t="str">
        <f>"استان چهارمحال بختياري"</f>
        <v>استان چهارمحال بختياري</v>
      </c>
      <c r="AD1360" s="1" t="str">
        <f>"96/02/06"</f>
        <v>96/02/06</v>
      </c>
      <c r="AE1360" s="1" t="str">
        <f>"اختتام"</f>
        <v>اختتام</v>
      </c>
      <c r="AF1360" s="1" t="str">
        <f>""</f>
        <v/>
      </c>
      <c r="AG1360" s="1" t="str">
        <f>""</f>
        <v/>
      </c>
      <c r="AH1360" s="1" t="str">
        <f>""</f>
        <v/>
      </c>
      <c r="AI1360" s="1" t="str">
        <f>""</f>
        <v/>
      </c>
      <c r="AJ1360" s="1" t="str">
        <f>""</f>
        <v/>
      </c>
      <c r="AK1360" s="1" t="str">
        <f>""</f>
        <v/>
      </c>
    </row>
    <row r="1361" spans="1:37">
      <c r="A1361" s="1">
        <v>135000</v>
      </c>
      <c r="B1361" s="1">
        <v>961600029</v>
      </c>
      <c r="C1361" s="1" t="str">
        <f>"تخليه كردستان سقزمحورسقزمريوان بعدازپل دوآب كارخانه آسفالت جهادنصرمركزي"</f>
        <v>تخليه كردستان سقزمحورسقزمريوان بعدازپل دوآب كارخانه آسفالت جهادنصرمركزي</v>
      </c>
      <c r="D1361" s="1">
        <v>13100</v>
      </c>
      <c r="E1361" s="1">
        <v>133540</v>
      </c>
      <c r="F1361" s="1">
        <v>96</v>
      </c>
      <c r="G1361" s="1">
        <v>1460</v>
      </c>
      <c r="H1361" s="1" t="str">
        <f>"96/12/24"</f>
        <v>96/12/24</v>
      </c>
      <c r="I1361" s="1" t="str">
        <f>"كيلوگرم"</f>
        <v>كيلوگرم</v>
      </c>
      <c r="J1361" s="1" t="str">
        <f>"0000000088"</f>
        <v>0000000088</v>
      </c>
      <c r="K1361" s="1" t="str">
        <f>"قير  PG58-22"</f>
        <v>قير  PG58-22</v>
      </c>
      <c r="L1361" s="1">
        <v>100</v>
      </c>
      <c r="M1361" s="1" t="str">
        <f>"مخازن قير اصفهان"</f>
        <v>مخازن قير اصفهان</v>
      </c>
      <c r="N1361" s="1">
        <v>9957</v>
      </c>
      <c r="O1361" s="1">
        <v>50039022</v>
      </c>
      <c r="P1361" s="1" t="str">
        <f>"  عمران رهاب آبيدر"</f>
        <v xml:space="preserve">  عمران رهاب آبيدر</v>
      </c>
      <c r="Q1361" s="1">
        <v>16</v>
      </c>
      <c r="R1361" s="1" t="str">
        <f>"فروش داخلي تهران - وزارت راه - معاونت اقتصاد"</f>
        <v>فروش داخلي تهران - وزارت راه - معاونت اقتصاد</v>
      </c>
      <c r="S1361" s="1" t="str">
        <f>"قرارداد فروش"</f>
        <v>قرارداد فروش</v>
      </c>
      <c r="T1361" s="1" t="str">
        <f>"ندارد"</f>
        <v>ندارد</v>
      </c>
      <c r="U1361" s="1" t="str">
        <f>"ميهن دوست عبداله(2842010)"</f>
        <v>ميهن دوست عبداله(2842010)</v>
      </c>
      <c r="V1361" s="1">
        <v>961600029</v>
      </c>
      <c r="W1361" s="1">
        <v>961600029</v>
      </c>
      <c r="X1361" s="1" t="str">
        <f>"1396554557"</f>
        <v>1396554557</v>
      </c>
      <c r="Y1361" s="1" t="str">
        <f>"96/12/24"</f>
        <v>96/12/24</v>
      </c>
      <c r="Z1361" s="1" t="str">
        <f>"50478/710"</f>
        <v>50478/710</v>
      </c>
      <c r="AA1361" s="1" t="str">
        <f>"معاونت اقتصادوزارت راه وشهرسازي"</f>
        <v>معاونت اقتصادوزارت راه وشهرسازي</v>
      </c>
      <c r="AB1361" s="1" t="str">
        <f>"96/10/02"</f>
        <v>96/10/02</v>
      </c>
      <c r="AC1361" s="1" t="str">
        <f>"استان كردستان"</f>
        <v>استان كردستان</v>
      </c>
      <c r="AD1361" s="1" t="str">
        <f>"96/12/22"</f>
        <v>96/12/22</v>
      </c>
      <c r="AE1361" s="1" t="str">
        <f>"اختتام"</f>
        <v>اختتام</v>
      </c>
      <c r="AF1361" s="1" t="str">
        <f>""</f>
        <v/>
      </c>
      <c r="AG1361" s="1" t="str">
        <f>""</f>
        <v/>
      </c>
      <c r="AH1361" s="1" t="str">
        <f>""</f>
        <v/>
      </c>
      <c r="AI1361" s="1" t="str">
        <f>""</f>
        <v/>
      </c>
      <c r="AJ1361" s="1" t="str">
        <f>""</f>
        <v/>
      </c>
      <c r="AK1361" s="1" t="str">
        <f>""</f>
        <v/>
      </c>
    </row>
    <row r="1362" spans="1:37">
      <c r="A1362" s="1">
        <v>115696</v>
      </c>
      <c r="B1362" s="1">
        <v>962000041</v>
      </c>
      <c r="C1362" s="1" t="str">
        <f>"تخليه اصفهان جاده بروجن مبركه جاده قاميشلوشركت تك شن"</f>
        <v>تخليه اصفهان جاده بروجن مبركه جاده قاميشلوشركت تك شن</v>
      </c>
      <c r="D1362" s="1">
        <v>9113</v>
      </c>
      <c r="E1362" s="1">
        <v>115696</v>
      </c>
      <c r="F1362" s="1">
        <v>96</v>
      </c>
      <c r="G1362" s="1">
        <v>0</v>
      </c>
      <c r="H1362" s="1" t="str">
        <f>"96/07/03"</f>
        <v>96/07/03</v>
      </c>
      <c r="I1362" s="1" t="str">
        <f>"كيلوگرم"</f>
        <v>كيلوگرم</v>
      </c>
      <c r="J1362" s="1" t="str">
        <f>"0000000076"</f>
        <v>0000000076</v>
      </c>
      <c r="K1362" s="1" t="str">
        <f>"قير 60/70 - فله"</f>
        <v>قير 60/70 - فله</v>
      </c>
      <c r="L1362" s="1">
        <v>100</v>
      </c>
      <c r="M1362" s="1" t="str">
        <f>"مخازن قير اصفهان"</f>
        <v>مخازن قير اصفهان</v>
      </c>
      <c r="N1362" s="1">
        <v>9601</v>
      </c>
      <c r="O1362" s="1">
        <v>50036187</v>
      </c>
      <c r="P1362" s="1" t="str">
        <f>"  شهرداري دهاقان"</f>
        <v xml:space="preserve">  شهرداري دهاقان</v>
      </c>
      <c r="Q1362" s="1">
        <v>20</v>
      </c>
      <c r="R1362" s="1" t="str">
        <f>"فروش داخلي - سازمان شهرداري ها و دهياري هاي كشور"</f>
        <v>فروش داخلي - سازمان شهرداري ها و دهياري هاي كشور</v>
      </c>
      <c r="S1362" s="1" t="str">
        <f>"قرارداد فروش"</f>
        <v>قرارداد فروش</v>
      </c>
      <c r="T1362" s="1" t="str">
        <f>"ندارد"</f>
        <v>ندارد</v>
      </c>
      <c r="U1362" s="1" t="str">
        <f>"تعاوني جم گستر (1001 ج 89)"</f>
        <v>تعاوني جم گستر (1001 ج 89)</v>
      </c>
      <c r="V1362" s="1">
        <v>962000041</v>
      </c>
      <c r="W1362" s="1">
        <v>962000041</v>
      </c>
      <c r="X1362" s="1" t="str">
        <f>"1396514467"</f>
        <v>1396514467</v>
      </c>
      <c r="Y1362" s="1" t="str">
        <f>"96/07/03"</f>
        <v>96/07/03</v>
      </c>
      <c r="Z1362" s="1" t="str">
        <f>"26816مرحله اول"</f>
        <v>26816مرحله اول</v>
      </c>
      <c r="AA1362" s="1" t="str">
        <f>"شهرداريها"</f>
        <v>شهرداريها</v>
      </c>
      <c r="AB1362" s="1" t="str">
        <f>"96/06/29"</f>
        <v>96/06/29</v>
      </c>
      <c r="AC1362" s="1" t="str">
        <f>"استان اصفهان"</f>
        <v>استان اصفهان</v>
      </c>
      <c r="AD1362" s="1" t="str">
        <f>"96/07/03"</f>
        <v>96/07/03</v>
      </c>
      <c r="AE1362" s="1" t="str">
        <f>"اختتام"</f>
        <v>اختتام</v>
      </c>
      <c r="AF1362" s="1" t="str">
        <f>""</f>
        <v/>
      </c>
      <c r="AG1362" s="1" t="str">
        <f>""</f>
        <v/>
      </c>
      <c r="AH1362" s="1" t="str">
        <f>""</f>
        <v/>
      </c>
      <c r="AI1362" s="1" t="str">
        <f>""</f>
        <v/>
      </c>
      <c r="AJ1362" s="1" t="str">
        <f>""</f>
        <v/>
      </c>
      <c r="AK1362" s="1" t="str">
        <f>""</f>
        <v/>
      </c>
    </row>
    <row r="1363" spans="1:37">
      <c r="A1363" s="1">
        <v>200000</v>
      </c>
      <c r="B1363" s="1">
        <v>961900076</v>
      </c>
      <c r="C1363" s="1" t="str">
        <f>"تخليه -اصفهان -جاده مباركه به طالخونچه -كيلومتر12-فلكه ورودي شهر-مجتمع كارگاهي اميركبير"</f>
        <v>تخليه -اصفهان -جاده مباركه به طالخونچه -كيلومتر12-فلكه ورودي شهر-مجتمع كارگاهي اميركبير</v>
      </c>
      <c r="D1363" s="1">
        <v>9363</v>
      </c>
      <c r="E1363" s="1">
        <v>199540</v>
      </c>
      <c r="F1363" s="1">
        <v>96</v>
      </c>
      <c r="G1363" s="1">
        <v>460</v>
      </c>
      <c r="H1363" s="1" t="str">
        <f>"96/04/22"</f>
        <v>96/04/22</v>
      </c>
      <c r="I1363" s="1" t="str">
        <f>"كيلوگرم"</f>
        <v>كيلوگرم</v>
      </c>
      <c r="J1363" s="1" t="str">
        <f>"0000000088"</f>
        <v>0000000088</v>
      </c>
      <c r="K1363" s="1" t="str">
        <f>"قير  PG58-22"</f>
        <v>قير  PG58-22</v>
      </c>
      <c r="L1363" s="1">
        <v>100</v>
      </c>
      <c r="M1363" s="1" t="str">
        <f>"مخازن قير اصفهان"</f>
        <v>مخازن قير اصفهان</v>
      </c>
      <c r="N1363" s="1">
        <v>10497</v>
      </c>
      <c r="O1363" s="1">
        <v>50035201</v>
      </c>
      <c r="P1363" s="1" t="str">
        <f>"  نويدنورسپاهان"</f>
        <v xml:space="preserve">  نويدنورسپاهان</v>
      </c>
      <c r="Q1363" s="1">
        <v>19</v>
      </c>
      <c r="R136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363" s="1" t="str">
        <f>"قرارداد فروش"</f>
        <v>قرارداد فروش</v>
      </c>
      <c r="T1363" s="1" t="str">
        <f>"ندارد"</f>
        <v>ندارد</v>
      </c>
      <c r="U1363" s="1" t="str">
        <f>"شهبازي محمدرضا(1029ج89)"</f>
        <v>شهبازي محمدرضا(1029ج89)</v>
      </c>
      <c r="V1363" s="1">
        <v>961900076</v>
      </c>
      <c r="W1363" s="1">
        <v>961900076</v>
      </c>
      <c r="X1363" s="1" t="str">
        <f>"1396496304"</f>
        <v>1396496304</v>
      </c>
      <c r="Y1363" s="1" t="str">
        <f>"96/04/22"</f>
        <v>96/04/22</v>
      </c>
      <c r="Z1363" s="1" t="str">
        <f>"17683/710"</f>
        <v>17683/710</v>
      </c>
      <c r="AA1363" s="1" t="str">
        <f>"سازمان راهداري وحمل نقل جاده اي"</f>
        <v>سازمان راهداري وحمل نقل جاده اي</v>
      </c>
      <c r="AB1363" s="1" t="str">
        <f>"96/04/20"</f>
        <v>96/04/20</v>
      </c>
      <c r="AC1363" s="1" t="str">
        <f>"استان اصفهان"</f>
        <v>استان اصفهان</v>
      </c>
      <c r="AD1363" s="1" t="str">
        <f>"96/04/21"</f>
        <v>96/04/21</v>
      </c>
      <c r="AE1363" s="1" t="str">
        <f>"اختتام"</f>
        <v>اختتام</v>
      </c>
      <c r="AF1363" s="1" t="str">
        <f>""</f>
        <v/>
      </c>
      <c r="AG1363" s="1" t="str">
        <f>""</f>
        <v/>
      </c>
      <c r="AH1363" s="1" t="str">
        <f>""</f>
        <v/>
      </c>
      <c r="AI1363" s="1" t="str">
        <f>""</f>
        <v/>
      </c>
      <c r="AJ1363" s="1" t="str">
        <f>""</f>
        <v/>
      </c>
      <c r="AK1363" s="1" t="str">
        <f>""</f>
        <v/>
      </c>
    </row>
    <row r="1364" spans="1:37">
      <c r="A1364" s="1">
        <v>56000</v>
      </c>
      <c r="B1364" s="1">
        <v>966200028</v>
      </c>
      <c r="C1364" s="1" t="str">
        <f>"تخليه -آذربايجان غربي-خوي-کارخانه آسفالت شهرداري فيرورق"</f>
        <v>تخليه -آذربايجان غربي-خوي-کارخانه آسفالت شهرداري فيرورق</v>
      </c>
      <c r="D1364" s="1">
        <v>8348</v>
      </c>
      <c r="E1364" s="1">
        <v>55560</v>
      </c>
      <c r="F1364" s="1">
        <v>96</v>
      </c>
      <c r="G1364" s="1">
        <v>440</v>
      </c>
      <c r="H1364" s="1" t="str">
        <f>"96/01/23"</f>
        <v>96/01/23</v>
      </c>
      <c r="I1364" s="1" t="str">
        <f>"كيلوگرم"</f>
        <v>كيلوگرم</v>
      </c>
      <c r="J1364" s="1" t="str">
        <f>"0000000088"</f>
        <v>0000000088</v>
      </c>
      <c r="K1364" s="1" t="str">
        <f>"قير  PG58-22"</f>
        <v>قير  PG58-22</v>
      </c>
      <c r="L1364" s="1">
        <v>100</v>
      </c>
      <c r="M1364" s="1" t="str">
        <f>"مخازن قير اصفهان"</f>
        <v>مخازن قير اصفهان</v>
      </c>
      <c r="N1364" s="1">
        <v>11333</v>
      </c>
      <c r="O1364" s="1">
        <v>50034553</v>
      </c>
      <c r="P1364" s="1" t="str">
        <f>"  سهند گستر سعدي"</f>
        <v xml:space="preserve">  سهند گستر سعدي</v>
      </c>
      <c r="Q1364" s="1">
        <v>62</v>
      </c>
      <c r="R1364" s="1" t="str">
        <f>"فروش داخلي - سازمان بنيادمسكن انقلاب اسلامي"</f>
        <v>فروش داخلي - سازمان بنيادمسكن انقلاب اسلامي</v>
      </c>
      <c r="S1364" s="1" t="str">
        <f>"قرارداد فروش"</f>
        <v>قرارداد فروش</v>
      </c>
      <c r="T1364" s="1" t="str">
        <f>"ندارد"</f>
        <v>ندارد</v>
      </c>
      <c r="U1364" s="1" t="str">
        <f>"جمشيدي اسكوئي عادل(3843005)"</f>
        <v>جمشيدي اسكوئي عادل(3843005)</v>
      </c>
      <c r="V1364" s="1">
        <v>966200028</v>
      </c>
      <c r="W1364" s="1">
        <v>966200028</v>
      </c>
      <c r="X1364" s="1" t="str">
        <f>"1396474038"</f>
        <v>1396474038</v>
      </c>
      <c r="Y1364" s="1" t="str">
        <f>"96/01/23"</f>
        <v>96/01/23</v>
      </c>
      <c r="Z1364" s="1" t="str">
        <f>"1451/د"</f>
        <v>1451/د</v>
      </c>
      <c r="AA1364" s="1" t="str">
        <f>"بنيادمسكن انقلاب اسلامي"</f>
        <v>بنيادمسكن انقلاب اسلامي</v>
      </c>
      <c r="AB1364" s="1" t="str">
        <f>"96/01/21"</f>
        <v>96/01/21</v>
      </c>
      <c r="AC1364" s="1" t="str">
        <f>"استان آذربايجان غربي"</f>
        <v>استان آذربايجان غربي</v>
      </c>
      <c r="AD1364" s="1" t="str">
        <f>"96/01/23"</f>
        <v>96/01/23</v>
      </c>
      <c r="AE1364" s="1" t="str">
        <f>"اختتام"</f>
        <v>اختتام</v>
      </c>
      <c r="AF1364" s="1" t="str">
        <f>""</f>
        <v/>
      </c>
      <c r="AG1364" s="1" t="str">
        <f>""</f>
        <v/>
      </c>
      <c r="AH1364" s="1" t="str">
        <f>""</f>
        <v/>
      </c>
      <c r="AI1364" s="1" t="str">
        <f>""</f>
        <v/>
      </c>
      <c r="AJ1364" s="1" t="str">
        <f>""</f>
        <v/>
      </c>
      <c r="AK1364" s="1" t="str">
        <f>""</f>
        <v/>
      </c>
    </row>
    <row r="1365" spans="1:37">
      <c r="A1365" s="1">
        <v>98272</v>
      </c>
      <c r="B1365" s="1">
        <v>962000050</v>
      </c>
      <c r="C1365" s="1" t="str">
        <f>"تخليه -كيلومتر5جاده مباركه -اصفهان -جنب هفتم تير-كارخانه آسفالت ساتان"</f>
        <v>تخليه -كيلومتر5جاده مباركه -اصفهان -جنب هفتم تير-كارخانه آسفالت ساتان</v>
      </c>
      <c r="D1365" s="1">
        <v>9113</v>
      </c>
      <c r="E1365" s="1">
        <v>98272</v>
      </c>
      <c r="F1365" s="1">
        <v>96</v>
      </c>
      <c r="G1365" s="1">
        <v>0</v>
      </c>
      <c r="H1365" s="1" t="str">
        <f>"96/07/03"</f>
        <v>96/07/03</v>
      </c>
      <c r="I1365" s="1" t="str">
        <f>"كيلوگرم"</f>
        <v>كيلوگرم</v>
      </c>
      <c r="J1365" s="1" t="str">
        <f>"0000000076"</f>
        <v>0000000076</v>
      </c>
      <c r="K1365" s="1" t="str">
        <f>"قير 60/70 - فله"</f>
        <v>قير 60/70 - فله</v>
      </c>
      <c r="L1365" s="1">
        <v>100</v>
      </c>
      <c r="M1365" s="1" t="str">
        <f>"مخازن قير اصفهان"</f>
        <v>مخازن قير اصفهان</v>
      </c>
      <c r="N1365" s="1">
        <v>9623</v>
      </c>
      <c r="O1365" s="1">
        <v>50036198</v>
      </c>
      <c r="P1365" s="1" t="str">
        <f>"  شهرداري زيباشهر"</f>
        <v xml:space="preserve">  شهرداري زيباشهر</v>
      </c>
      <c r="Q1365" s="1">
        <v>20</v>
      </c>
      <c r="R1365" s="1" t="str">
        <f>"فروش داخلي - سازمان شهرداري ها و دهياري هاي كشور"</f>
        <v>فروش داخلي - سازمان شهرداري ها و دهياري هاي كشور</v>
      </c>
      <c r="S1365" s="1" t="str">
        <f>"قرارداد فروش"</f>
        <v>قرارداد فروش</v>
      </c>
      <c r="T1365" s="1" t="str">
        <f>"ندارد"</f>
        <v>ندارد</v>
      </c>
      <c r="U1365" s="1" t="str">
        <f>"تعاوني جم گستر (1001 ج 89)"</f>
        <v>تعاوني جم گستر (1001 ج 89)</v>
      </c>
      <c r="V1365" s="1">
        <v>962000050</v>
      </c>
      <c r="W1365" s="1">
        <v>962000050</v>
      </c>
      <c r="X1365" s="1" t="str">
        <f>"1396514467"</f>
        <v>1396514467</v>
      </c>
      <c r="Y1365" s="1" t="str">
        <f>"96/07/03"</f>
        <v>96/07/03</v>
      </c>
      <c r="Z1365" s="1" t="str">
        <f>"26777مرحله اول"</f>
        <v>26777مرحله اول</v>
      </c>
      <c r="AA1365" s="1" t="str">
        <f>"شهرداريها"</f>
        <v>شهرداريها</v>
      </c>
      <c r="AB1365" s="1" t="str">
        <f>"96/06/29"</f>
        <v>96/06/29</v>
      </c>
      <c r="AC1365" s="1" t="str">
        <f>"استان اصفهان"</f>
        <v>استان اصفهان</v>
      </c>
      <c r="AD1365" s="1" t="str">
        <f>"96/07/03"</f>
        <v>96/07/03</v>
      </c>
      <c r="AE1365" s="1" t="str">
        <f>"اختتام"</f>
        <v>اختتام</v>
      </c>
      <c r="AF1365" s="1" t="str">
        <f>""</f>
        <v/>
      </c>
      <c r="AG1365" s="1" t="str">
        <f>""</f>
        <v/>
      </c>
      <c r="AH1365" s="1" t="str">
        <f>""</f>
        <v/>
      </c>
      <c r="AI1365" s="1" t="str">
        <f>""</f>
        <v/>
      </c>
      <c r="AJ1365" s="1" t="str">
        <f>""</f>
        <v/>
      </c>
      <c r="AK1365" s="1" t="str">
        <f>""</f>
        <v/>
      </c>
    </row>
    <row r="1366" spans="1:37">
      <c r="A1366" s="1">
        <v>150000</v>
      </c>
      <c r="B1366" s="1">
        <v>961700209</v>
      </c>
      <c r="C1366" s="1" t="str">
        <f>"تخليه -لرستان -ازنا-كيلومتر10جاده شازند-كارخانه آسفالت شركت كيهان پژوه پويا"</f>
        <v>تخليه -لرستان -ازنا-كيلومتر10جاده شازند-كارخانه آسفالت شركت كيهان پژوه پويا</v>
      </c>
      <c r="D1366" s="1">
        <v>16350</v>
      </c>
      <c r="E1366" s="1">
        <v>148980</v>
      </c>
      <c r="F1366" s="1">
        <v>96</v>
      </c>
      <c r="G1366" s="1">
        <v>1020</v>
      </c>
      <c r="H1366" s="1" t="str">
        <f>"96/12/24"</f>
        <v>96/12/24</v>
      </c>
      <c r="I1366" s="1" t="str">
        <f>"كيلوگرم"</f>
        <v>كيلوگرم</v>
      </c>
      <c r="J1366" s="1" t="str">
        <f>"0000000089"</f>
        <v>0000000089</v>
      </c>
      <c r="K1366" s="1" t="str">
        <f>"قير  PG58-16"</f>
        <v>قير  PG58-16</v>
      </c>
      <c r="L1366" s="1">
        <v>100</v>
      </c>
      <c r="M1366" s="1" t="str">
        <f>"مخازن قير اصفهان"</f>
        <v>مخازن قير اصفهان</v>
      </c>
      <c r="N1366" s="1">
        <v>8874</v>
      </c>
      <c r="O1366" s="1">
        <v>50038980</v>
      </c>
      <c r="P1366" s="1" t="str">
        <f>"  كيهان پژوه پويا"</f>
        <v xml:space="preserve">  كيهان پژوه پويا</v>
      </c>
      <c r="Q1366" s="1">
        <v>17</v>
      </c>
      <c r="R1366" s="1" t="str">
        <f>"فروش داخلي تهران - وزارت راه - راه روستايي - روکش"</f>
        <v>فروش داخلي تهران - وزارت راه - راه روستايي - روکش</v>
      </c>
      <c r="S1366" s="1" t="str">
        <f>"قرارداد فروش"</f>
        <v>قرارداد فروش</v>
      </c>
      <c r="T1366" s="1" t="str">
        <f>"ندارد"</f>
        <v>ندارد</v>
      </c>
      <c r="U1366" s="1" t="str">
        <f>"ريسماني حسن(1007ج89)"</f>
        <v>ريسماني حسن(1007ج89)</v>
      </c>
      <c r="V1366" s="1">
        <v>961700209</v>
      </c>
      <c r="W1366" s="1">
        <v>961700209</v>
      </c>
      <c r="X1366" s="1" t="str">
        <f>"1396554108"</f>
        <v>1396554108</v>
      </c>
      <c r="Y1366" s="1" t="str">
        <f>"96/12/24"</f>
        <v>96/12/24</v>
      </c>
      <c r="Z1366" s="1" t="str">
        <f>"47960/710"</f>
        <v>47960/710</v>
      </c>
      <c r="AA1366" s="1" t="str">
        <f>"راه روستائي -روكش"</f>
        <v>راه روستائي -روكش</v>
      </c>
      <c r="AB1366" s="1" t="str">
        <f>"96/09/19"</f>
        <v>96/09/19</v>
      </c>
      <c r="AC1366" s="1" t="str">
        <f>"لرستان"</f>
        <v>لرستان</v>
      </c>
      <c r="AD1366" s="1" t="str">
        <f>"96/12/21"</f>
        <v>96/12/21</v>
      </c>
      <c r="AE1366" s="1" t="str">
        <f>"اختتام"</f>
        <v>اختتام</v>
      </c>
      <c r="AF1366" s="1" t="str">
        <f>""</f>
        <v/>
      </c>
      <c r="AG1366" s="1" t="str">
        <f>""</f>
        <v/>
      </c>
      <c r="AH1366" s="1" t="str">
        <f>""</f>
        <v/>
      </c>
      <c r="AI1366" s="1" t="str">
        <f>""</f>
        <v/>
      </c>
      <c r="AJ1366" s="1" t="str">
        <f>""</f>
        <v/>
      </c>
      <c r="AK1366" s="1" t="str">
        <f>""</f>
        <v/>
      </c>
    </row>
    <row r="1367" spans="1:37">
      <c r="A1367" s="1">
        <v>300000</v>
      </c>
      <c r="B1367" s="1">
        <v>961700206</v>
      </c>
      <c r="C1367" s="1" t="str">
        <f>"تخليه -لرستان -اليگودرز-شول آباد-جنب راهدارخانه -كارخانه آسفالت زيباسازان پايداراراك"</f>
        <v>تخليه -لرستان -اليگودرز-شول آباد-جنب راهدارخانه -كارخانه آسفالت زيباسازان پايداراراك</v>
      </c>
      <c r="D1367" s="1">
        <v>13100</v>
      </c>
      <c r="E1367" s="1">
        <v>286120</v>
      </c>
      <c r="F1367" s="1">
        <v>96</v>
      </c>
      <c r="G1367" s="1">
        <v>13880</v>
      </c>
      <c r="H1367" s="1" t="str">
        <f>"96/12/23"</f>
        <v>96/12/23</v>
      </c>
      <c r="I1367" s="1" t="str">
        <f>"كيلوگرم"</f>
        <v>كيلوگرم</v>
      </c>
      <c r="J1367" s="1" t="str">
        <f>"0000000089"</f>
        <v>0000000089</v>
      </c>
      <c r="K1367" s="1" t="str">
        <f>"قير  PG58-16"</f>
        <v>قير  PG58-16</v>
      </c>
      <c r="L1367" s="1">
        <v>100</v>
      </c>
      <c r="M1367" s="1" t="str">
        <f>"مخازن قير اصفهان"</f>
        <v>مخازن قير اصفهان</v>
      </c>
      <c r="N1367" s="1">
        <v>10507</v>
      </c>
      <c r="O1367" s="1">
        <v>50038957</v>
      </c>
      <c r="P1367" s="1" t="str">
        <f>"  زيباسازان پايداراراك"</f>
        <v xml:space="preserve">  زيباسازان پايداراراك</v>
      </c>
      <c r="Q1367" s="1">
        <v>17</v>
      </c>
      <c r="R1367" s="1" t="str">
        <f>"فروش داخلي تهران - وزارت راه - راه روستايي - روکش"</f>
        <v>فروش داخلي تهران - وزارت راه - راه روستايي - روکش</v>
      </c>
      <c r="S1367" s="1" t="str">
        <f>"قرارداد فروش"</f>
        <v>قرارداد فروش</v>
      </c>
      <c r="T1367" s="1" t="str">
        <f>"ندارد"</f>
        <v>ندارد</v>
      </c>
      <c r="U1367" s="1" t="str">
        <f>"ريسماني حسن(1007ج89)"</f>
        <v>ريسماني حسن(1007ج89)</v>
      </c>
      <c r="V1367" s="1">
        <v>961700206</v>
      </c>
      <c r="W1367" s="1">
        <v>961700206</v>
      </c>
      <c r="X1367" s="1" t="str">
        <f>"1396554107"</f>
        <v>1396554107</v>
      </c>
      <c r="Y1367" s="1" t="str">
        <f>"96/12/23"</f>
        <v>96/12/23</v>
      </c>
      <c r="Z1367" s="1" t="str">
        <f>"48699/710"</f>
        <v>48699/710</v>
      </c>
      <c r="AA1367" s="1" t="str">
        <f>"راه روستائي -روكش"</f>
        <v>راه روستائي -روكش</v>
      </c>
      <c r="AB1367" s="1" t="str">
        <f>"96/09/22"</f>
        <v>96/09/22</v>
      </c>
      <c r="AC1367" s="1" t="str">
        <f>"لرستان"</f>
        <v>لرستان</v>
      </c>
      <c r="AD1367" s="1" t="str">
        <f>"96/12/21"</f>
        <v>96/12/21</v>
      </c>
      <c r="AE1367" s="1" t="str">
        <f>"اختتام"</f>
        <v>اختتام</v>
      </c>
      <c r="AF1367" s="1" t="str">
        <f>""</f>
        <v/>
      </c>
      <c r="AG1367" s="1" t="str">
        <f>""</f>
        <v/>
      </c>
      <c r="AH1367" s="1" t="str">
        <f>""</f>
        <v/>
      </c>
      <c r="AI1367" s="1" t="str">
        <f>""</f>
        <v/>
      </c>
      <c r="AJ1367" s="1" t="str">
        <f>""</f>
        <v/>
      </c>
      <c r="AK1367" s="1" t="str">
        <f>""</f>
        <v/>
      </c>
    </row>
    <row r="1368" spans="1:37">
      <c r="A1368" s="1">
        <v>440000</v>
      </c>
      <c r="B1368" s="1">
        <v>961700040</v>
      </c>
      <c r="C1368" s="1" t="str">
        <f>"تخليه يزدكارخانه آسفالت شركت عمراني بسترسازان كوير"</f>
        <v>تخليه يزدكارخانه آسفالت شركت عمراني بسترسازان كوير</v>
      </c>
      <c r="D1368" s="1">
        <v>12970</v>
      </c>
      <c r="E1368" s="1">
        <v>439100</v>
      </c>
      <c r="F1368" s="1">
        <v>96</v>
      </c>
      <c r="G1368" s="1">
        <v>900</v>
      </c>
      <c r="H1368" s="1" t="str">
        <f>"96/05/09"</f>
        <v>96/05/09</v>
      </c>
      <c r="I1368" s="1" t="str">
        <f>"كيلوگرم"</f>
        <v>كيلوگرم</v>
      </c>
      <c r="J1368" s="1" t="str">
        <f>"0000000091"</f>
        <v>0000000091</v>
      </c>
      <c r="K1368" s="1" t="str">
        <f>"قير  PG64-22"</f>
        <v>قير  PG64-22</v>
      </c>
      <c r="L1368" s="1">
        <v>100</v>
      </c>
      <c r="M1368" s="1" t="str">
        <f>"مخازن قير اصفهان"</f>
        <v>مخازن قير اصفهان</v>
      </c>
      <c r="N1368" s="1">
        <v>1602</v>
      </c>
      <c r="O1368" s="1">
        <v>50035421</v>
      </c>
      <c r="P1368" s="1" t="str">
        <f>"  اداره كل راه و شهرسازي يزد"</f>
        <v xml:space="preserve">  اداره كل راه و شهرسازي يزد</v>
      </c>
      <c r="Q1368" s="1">
        <v>17</v>
      </c>
      <c r="R1368" s="1" t="str">
        <f>"فروش داخلي تهران - وزارت راه - راه روستايي - روکش"</f>
        <v>فروش داخلي تهران - وزارت راه - راه روستايي - روکش</v>
      </c>
      <c r="S1368" s="1" t="str">
        <f>"قرارداد فروش"</f>
        <v>قرارداد فروش</v>
      </c>
      <c r="T1368" s="1" t="str">
        <f>"ندارد"</f>
        <v>ندارد</v>
      </c>
      <c r="U1368" s="1" t="str">
        <f>"قانعي محمدرضا(1011ج89)"</f>
        <v>قانعي محمدرضا(1011ج89)</v>
      </c>
      <c r="V1368" s="1">
        <v>961700040</v>
      </c>
      <c r="W1368" s="1">
        <v>961700040</v>
      </c>
      <c r="X1368" s="1" t="str">
        <f>"1396501178"</f>
        <v>1396501178</v>
      </c>
      <c r="Y1368" s="1" t="str">
        <f>"96/05/09"</f>
        <v>96/05/09</v>
      </c>
      <c r="Z1368" s="1" t="str">
        <f>"21223/710"</f>
        <v>21223/710</v>
      </c>
      <c r="AA1368" s="1" t="str">
        <f>"راه روستائي -روكش"</f>
        <v>راه روستائي -روكش</v>
      </c>
      <c r="AB1368" s="1" t="str">
        <f>"96/05/04"</f>
        <v>96/05/04</v>
      </c>
      <c r="AC1368" s="1" t="str">
        <f>"استان يزد"</f>
        <v>استان يزد</v>
      </c>
      <c r="AD1368" s="1" t="str">
        <f>"96/05/09"</f>
        <v>96/05/09</v>
      </c>
      <c r="AE1368" s="1" t="str">
        <f>"اختتام"</f>
        <v>اختتام</v>
      </c>
      <c r="AF1368" s="1" t="str">
        <f>""</f>
        <v/>
      </c>
      <c r="AG1368" s="1" t="str">
        <f>""</f>
        <v/>
      </c>
      <c r="AH1368" s="1" t="str">
        <f>""</f>
        <v/>
      </c>
      <c r="AI1368" s="1" t="str">
        <f>""</f>
        <v/>
      </c>
      <c r="AJ1368" s="1" t="str">
        <f>""</f>
        <v/>
      </c>
      <c r="AK1368" s="1" t="str">
        <f>""</f>
        <v/>
      </c>
    </row>
    <row r="1369" spans="1:37">
      <c r="A1369" s="1">
        <v>250000</v>
      </c>
      <c r="B1369" s="1">
        <v>961100066</v>
      </c>
      <c r="C1369" s="1" t="str">
        <f>"تخليه -شهركرد-جاده دانشگاه آزادعراضي منصوريه -كارخانه آسفالت شهرداري شهركرد"</f>
        <v>تخليه -شهركرد-جاده دانشگاه آزادعراضي منصوريه -كارخانه آسفالت شهرداري شهركرد</v>
      </c>
      <c r="D1369" s="1">
        <v>8954</v>
      </c>
      <c r="E1369" s="1">
        <v>249780</v>
      </c>
      <c r="F1369" s="1">
        <v>96</v>
      </c>
      <c r="G1369" s="1">
        <v>220</v>
      </c>
      <c r="H1369" s="1" t="str">
        <f>"96/06/25"</f>
        <v>96/06/25</v>
      </c>
      <c r="I1369" s="1" t="str">
        <f>"كيلوگرم"</f>
        <v>كيلوگرم</v>
      </c>
      <c r="J1369" s="1" t="str">
        <f>"1000000002"</f>
        <v>1000000002</v>
      </c>
      <c r="K1369" s="1" t="str">
        <f>"قير 85/100 - فله"</f>
        <v>قير 85/100 - فله</v>
      </c>
      <c r="L1369" s="1">
        <v>100</v>
      </c>
      <c r="M1369" s="1" t="str">
        <f>"مخازن قير اصفهان"</f>
        <v>مخازن قير اصفهان</v>
      </c>
      <c r="N1369" s="1">
        <v>7047</v>
      </c>
      <c r="O1369" s="1">
        <v>50036059</v>
      </c>
      <c r="P1369" s="1" t="str">
        <f>"  شهرداري شهركرد"</f>
        <v xml:space="preserve">  شهرداري شهركرد</v>
      </c>
      <c r="Q1369" s="1">
        <v>11</v>
      </c>
      <c r="R1369" s="1" t="str">
        <f>"فروش داخلي تهران - بورس"</f>
        <v>فروش داخلي تهران - بورس</v>
      </c>
      <c r="S1369" s="1" t="str">
        <f>"قرارداد فروش"</f>
        <v>قرارداد فروش</v>
      </c>
      <c r="T1369" s="1" t="str">
        <f>"ندارد"</f>
        <v>ندارد</v>
      </c>
      <c r="U1369" s="1" t="str">
        <f>"مظلوم فريبرز(1008ج89)"</f>
        <v>مظلوم فريبرز(1008ج89)</v>
      </c>
      <c r="V1369" s="1">
        <v>961100066</v>
      </c>
      <c r="W1369" s="1">
        <v>961100066</v>
      </c>
      <c r="X1369" s="1" t="str">
        <f>"1396511130"</f>
        <v>1396511130</v>
      </c>
      <c r="Y1369" s="1" t="str">
        <f>"96/06/25"</f>
        <v>96/06/25</v>
      </c>
      <c r="Z1369" s="1" t="str">
        <f>"96-36196"</f>
        <v>96-36196</v>
      </c>
      <c r="AA1369" s="1" t="str">
        <f>"شهرداريها"</f>
        <v>شهرداريها</v>
      </c>
      <c r="AB1369" s="1" t="str">
        <f>"96/06/25"</f>
        <v>96/06/25</v>
      </c>
      <c r="AC1369" s="1" t="str">
        <f>"استان چهارمحال بختياري"</f>
        <v>استان چهارمحال بختياري</v>
      </c>
      <c r="AD1369" s="1" t="str">
        <f>"96/06/19"</f>
        <v>96/06/19</v>
      </c>
      <c r="AE1369" s="1" t="str">
        <f>"اختتام"</f>
        <v>اختتام</v>
      </c>
      <c r="AF1369" s="1" t="str">
        <f>""</f>
        <v/>
      </c>
      <c r="AG1369" s="1" t="str">
        <f>""</f>
        <v/>
      </c>
      <c r="AH1369" s="1" t="str">
        <f>""</f>
        <v/>
      </c>
      <c r="AI1369" s="1" t="str">
        <f>""</f>
        <v/>
      </c>
      <c r="AJ1369" s="1" t="str">
        <f>""</f>
        <v/>
      </c>
      <c r="AK1369" s="1" t="str">
        <f>""</f>
        <v/>
      </c>
    </row>
    <row r="1370" spans="1:37">
      <c r="A1370" s="1">
        <v>220000</v>
      </c>
      <c r="B1370" s="1">
        <v>961100099</v>
      </c>
      <c r="C1370" s="1" t="str">
        <f>"تخليه -چهارمحال وبختياري -پروژه شهركرد-سامان -تيران -شهرداري شهركرد"</f>
        <v>تخليه -چهارمحال وبختياري -پروژه شهركرد-سامان -تيران -شهرداري شهركرد</v>
      </c>
      <c r="D1370" s="1">
        <v>12520</v>
      </c>
      <c r="E1370" s="1">
        <v>219600</v>
      </c>
      <c r="F1370" s="1">
        <v>96</v>
      </c>
      <c r="G1370" s="1">
        <v>400</v>
      </c>
      <c r="H1370" s="1" t="str">
        <f>"96/09/13"</f>
        <v>96/09/13</v>
      </c>
      <c r="I1370" s="1" t="str">
        <f>"كيلوگرم"</f>
        <v>كيلوگرم</v>
      </c>
      <c r="J1370" s="1" t="str">
        <f>"1000000002"</f>
        <v>1000000002</v>
      </c>
      <c r="K1370" s="1" t="str">
        <f>"قير 85/100 - فله"</f>
        <v>قير 85/100 - فله</v>
      </c>
      <c r="L1370" s="1">
        <v>100</v>
      </c>
      <c r="M1370" s="1" t="str">
        <f>"مخازن قير اصفهان"</f>
        <v>مخازن قير اصفهان</v>
      </c>
      <c r="N1370" s="1">
        <v>7047</v>
      </c>
      <c r="O1370" s="1">
        <v>50037445</v>
      </c>
      <c r="P1370" s="1" t="str">
        <f>"  شهرداري شهركرد"</f>
        <v xml:space="preserve">  شهرداري شهركرد</v>
      </c>
      <c r="Q1370" s="1">
        <v>11</v>
      </c>
      <c r="R1370" s="1" t="str">
        <f>"فروش داخلي تهران - بورس"</f>
        <v>فروش داخلي تهران - بورس</v>
      </c>
      <c r="S1370" s="1" t="str">
        <f>"قرارداد فروش"</f>
        <v>قرارداد فروش</v>
      </c>
      <c r="T1370" s="1" t="str">
        <f>"ندارد"</f>
        <v>ندارد</v>
      </c>
      <c r="U1370" s="1" t="str">
        <f>"مظلوم فريبرز(1008ج89)"</f>
        <v>مظلوم فريبرز(1008ج89)</v>
      </c>
      <c r="V1370" s="1">
        <v>961100099</v>
      </c>
      <c r="W1370" s="1">
        <v>961100099</v>
      </c>
      <c r="X1370" s="1" t="str">
        <f>"1396528099"</f>
        <v>1396528099</v>
      </c>
      <c r="Y1370" s="1" t="str">
        <f>"96/09/12"</f>
        <v>96/09/12</v>
      </c>
      <c r="Z1370" s="1" t="str">
        <f>"96-36743"</f>
        <v>96-36743</v>
      </c>
      <c r="AA1370" s="1" t="str">
        <f>"شهرداريها"</f>
        <v>شهرداريها</v>
      </c>
      <c r="AB1370" s="1" t="str">
        <f>"96/09/12"</f>
        <v>96/09/12</v>
      </c>
      <c r="AC1370" s="1" t="str">
        <f>"استان چهارمحال بختياري"</f>
        <v>استان چهارمحال بختياري</v>
      </c>
      <c r="AD1370" s="1" t="str">
        <f>"96/09/05"</f>
        <v>96/09/05</v>
      </c>
      <c r="AE1370" s="1" t="str">
        <f>"اختتام"</f>
        <v>اختتام</v>
      </c>
      <c r="AF1370" s="1" t="str">
        <f>""</f>
        <v/>
      </c>
      <c r="AG1370" s="1" t="str">
        <f>""</f>
        <v/>
      </c>
      <c r="AH1370" s="1" t="str">
        <f>""</f>
        <v/>
      </c>
      <c r="AI1370" s="1" t="str">
        <f>""</f>
        <v/>
      </c>
      <c r="AJ1370" s="1" t="str">
        <f>""</f>
        <v/>
      </c>
      <c r="AK1370" s="1" t="str">
        <f>""</f>
        <v/>
      </c>
    </row>
    <row r="1371" spans="1:37">
      <c r="A1371" s="1">
        <v>100000</v>
      </c>
      <c r="B1371" s="1">
        <v>961100129</v>
      </c>
      <c r="C1371" s="1" t="str">
        <f>"تخليه -شهركرد-جاده دانشگاه آزادعراضي منصوريه -كارخانه آسفالت شهرداري شهركرد"</f>
        <v>تخليه -شهركرد-جاده دانشگاه آزادعراضي منصوريه -كارخانه آسفالت شهرداري شهركرد</v>
      </c>
      <c r="D1371" s="1">
        <v>13350</v>
      </c>
      <c r="E1371" s="1">
        <v>96440</v>
      </c>
      <c r="F1371" s="1">
        <v>96</v>
      </c>
      <c r="G1371" s="1">
        <v>3560</v>
      </c>
      <c r="H1371" s="1" t="str">
        <f>"96/12/15"</f>
        <v>96/12/15</v>
      </c>
      <c r="I1371" s="1" t="str">
        <f>"كيلوگرم"</f>
        <v>كيلوگرم</v>
      </c>
      <c r="J1371" s="1" t="str">
        <f>"1000000002"</f>
        <v>1000000002</v>
      </c>
      <c r="K1371" s="1" t="str">
        <f>"قير 85/100 - فله"</f>
        <v>قير 85/100 - فله</v>
      </c>
      <c r="L1371" s="1">
        <v>100</v>
      </c>
      <c r="M1371" s="1" t="str">
        <f>"مخازن قير اصفهان"</f>
        <v>مخازن قير اصفهان</v>
      </c>
      <c r="N1371" s="1">
        <v>7047</v>
      </c>
      <c r="O1371" s="1">
        <v>50038780</v>
      </c>
      <c r="P1371" s="1" t="str">
        <f>"  شهرداري شهركرد"</f>
        <v xml:space="preserve">  شهرداري شهركرد</v>
      </c>
      <c r="Q1371" s="1">
        <v>11</v>
      </c>
      <c r="R1371" s="1" t="str">
        <f>"فروش داخلي تهران - بورس"</f>
        <v>فروش داخلي تهران - بورس</v>
      </c>
      <c r="S1371" s="1" t="str">
        <f>"قرارداد فروش"</f>
        <v>قرارداد فروش</v>
      </c>
      <c r="T1371" s="1" t="str">
        <f>"ندارد"</f>
        <v>ندارد</v>
      </c>
      <c r="U1371" s="1" t="str">
        <f>"مظلوم فريبرز(1008ج89)"</f>
        <v>مظلوم فريبرز(1008ج89)</v>
      </c>
      <c r="V1371" s="1">
        <v>961100129</v>
      </c>
      <c r="W1371" s="1">
        <v>961100129</v>
      </c>
      <c r="X1371" s="1" t="str">
        <f>"1396551613"</f>
        <v>1396551613</v>
      </c>
      <c r="Y1371" s="1" t="str">
        <f>"96/12/14"</f>
        <v>96/12/14</v>
      </c>
      <c r="Z1371" s="1" t="str">
        <f>"96-37395"</f>
        <v>96-37395</v>
      </c>
      <c r="AA1371" s="1" t="str">
        <f>"شهرداريها"</f>
        <v>شهرداريها</v>
      </c>
      <c r="AB1371" s="1" t="str">
        <f>"96/12/14"</f>
        <v>96/12/14</v>
      </c>
      <c r="AC1371" s="1" t="str">
        <f>"استان چهارمحال بختياري"</f>
        <v>استان چهارمحال بختياري</v>
      </c>
      <c r="AD1371" s="1" t="str">
        <f>"96/12/09"</f>
        <v>96/12/09</v>
      </c>
      <c r="AE1371" s="1" t="str">
        <f>"اختتام"</f>
        <v>اختتام</v>
      </c>
      <c r="AF1371" s="1" t="str">
        <f>""</f>
        <v/>
      </c>
      <c r="AG1371" s="1" t="str">
        <f>""</f>
        <v/>
      </c>
      <c r="AH1371" s="1" t="str">
        <f>""</f>
        <v/>
      </c>
      <c r="AI1371" s="1" t="str">
        <f>""</f>
        <v/>
      </c>
      <c r="AJ1371" s="1" t="str">
        <f>""</f>
        <v/>
      </c>
      <c r="AK1371" s="1" t="str">
        <f>""</f>
        <v/>
      </c>
    </row>
    <row r="1372" spans="1:37">
      <c r="A1372" s="1">
        <v>103795</v>
      </c>
      <c r="B1372" s="1">
        <v>962000225</v>
      </c>
      <c r="C1372" s="1" t="str">
        <f>"تخليه -يزد-روستاي چم -كارخانه آسفالت سازمان همياري شهرداري"</f>
        <v>تخليه -يزد-روستاي چم -كارخانه آسفالت سازمان همياري شهرداري</v>
      </c>
      <c r="D1372" s="1">
        <v>9113</v>
      </c>
      <c r="E1372" s="1">
        <v>103795</v>
      </c>
      <c r="F1372" s="1">
        <v>96</v>
      </c>
      <c r="G1372" s="1">
        <v>0</v>
      </c>
      <c r="H1372" s="1" t="str">
        <f>"96/07/03"</f>
        <v>96/07/03</v>
      </c>
      <c r="I1372" s="1" t="str">
        <f>"كيلوگرم"</f>
        <v>كيلوگرم</v>
      </c>
      <c r="J1372" s="1" t="str">
        <f>"0000000076"</f>
        <v>0000000076</v>
      </c>
      <c r="K1372" s="1" t="str">
        <f>"قير 60/70 - فله"</f>
        <v>قير 60/70 - فله</v>
      </c>
      <c r="L1372" s="1">
        <v>100</v>
      </c>
      <c r="M1372" s="1" t="str">
        <f>"مخازن قير اصفهان"</f>
        <v>مخازن قير اصفهان</v>
      </c>
      <c r="N1372" s="1">
        <v>9654</v>
      </c>
      <c r="O1372" s="1">
        <v>50036462</v>
      </c>
      <c r="P1372" s="1" t="str">
        <f>"  شهرداري خضرآباد"</f>
        <v xml:space="preserve">  شهرداري خضرآباد</v>
      </c>
      <c r="Q1372" s="1">
        <v>20</v>
      </c>
      <c r="R1372" s="1" t="str">
        <f>"فروش داخلي - سازمان شهرداري ها و دهياري هاي كشور"</f>
        <v>فروش داخلي - سازمان شهرداري ها و دهياري هاي كشور</v>
      </c>
      <c r="S1372" s="1" t="str">
        <f>"قرارداد فروش"</f>
        <v>قرارداد فروش</v>
      </c>
      <c r="T1372" s="1" t="str">
        <f>"ندارد"</f>
        <v>ندارد</v>
      </c>
      <c r="U1372" s="1" t="str">
        <f>"تعاوني جم گستر (1001 ج 89)"</f>
        <v>تعاوني جم گستر (1001 ج 89)</v>
      </c>
      <c r="V1372" s="1">
        <v>962000225</v>
      </c>
      <c r="W1372" s="1">
        <v>962000225</v>
      </c>
      <c r="X1372" s="1" t="str">
        <f>"1396514467"</f>
        <v>1396514467</v>
      </c>
      <c r="Y1372" s="1" t="str">
        <f>"96/07/03"</f>
        <v>96/07/03</v>
      </c>
      <c r="Z1372" s="1" t="str">
        <f>"26828مرحله اول"</f>
        <v>26828مرحله اول</v>
      </c>
      <c r="AA1372" s="1" t="str">
        <f>"شهرداريها"</f>
        <v>شهرداريها</v>
      </c>
      <c r="AB1372" s="1" t="str">
        <f>"96/06/29"</f>
        <v>96/06/29</v>
      </c>
      <c r="AC1372" s="1" t="str">
        <f>"استان يزد"</f>
        <v>استان يزد</v>
      </c>
      <c r="AD1372" s="1" t="str">
        <f>"96/07/03"</f>
        <v>96/07/03</v>
      </c>
      <c r="AE1372" s="1" t="str">
        <f>"اختتام"</f>
        <v>اختتام</v>
      </c>
      <c r="AF1372" s="1" t="str">
        <f>""</f>
        <v/>
      </c>
      <c r="AG1372" s="1" t="str">
        <f>""</f>
        <v/>
      </c>
      <c r="AH1372" s="1" t="str">
        <f>""</f>
        <v/>
      </c>
      <c r="AI1372" s="1" t="str">
        <f>""</f>
        <v/>
      </c>
      <c r="AJ1372" s="1" t="str">
        <f>""</f>
        <v/>
      </c>
      <c r="AK1372" s="1" t="str">
        <f>""</f>
        <v/>
      </c>
    </row>
    <row r="1373" spans="1:37">
      <c r="A1373" s="1">
        <v>54458</v>
      </c>
      <c r="B1373" s="1">
        <v>962000240</v>
      </c>
      <c r="C1373" s="1" t="str">
        <f>"تخليه -يزد-چم -كارخانه آسفالت سازمان همياري"</f>
        <v>تخليه -يزد-چم -كارخانه آسفالت سازمان همياري</v>
      </c>
      <c r="D1373" s="1">
        <v>9113</v>
      </c>
      <c r="E1373" s="1">
        <v>54458</v>
      </c>
      <c r="F1373" s="1">
        <v>96</v>
      </c>
      <c r="G1373" s="1">
        <v>0</v>
      </c>
      <c r="H1373" s="1" t="str">
        <f>"96/09/07"</f>
        <v>96/09/07</v>
      </c>
      <c r="I1373" s="1" t="str">
        <f>"كيلوگرم"</f>
        <v>كيلوگرم</v>
      </c>
      <c r="J1373" s="1" t="str">
        <f>"0000000076"</f>
        <v>0000000076</v>
      </c>
      <c r="K1373" s="1" t="str">
        <f>"قير 60/70 - فله"</f>
        <v>قير 60/70 - فله</v>
      </c>
      <c r="L1373" s="1">
        <v>100</v>
      </c>
      <c r="M1373" s="1" t="str">
        <f>"مخازن قير اصفهان"</f>
        <v>مخازن قير اصفهان</v>
      </c>
      <c r="N1373" s="1">
        <v>9655</v>
      </c>
      <c r="O1373" s="1">
        <v>50037287</v>
      </c>
      <c r="P1373" s="1" t="str">
        <f>"  شهرداري نير"</f>
        <v xml:space="preserve">  شهرداري نير</v>
      </c>
      <c r="Q1373" s="1">
        <v>20</v>
      </c>
      <c r="R1373" s="1" t="str">
        <f>"فروش داخلي - سازمان شهرداري ها و دهياري هاي كشور"</f>
        <v>فروش داخلي - سازمان شهرداري ها و دهياري هاي كشور</v>
      </c>
      <c r="S1373" s="1" t="str">
        <f>"قرارداد فروش"</f>
        <v>قرارداد فروش</v>
      </c>
      <c r="T1373" s="1" t="str">
        <f>"ندارد"</f>
        <v>ندارد</v>
      </c>
      <c r="U1373" s="1" t="str">
        <f>"تعاوني جم گستر (1001 ج 89)"</f>
        <v>تعاوني جم گستر (1001 ج 89)</v>
      </c>
      <c r="V1373" s="1">
        <v>962000240</v>
      </c>
      <c r="W1373" s="1">
        <v>962000240</v>
      </c>
      <c r="X1373" s="1" t="str">
        <f>"1396514467"</f>
        <v>1396514467</v>
      </c>
      <c r="Y1373" s="1" t="str">
        <f>"96/09/07"</f>
        <v>96/09/07</v>
      </c>
      <c r="Z1373" s="1" t="str">
        <f>"36654مرحله دوم"</f>
        <v>36654مرحله دوم</v>
      </c>
      <c r="AA1373" s="1" t="str">
        <f>"شهرداريها"</f>
        <v>شهرداريها</v>
      </c>
      <c r="AB1373" s="1" t="str">
        <f>"96/09/01"</f>
        <v>96/09/01</v>
      </c>
      <c r="AC1373" s="1" t="str">
        <f>"استان يزد"</f>
        <v>استان يزد</v>
      </c>
      <c r="AD1373" s="1" t="str">
        <f>"96/07/03"</f>
        <v>96/07/03</v>
      </c>
      <c r="AE1373" s="1" t="str">
        <f>"اختتام"</f>
        <v>اختتام</v>
      </c>
      <c r="AF1373" s="1" t="str">
        <f>""</f>
        <v/>
      </c>
      <c r="AG1373" s="1" t="str">
        <f>""</f>
        <v/>
      </c>
      <c r="AH1373" s="1" t="str">
        <f>""</f>
        <v/>
      </c>
      <c r="AI1373" s="1" t="str">
        <f>""</f>
        <v/>
      </c>
      <c r="AJ1373" s="1" t="str">
        <f>""</f>
        <v/>
      </c>
      <c r="AK1373" s="1" t="str">
        <f>""</f>
        <v/>
      </c>
    </row>
    <row r="1374" spans="1:37">
      <c r="A1374" s="1">
        <v>67063</v>
      </c>
      <c r="B1374" s="1">
        <v>962000271</v>
      </c>
      <c r="C1374" s="1" t="str">
        <f>"تخليه -خراسان جنوبي -شهرستان نهبندان -شهرداري نهبندان"</f>
        <v>تخليه -خراسان جنوبي -شهرستان نهبندان -شهرداري نهبندان</v>
      </c>
      <c r="D1374" s="1">
        <v>9113</v>
      </c>
      <c r="E1374" s="1">
        <v>66234</v>
      </c>
      <c r="F1374" s="1">
        <v>96</v>
      </c>
      <c r="G1374" s="1">
        <v>829</v>
      </c>
      <c r="H1374" s="1" t="str">
        <f>"96/09/08"</f>
        <v>96/09/08</v>
      </c>
      <c r="I1374" s="1" t="str">
        <f>"كيلوگرم"</f>
        <v>كيلوگرم</v>
      </c>
      <c r="J1374" s="1" t="str">
        <f>"0000000076"</f>
        <v>0000000076</v>
      </c>
      <c r="K1374" s="1" t="str">
        <f>"قير 60/70 - فله"</f>
        <v>قير 60/70 - فله</v>
      </c>
      <c r="L1374" s="1">
        <v>100</v>
      </c>
      <c r="M1374" s="1" t="str">
        <f>"مخازن قير اصفهان"</f>
        <v>مخازن قير اصفهان</v>
      </c>
      <c r="N1374" s="1">
        <v>9657</v>
      </c>
      <c r="O1374" s="1">
        <v>50037400</v>
      </c>
      <c r="P1374" s="1" t="str">
        <f>"  شهرداري شوسف"</f>
        <v xml:space="preserve">  شهرداري شوسف</v>
      </c>
      <c r="Q1374" s="1">
        <v>20</v>
      </c>
      <c r="R1374" s="1" t="str">
        <f>"فروش داخلي - سازمان شهرداري ها و دهياري هاي كشور"</f>
        <v>فروش داخلي - سازمان شهرداري ها و دهياري هاي كشور</v>
      </c>
      <c r="S1374" s="1" t="str">
        <f>"قرارداد فروش"</f>
        <v>قرارداد فروش</v>
      </c>
      <c r="T1374" s="1" t="str">
        <f>"ندارد"</f>
        <v>ندارد</v>
      </c>
      <c r="U1374" s="1" t="str">
        <f>"تعاوني جم گستر (1001 ج 89)"</f>
        <v>تعاوني جم گستر (1001 ج 89)</v>
      </c>
      <c r="V1374" s="1">
        <v>962000271</v>
      </c>
      <c r="W1374" s="1">
        <v>962000271</v>
      </c>
      <c r="X1374" s="1" t="str">
        <f>"1396514467"</f>
        <v>1396514467</v>
      </c>
      <c r="Y1374" s="1" t="str">
        <f>"96/09/08"</f>
        <v>96/09/08</v>
      </c>
      <c r="Z1374" s="1" t="str">
        <f>"37081مرحله دوم"</f>
        <v>37081مرحله دوم</v>
      </c>
      <c r="AA1374" s="1" t="str">
        <f>"شهرداريها"</f>
        <v>شهرداريها</v>
      </c>
      <c r="AB1374" s="1" t="str">
        <f>"96/09/04"</f>
        <v>96/09/04</v>
      </c>
      <c r="AC1374" s="1" t="str">
        <f>"خراسان جنوبي"</f>
        <v>خراسان جنوبي</v>
      </c>
      <c r="AD1374" s="1" t="str">
        <f>"96/07/03"</f>
        <v>96/07/03</v>
      </c>
      <c r="AE1374" s="1" t="str">
        <f>"اختتام"</f>
        <v>اختتام</v>
      </c>
      <c r="AF1374" s="1" t="str">
        <f>""</f>
        <v/>
      </c>
      <c r="AG1374" s="1" t="str">
        <f>""</f>
        <v/>
      </c>
      <c r="AH1374" s="1" t="str">
        <f>""</f>
        <v/>
      </c>
      <c r="AI1374" s="1" t="str">
        <f>""</f>
        <v/>
      </c>
      <c r="AJ1374" s="1" t="str">
        <f>""</f>
        <v/>
      </c>
      <c r="AK1374" s="1" t="str">
        <f>""</f>
        <v/>
      </c>
    </row>
    <row r="1375" spans="1:37">
      <c r="A1375" s="1">
        <v>190000</v>
      </c>
      <c r="B1375" s="1">
        <v>961700012</v>
      </c>
      <c r="C1375" s="1" t="str">
        <f>"تخليه خراسان جنوبي شهرستان فردوس كارخانه پتروفردس"</f>
        <v>تخليه خراسان جنوبي شهرستان فردوس كارخانه پتروفردس</v>
      </c>
      <c r="D1375" s="1">
        <v>9354</v>
      </c>
      <c r="E1375" s="1">
        <v>189400</v>
      </c>
      <c r="F1375" s="1">
        <v>96</v>
      </c>
      <c r="G1375" s="1">
        <v>600</v>
      </c>
      <c r="H1375" s="1" t="str">
        <f>"96/01/27"</f>
        <v>96/01/27</v>
      </c>
      <c r="I1375" s="1" t="str">
        <f>"كيلوگرم"</f>
        <v>كيلوگرم</v>
      </c>
      <c r="J1375" s="1" t="str">
        <f>"0000000091"</f>
        <v>0000000091</v>
      </c>
      <c r="K1375" s="1" t="str">
        <f>"قير  PG64-22"</f>
        <v>قير  PG64-22</v>
      </c>
      <c r="L1375" s="1">
        <v>100</v>
      </c>
      <c r="M1375" s="1" t="str">
        <f>"مخازن قير اصفهان"</f>
        <v>مخازن قير اصفهان</v>
      </c>
      <c r="N1375" s="1">
        <v>4012</v>
      </c>
      <c r="O1375" s="1">
        <v>50034618</v>
      </c>
      <c r="P1375" s="1" t="str">
        <f>"  اداره كل راه و شهرسازي خراسان جنوبي"</f>
        <v xml:space="preserve">  اداره كل راه و شهرسازي خراسان جنوبي</v>
      </c>
      <c r="Q1375" s="1">
        <v>17</v>
      </c>
      <c r="R1375" s="1" t="str">
        <f>"فروش داخلي تهران - وزارت راه - راه روستايي - روکش"</f>
        <v>فروش داخلي تهران - وزارت راه - راه روستايي - روکش</v>
      </c>
      <c r="S1375" s="1" t="str">
        <f>"قرارداد فروش"</f>
        <v>قرارداد فروش</v>
      </c>
      <c r="T1375" s="1" t="str">
        <f>"ندارد"</f>
        <v>ندارد</v>
      </c>
      <c r="U1375" s="1" t="str">
        <f>"قانعي محمدرضا(1011ج89)"</f>
        <v>قانعي محمدرضا(1011ج89)</v>
      </c>
      <c r="V1375" s="1">
        <v>961700012</v>
      </c>
      <c r="W1375" s="1">
        <v>961700012</v>
      </c>
      <c r="X1375" s="1" t="str">
        <f>"1396474654"</f>
        <v>1396474654</v>
      </c>
      <c r="Y1375" s="1" t="str">
        <f>"96/01/27"</f>
        <v>96/01/27</v>
      </c>
      <c r="Z1375" s="1" t="str">
        <f>"1786/710"</f>
        <v>1786/710</v>
      </c>
      <c r="AA1375" s="1" t="str">
        <f>"راه روستائي -روكش"</f>
        <v>راه روستائي -روكش</v>
      </c>
      <c r="AB1375" s="1" t="str">
        <f>"95/12/28"</f>
        <v>95/12/28</v>
      </c>
      <c r="AC1375" s="1" t="str">
        <f>"خراسان جنوبي"</f>
        <v>خراسان جنوبي</v>
      </c>
      <c r="AD1375" s="1" t="str">
        <f>"96/01/27"</f>
        <v>96/01/27</v>
      </c>
      <c r="AE1375" s="1" t="str">
        <f>"اختتام"</f>
        <v>اختتام</v>
      </c>
      <c r="AF1375" s="1" t="str">
        <f>""</f>
        <v/>
      </c>
      <c r="AG1375" s="1" t="str">
        <f>""</f>
        <v/>
      </c>
      <c r="AH1375" s="1" t="str">
        <f>""</f>
        <v/>
      </c>
      <c r="AI1375" s="1" t="str">
        <f>""</f>
        <v/>
      </c>
      <c r="AJ1375" s="1" t="str">
        <f>""</f>
        <v/>
      </c>
      <c r="AK1375" s="1" t="str">
        <f>""</f>
        <v/>
      </c>
    </row>
    <row r="1376" spans="1:37">
      <c r="A1376" s="1">
        <v>480000</v>
      </c>
      <c r="B1376" s="1">
        <v>961700059</v>
      </c>
      <c r="C1376" s="1" t="str">
        <f>"تخليه - خراسان جنوبي-شرکت توسعه گلشن طبس"</f>
        <v>تخليه - خراسان جنوبي-شرکت توسعه گلشن طبس</v>
      </c>
      <c r="D1376" s="1">
        <v>9716</v>
      </c>
      <c r="E1376" s="1">
        <v>480000</v>
      </c>
      <c r="F1376" s="1">
        <v>96</v>
      </c>
      <c r="G1376" s="1">
        <v>0</v>
      </c>
      <c r="H1376" s="1" t="str">
        <f>"96/05/24"</f>
        <v>96/05/24</v>
      </c>
      <c r="I1376" s="1" t="str">
        <f>"كيلوگرم"</f>
        <v>كيلوگرم</v>
      </c>
      <c r="J1376" s="1" t="str">
        <f>"0000000091"</f>
        <v>0000000091</v>
      </c>
      <c r="K1376" s="1" t="str">
        <f>"قير  PG64-22"</f>
        <v>قير  PG64-22</v>
      </c>
      <c r="L1376" s="1">
        <v>100</v>
      </c>
      <c r="M1376" s="1" t="str">
        <f>"مخازن قير اصفهان"</f>
        <v>مخازن قير اصفهان</v>
      </c>
      <c r="N1376" s="1">
        <v>4012</v>
      </c>
      <c r="O1376" s="1">
        <v>50035663</v>
      </c>
      <c r="P1376" s="1" t="str">
        <f>"  اداره كل راه و شهرسازي خراسان جنوبي"</f>
        <v xml:space="preserve">  اداره كل راه و شهرسازي خراسان جنوبي</v>
      </c>
      <c r="Q1376" s="1">
        <v>17</v>
      </c>
      <c r="R1376" s="1" t="str">
        <f>"فروش داخلي تهران - وزارت راه - راه روستايي - روکش"</f>
        <v>فروش داخلي تهران - وزارت راه - راه روستايي - روکش</v>
      </c>
      <c r="S1376" s="1" t="str">
        <f>"قرارداد فروش"</f>
        <v>قرارداد فروش</v>
      </c>
      <c r="T1376" s="1" t="str">
        <f>"ندارد"</f>
        <v>ندارد</v>
      </c>
      <c r="U1376" s="1" t="str">
        <f>"قانعي محمدرضا(1011ج89)"</f>
        <v>قانعي محمدرضا(1011ج89)</v>
      </c>
      <c r="V1376" s="1">
        <v>961700059</v>
      </c>
      <c r="W1376" s="1">
        <v>961700059</v>
      </c>
      <c r="X1376" s="1" t="str">
        <f>"1396505502"</f>
        <v>1396505502</v>
      </c>
      <c r="Y1376" s="1" t="str">
        <f>"96/05/24"</f>
        <v>96/05/24</v>
      </c>
      <c r="Z1376" s="1" t="str">
        <f>"24724/710"</f>
        <v>24724/710</v>
      </c>
      <c r="AA1376" s="1" t="str">
        <f>"راه روستائي -روكش"</f>
        <v>راه روستائي -روكش</v>
      </c>
      <c r="AB1376" s="1" t="str">
        <f>"96/05/23"</f>
        <v>96/05/23</v>
      </c>
      <c r="AC1376" s="1" t="str">
        <f>"خراسان جنوبي"</f>
        <v>خراسان جنوبي</v>
      </c>
      <c r="AD1376" s="1" t="str">
        <f>"96/05/24"</f>
        <v>96/05/24</v>
      </c>
      <c r="AE1376" s="1" t="str">
        <f>"اختتام"</f>
        <v>اختتام</v>
      </c>
      <c r="AF1376" s="1" t="str">
        <f>""</f>
        <v/>
      </c>
      <c r="AG1376" s="1" t="str">
        <f>""</f>
        <v/>
      </c>
      <c r="AH1376" s="1" t="str">
        <f>""</f>
        <v/>
      </c>
      <c r="AI1376" s="1" t="str">
        <f>""</f>
        <v/>
      </c>
      <c r="AJ1376" s="1" t="str">
        <f>""</f>
        <v/>
      </c>
      <c r="AK1376" s="1" t="str">
        <f>""</f>
        <v/>
      </c>
    </row>
    <row r="1377" spans="1:37">
      <c r="A1377" s="1">
        <v>199000</v>
      </c>
      <c r="B1377" s="1">
        <v>961700088</v>
      </c>
      <c r="C1377" s="1" t="str">
        <f>"تخليه - خراسان جنوبي- اسديه - کارخانه آسفالت شهرداري"</f>
        <v>تخليه - خراسان جنوبي- اسديه - کارخانه آسفالت شهرداري</v>
      </c>
      <c r="D1377" s="1">
        <v>9204</v>
      </c>
      <c r="E1377" s="1">
        <v>198440</v>
      </c>
      <c r="F1377" s="1">
        <v>96</v>
      </c>
      <c r="G1377" s="1">
        <v>560</v>
      </c>
      <c r="H1377" s="1" t="str">
        <f>"96/06/19"</f>
        <v>96/06/19</v>
      </c>
      <c r="I1377" s="1" t="str">
        <f>"كيلوگرم"</f>
        <v>كيلوگرم</v>
      </c>
      <c r="J1377" s="1" t="str">
        <f>"0000000091"</f>
        <v>0000000091</v>
      </c>
      <c r="K1377" s="1" t="str">
        <f>"قير  PG64-22"</f>
        <v>قير  PG64-22</v>
      </c>
      <c r="L1377" s="1">
        <v>100</v>
      </c>
      <c r="M1377" s="1" t="str">
        <f>"مخازن قير اصفهان"</f>
        <v>مخازن قير اصفهان</v>
      </c>
      <c r="N1377" s="1">
        <v>4012</v>
      </c>
      <c r="O1377" s="1">
        <v>50035934</v>
      </c>
      <c r="P1377" s="1" t="str">
        <f>"  اداره كل راه و شهرسازي خراسان جنوبي"</f>
        <v xml:space="preserve">  اداره كل راه و شهرسازي خراسان جنوبي</v>
      </c>
      <c r="Q1377" s="1">
        <v>17</v>
      </c>
      <c r="R1377" s="1" t="str">
        <f>"فروش داخلي تهران - وزارت راه - راه روستايي - روکش"</f>
        <v>فروش داخلي تهران - وزارت راه - راه روستايي - روکش</v>
      </c>
      <c r="S1377" s="1" t="str">
        <f>"قرارداد فروش"</f>
        <v>قرارداد فروش</v>
      </c>
      <c r="T1377" s="1" t="str">
        <f>"ندارد"</f>
        <v>ندارد</v>
      </c>
      <c r="U1377" s="1" t="str">
        <f>"شيخي خيراله (1841012)"</f>
        <v>شيخي خيراله (1841012)</v>
      </c>
      <c r="V1377" s="1">
        <v>961700088</v>
      </c>
      <c r="W1377" s="1">
        <v>961700088</v>
      </c>
      <c r="X1377" s="1" t="str">
        <f>"1396511135"</f>
        <v>1396511135</v>
      </c>
      <c r="Y1377" s="1" t="str">
        <f>"96/06/19"</f>
        <v>96/06/19</v>
      </c>
      <c r="Z1377" s="1" t="str">
        <f>"29505/710"</f>
        <v>29505/710</v>
      </c>
      <c r="AA1377" s="1" t="str">
        <f>"راه روستائي -روكش"</f>
        <v>راه روستائي -روكش</v>
      </c>
      <c r="AB1377" s="1" t="str">
        <f>"96/06/14"</f>
        <v>96/06/14</v>
      </c>
      <c r="AC1377" s="1" t="str">
        <f>"خراسان جنوبي"</f>
        <v>خراسان جنوبي</v>
      </c>
      <c r="AD1377" s="1" t="str">
        <f>"96/06/19"</f>
        <v>96/06/19</v>
      </c>
      <c r="AE1377" s="1" t="str">
        <f>"اختتام"</f>
        <v>اختتام</v>
      </c>
      <c r="AF1377" s="1" t="str">
        <f>""</f>
        <v/>
      </c>
      <c r="AG1377" s="1" t="str">
        <f>""</f>
        <v/>
      </c>
      <c r="AH1377" s="1" t="str">
        <f>""</f>
        <v/>
      </c>
      <c r="AI1377" s="1" t="str">
        <f>""</f>
        <v/>
      </c>
      <c r="AJ1377" s="1" t="str">
        <f>""</f>
        <v/>
      </c>
      <c r="AK1377" s="1" t="str">
        <f>""</f>
        <v/>
      </c>
    </row>
    <row r="1378" spans="1:37">
      <c r="A1378" s="1">
        <v>630000</v>
      </c>
      <c r="B1378" s="1">
        <v>961700092</v>
      </c>
      <c r="C1378" s="1" t="str">
        <f>"تخليه -خراسان جنوبي قاين كارخانه آسفالت شهرداري قاين"</f>
        <v>تخليه -خراسان جنوبي قاين كارخانه آسفالت شهرداري قاين</v>
      </c>
      <c r="D1378" s="1">
        <v>15810</v>
      </c>
      <c r="E1378" s="1">
        <v>630000</v>
      </c>
      <c r="F1378" s="1">
        <v>96</v>
      </c>
      <c r="G1378" s="1">
        <v>0</v>
      </c>
      <c r="H1378" s="1" t="str">
        <f>"96/06/21"</f>
        <v>96/06/21</v>
      </c>
      <c r="I1378" s="1" t="str">
        <f>"كيلوگرم"</f>
        <v>كيلوگرم</v>
      </c>
      <c r="J1378" s="1" t="str">
        <f>"0000000091"</f>
        <v>0000000091</v>
      </c>
      <c r="K1378" s="1" t="str">
        <f>"قير  PG64-22"</f>
        <v>قير  PG64-22</v>
      </c>
      <c r="L1378" s="1">
        <v>100</v>
      </c>
      <c r="M1378" s="1" t="str">
        <f>"مخازن قير اصفهان"</f>
        <v>مخازن قير اصفهان</v>
      </c>
      <c r="N1378" s="1">
        <v>4012</v>
      </c>
      <c r="O1378" s="1">
        <v>50035969</v>
      </c>
      <c r="P1378" s="1" t="str">
        <f>"  اداره كل راه و شهرسازي خراسان جنوبي"</f>
        <v xml:space="preserve">  اداره كل راه و شهرسازي خراسان جنوبي</v>
      </c>
      <c r="Q1378" s="1">
        <v>17</v>
      </c>
      <c r="R1378" s="1" t="str">
        <f>"فروش داخلي تهران - وزارت راه - راه روستايي - روکش"</f>
        <v>فروش داخلي تهران - وزارت راه - راه روستايي - روکش</v>
      </c>
      <c r="S1378" s="1" t="str">
        <f>"قرارداد فروش"</f>
        <v>قرارداد فروش</v>
      </c>
      <c r="T1378" s="1" t="str">
        <f>"ندارد"</f>
        <v>ندارد</v>
      </c>
      <c r="U1378" s="1" t="str">
        <f>"آقا علي منوچهر(1016ج89)"</f>
        <v>آقا علي منوچهر(1016ج89)</v>
      </c>
      <c r="V1378" s="1">
        <v>961700092</v>
      </c>
      <c r="W1378" s="1">
        <v>961700092</v>
      </c>
      <c r="X1378" s="1" t="str">
        <f>"1396511612"</f>
        <v>1396511612</v>
      </c>
      <c r="Y1378" s="1" t="str">
        <f>"96/06/21"</f>
        <v>96/06/21</v>
      </c>
      <c r="Z1378" s="1" t="str">
        <f>"29801/710"</f>
        <v>29801/710</v>
      </c>
      <c r="AA1378" s="1" t="str">
        <f>"راه روستائي -روكش"</f>
        <v>راه روستائي -روكش</v>
      </c>
      <c r="AB1378" s="1" t="str">
        <f>"96/06/15"</f>
        <v>96/06/15</v>
      </c>
      <c r="AC1378" s="1" t="str">
        <f>"خراسان جنوبي"</f>
        <v>خراسان جنوبي</v>
      </c>
      <c r="AD1378" s="1" t="str">
        <f>"96/06/21"</f>
        <v>96/06/21</v>
      </c>
      <c r="AE1378" s="1" t="str">
        <f>"اختتام"</f>
        <v>اختتام</v>
      </c>
      <c r="AF1378" s="1" t="str">
        <f>""</f>
        <v/>
      </c>
      <c r="AG1378" s="1" t="str">
        <f>""</f>
        <v/>
      </c>
      <c r="AH1378" s="1" t="str">
        <f>""</f>
        <v/>
      </c>
      <c r="AI1378" s="1" t="str">
        <f>""</f>
        <v/>
      </c>
      <c r="AJ1378" s="1" t="str">
        <f>""</f>
        <v/>
      </c>
      <c r="AK1378" s="1" t="str">
        <f>""</f>
        <v/>
      </c>
    </row>
    <row r="1379" spans="1:37">
      <c r="A1379" s="1">
        <v>60811</v>
      </c>
      <c r="B1379" s="1">
        <v>962000246</v>
      </c>
      <c r="C1379" s="1" t="str">
        <f>"تخليه -يزدكيلومتر20جاده يزدطبس شركت زاويه ساز"</f>
        <v>تخليه -يزدكيلومتر20جاده يزدطبس شركت زاويه ساز</v>
      </c>
      <c r="D1379" s="1">
        <v>9113</v>
      </c>
      <c r="E1379" s="1">
        <v>60811</v>
      </c>
      <c r="F1379" s="1">
        <v>96</v>
      </c>
      <c r="G1379" s="1">
        <v>0</v>
      </c>
      <c r="H1379" s="1" t="str">
        <f>"96/09/07"</f>
        <v>96/09/07</v>
      </c>
      <c r="I1379" s="1" t="str">
        <f>"كيلوگرم"</f>
        <v>كيلوگرم</v>
      </c>
      <c r="J1379" s="1" t="str">
        <f>"0000000076"</f>
        <v>0000000076</v>
      </c>
      <c r="K1379" s="1" t="str">
        <f>"قير 60/70 - فله"</f>
        <v>قير 60/70 - فله</v>
      </c>
      <c r="L1379" s="1">
        <v>100</v>
      </c>
      <c r="M1379" s="1" t="str">
        <f>"مخازن قير اصفهان"</f>
        <v>مخازن قير اصفهان</v>
      </c>
      <c r="N1379" s="1">
        <v>9789</v>
      </c>
      <c r="O1379" s="1">
        <v>50037299</v>
      </c>
      <c r="P1379" s="1" t="str">
        <f>"  شهرداري زارچ"</f>
        <v xml:space="preserve">  شهرداري زارچ</v>
      </c>
      <c r="Q1379" s="1">
        <v>20</v>
      </c>
      <c r="R1379" s="1" t="str">
        <f>"فروش داخلي - سازمان شهرداري ها و دهياري هاي كشور"</f>
        <v>فروش داخلي - سازمان شهرداري ها و دهياري هاي كشور</v>
      </c>
      <c r="S1379" s="1" t="str">
        <f>"قرارداد فروش"</f>
        <v>قرارداد فروش</v>
      </c>
      <c r="T1379" s="1" t="str">
        <f>"ندارد"</f>
        <v>ندارد</v>
      </c>
      <c r="U1379" s="1" t="str">
        <f>"تعاوني جم گستر (1001 ج 89)"</f>
        <v>تعاوني جم گستر (1001 ج 89)</v>
      </c>
      <c r="V1379" s="1">
        <v>962000246</v>
      </c>
      <c r="W1379" s="1">
        <v>962000246</v>
      </c>
      <c r="X1379" s="1" t="str">
        <f>"1396514467"</f>
        <v>1396514467</v>
      </c>
      <c r="Y1379" s="1" t="str">
        <f>"96/09/07"</f>
        <v>96/09/07</v>
      </c>
      <c r="Z1379" s="1" t="str">
        <f>"36646مرحله دوم"</f>
        <v>36646مرحله دوم</v>
      </c>
      <c r="AA1379" s="1" t="str">
        <f>"شهرداريها"</f>
        <v>شهرداريها</v>
      </c>
      <c r="AB1379" s="1" t="str">
        <f>"96/09/01"</f>
        <v>96/09/01</v>
      </c>
      <c r="AC1379" s="1" t="str">
        <f>"استان يزد"</f>
        <v>استان يزد</v>
      </c>
      <c r="AD1379" s="1" t="str">
        <f>"96/07/03"</f>
        <v>96/07/03</v>
      </c>
      <c r="AE1379" s="1" t="str">
        <f>"اختتام"</f>
        <v>اختتام</v>
      </c>
      <c r="AF1379" s="1" t="str">
        <f>""</f>
        <v/>
      </c>
      <c r="AG1379" s="1" t="str">
        <f>""</f>
        <v/>
      </c>
      <c r="AH1379" s="1" t="str">
        <f>""</f>
        <v/>
      </c>
      <c r="AI1379" s="1" t="str">
        <f>""</f>
        <v/>
      </c>
      <c r="AJ1379" s="1" t="str">
        <f>""</f>
        <v/>
      </c>
      <c r="AK1379" s="1" t="str">
        <f>""</f>
        <v/>
      </c>
    </row>
    <row r="1380" spans="1:37">
      <c r="A1380" s="1">
        <v>25000</v>
      </c>
      <c r="B1380" s="1">
        <v>961700133</v>
      </c>
      <c r="C1380" s="1" t="str">
        <f>"تخليه -خراسان رضوي -نيشابور-پروژه غاركارخانه آسفالت دل حفره"</f>
        <v>تخليه -خراسان رضوي -نيشابور-پروژه غاركارخانه آسفالت دل حفره</v>
      </c>
      <c r="D1380" s="1">
        <v>9716</v>
      </c>
      <c r="E1380" s="1">
        <v>25000</v>
      </c>
      <c r="F1380" s="1">
        <v>96</v>
      </c>
      <c r="G1380" s="1">
        <v>0</v>
      </c>
      <c r="H1380" s="1" t="str">
        <f>"96/07/17"</f>
        <v>96/07/17</v>
      </c>
      <c r="I1380" s="1" t="str">
        <f>"كيلوگرم"</f>
        <v>كيلوگرم</v>
      </c>
      <c r="J1380" s="1" t="str">
        <f>"0000000091"</f>
        <v>0000000091</v>
      </c>
      <c r="K1380" s="1" t="str">
        <f>"قير  PG64-22"</f>
        <v>قير  PG64-22</v>
      </c>
      <c r="L1380" s="1">
        <v>100</v>
      </c>
      <c r="M1380" s="1" t="str">
        <f>"مخازن قير اصفهان"</f>
        <v>مخازن قير اصفهان</v>
      </c>
      <c r="N1380" s="1">
        <v>4026</v>
      </c>
      <c r="O1380" s="1">
        <v>50036648</v>
      </c>
      <c r="P1380" s="1" t="str">
        <f>"  اداره كل راه و شهرسازي خراسان رضوي"</f>
        <v xml:space="preserve">  اداره كل راه و شهرسازي خراسان رضوي</v>
      </c>
      <c r="Q1380" s="1">
        <v>17</v>
      </c>
      <c r="R1380" s="1" t="str">
        <f>"فروش داخلي تهران - وزارت راه - راه روستايي - روکش"</f>
        <v>فروش داخلي تهران - وزارت راه - راه روستايي - روکش</v>
      </c>
      <c r="S1380" s="1" t="str">
        <f>"قرارداد فروش"</f>
        <v>قرارداد فروش</v>
      </c>
      <c r="T1380" s="1" t="str">
        <f>"ندارد"</f>
        <v>ندارد</v>
      </c>
      <c r="U1380" s="1" t="str">
        <f>"حسيني سيدجواد(1841076)"</f>
        <v>حسيني سيدجواد(1841076)</v>
      </c>
      <c r="V1380" s="1">
        <v>961700133</v>
      </c>
      <c r="W1380" s="1">
        <v>961700133</v>
      </c>
      <c r="X1380" s="1" t="str">
        <f>"1396517392"</f>
        <v>1396517392</v>
      </c>
      <c r="Y1380" s="1" t="str">
        <f>"96/07/17"</f>
        <v>96/07/17</v>
      </c>
      <c r="Z1380" s="1" t="str">
        <f>"34910/710"</f>
        <v>34910/710</v>
      </c>
      <c r="AA1380" s="1" t="str">
        <f>"راه روستائي -روكش"</f>
        <v>راه روستائي -روكش</v>
      </c>
      <c r="AB1380" s="1" t="str">
        <f>"96/07/16"</f>
        <v>96/07/16</v>
      </c>
      <c r="AC1380" s="1" t="str">
        <f>"خراسان رضوي"</f>
        <v>خراسان رضوي</v>
      </c>
      <c r="AD1380" s="1" t="str">
        <f>"96/07/17"</f>
        <v>96/07/17</v>
      </c>
      <c r="AE1380" s="1" t="str">
        <f>"اختتام"</f>
        <v>اختتام</v>
      </c>
      <c r="AF1380" s="1" t="str">
        <f>""</f>
        <v/>
      </c>
      <c r="AG1380" s="1" t="str">
        <f>""</f>
        <v/>
      </c>
      <c r="AH1380" s="1" t="str">
        <f>""</f>
        <v/>
      </c>
      <c r="AI1380" s="1" t="str">
        <f>""</f>
        <v/>
      </c>
      <c r="AJ1380" s="1" t="str">
        <f>""</f>
        <v/>
      </c>
      <c r="AK1380" s="1" t="str">
        <f>""</f>
        <v/>
      </c>
    </row>
    <row r="1381" spans="1:37">
      <c r="A1381" s="1">
        <v>200000</v>
      </c>
      <c r="B1381" s="1">
        <v>961600015</v>
      </c>
      <c r="C1381" s="1" t="str">
        <f>"تخليه فارس كيلومتر15جاده قديم كازرونشيرازروستاي خيرآبادمجتمع توليدي شركت هفتصد"</f>
        <v>تخليه فارس كيلومتر15جاده قديم كازرونشيرازروستاي خيرآبادمجتمع توليدي شركت هفتصد</v>
      </c>
      <c r="D1381" s="1">
        <v>9716</v>
      </c>
      <c r="E1381" s="1">
        <v>198080</v>
      </c>
      <c r="F1381" s="1">
        <v>96</v>
      </c>
      <c r="G1381" s="1">
        <v>1920</v>
      </c>
      <c r="H1381" s="1" t="str">
        <f>"96/07/16"</f>
        <v>96/07/16</v>
      </c>
      <c r="I1381" s="1" t="str">
        <f>"كيلوگرم"</f>
        <v>كيلوگرم</v>
      </c>
      <c r="J1381" s="1" t="str">
        <f>"0000000091"</f>
        <v>0000000091</v>
      </c>
      <c r="K1381" s="1" t="str">
        <f>"قير  PG64-22"</f>
        <v>قير  PG64-22</v>
      </c>
      <c r="L1381" s="1">
        <v>100</v>
      </c>
      <c r="M1381" s="1" t="str">
        <f>"مخازن قير اصفهان"</f>
        <v>مخازن قير اصفهان</v>
      </c>
      <c r="N1381" s="1">
        <v>4029</v>
      </c>
      <c r="O1381" s="1">
        <v>50036587</v>
      </c>
      <c r="P1381" s="1" t="str">
        <f>"  راهسازي ساختماني هفتصد"</f>
        <v xml:space="preserve">  راهسازي ساختماني هفتصد</v>
      </c>
      <c r="Q1381" s="1">
        <v>16</v>
      </c>
      <c r="R1381" s="1" t="str">
        <f>"فروش داخلي تهران - وزارت راه - معاونت اقتصاد"</f>
        <v>فروش داخلي تهران - وزارت راه - معاونت اقتصاد</v>
      </c>
      <c r="S1381" s="1" t="str">
        <f>"قرارداد فروش"</f>
        <v>قرارداد فروش</v>
      </c>
      <c r="T1381" s="1" t="str">
        <f>"ندارد"</f>
        <v>ندارد</v>
      </c>
      <c r="U1381" s="1" t="str">
        <f>"اژدري مسعود(4844011)"</f>
        <v>اژدري مسعود(4844011)</v>
      </c>
      <c r="V1381" s="1">
        <v>961600015</v>
      </c>
      <c r="W1381" s="1">
        <v>961600015</v>
      </c>
      <c r="X1381" s="1" t="str">
        <f>"1396517236"</f>
        <v>1396517236</v>
      </c>
      <c r="Y1381" s="1" t="str">
        <f>"96/07/16"</f>
        <v>96/07/16</v>
      </c>
      <c r="Z1381" s="1" t="str">
        <f>"33280/710"</f>
        <v>33280/710</v>
      </c>
      <c r="AA1381" s="1" t="str">
        <f>"معاونت اقتصادوزارت راه وشهرسازي"</f>
        <v>معاونت اقتصادوزارت راه وشهرسازي</v>
      </c>
      <c r="AB1381" s="1" t="str">
        <f>"96/07/04"</f>
        <v>96/07/04</v>
      </c>
      <c r="AC1381" s="1" t="str">
        <f>"استان فارس"</f>
        <v>استان فارس</v>
      </c>
      <c r="AD1381" s="1" t="str">
        <f>"96/07/16"</f>
        <v>96/07/16</v>
      </c>
      <c r="AE1381" s="1" t="str">
        <f>"اختتام"</f>
        <v>اختتام</v>
      </c>
      <c r="AF1381" s="1" t="str">
        <f>""</f>
        <v/>
      </c>
      <c r="AG1381" s="1" t="str">
        <f>""</f>
        <v/>
      </c>
      <c r="AH1381" s="1" t="str">
        <f>""</f>
        <v/>
      </c>
      <c r="AI1381" s="1" t="str">
        <f>""</f>
        <v/>
      </c>
      <c r="AJ1381" s="1" t="str">
        <f>""</f>
        <v/>
      </c>
      <c r="AK1381" s="1" t="str">
        <f>""</f>
        <v/>
      </c>
    </row>
    <row r="1382" spans="1:37">
      <c r="A1382" s="1">
        <v>50990</v>
      </c>
      <c r="B1382" s="1">
        <v>962000366</v>
      </c>
      <c r="C1382" s="1" t="str">
        <f>"تخليه-سامان قطب صنعتي شماره2کارخانه سامان ساخت احمدپور"</f>
        <v>تخليه-سامان قطب صنعتي شماره2کارخانه سامان ساخت احمدپور</v>
      </c>
      <c r="D1382" s="1">
        <v>12820</v>
      </c>
      <c r="E1382" s="1">
        <v>50990</v>
      </c>
      <c r="F1382" s="1">
        <v>96</v>
      </c>
      <c r="G1382" s="1">
        <v>0</v>
      </c>
      <c r="H1382" s="1" t="str">
        <f>"96/09/19"</f>
        <v>96/09/19</v>
      </c>
      <c r="I1382" s="1" t="str">
        <f>"كيلوگرم"</f>
        <v>كيلوگرم</v>
      </c>
      <c r="J1382" s="1" t="str">
        <f>"1000000002"</f>
        <v>1000000002</v>
      </c>
      <c r="K1382" s="1" t="str">
        <f>"قير 85/100 - فله"</f>
        <v>قير 85/100 - فله</v>
      </c>
      <c r="L1382" s="1">
        <v>100</v>
      </c>
      <c r="M1382" s="1" t="str">
        <f>"مخازن قير اصفهان"</f>
        <v>مخازن قير اصفهان</v>
      </c>
      <c r="N1382" s="1">
        <v>7187</v>
      </c>
      <c r="O1382" s="1">
        <v>50037662</v>
      </c>
      <c r="P1382" s="1" t="str">
        <f>"  شهرداري سامان"</f>
        <v xml:space="preserve">  شهرداري سامان</v>
      </c>
      <c r="Q1382" s="1">
        <v>20</v>
      </c>
      <c r="R1382" s="1" t="str">
        <f>"فروش داخلي - سازمان شهرداري ها و دهياري هاي كشور"</f>
        <v>فروش داخلي - سازمان شهرداري ها و دهياري هاي كشور</v>
      </c>
      <c r="S1382" s="1" t="str">
        <f>"قرارداد فروش"</f>
        <v>قرارداد فروش</v>
      </c>
      <c r="T1382" s="1" t="str">
        <f>"ندارد"</f>
        <v>ندارد</v>
      </c>
      <c r="U1382" s="1" t="str">
        <f>"تعاوني جم گستر (1001 ج 89)"</f>
        <v>تعاوني جم گستر (1001 ج 89)</v>
      </c>
      <c r="V1382" s="1">
        <v>962000366</v>
      </c>
      <c r="W1382" s="1">
        <v>962000366</v>
      </c>
      <c r="X1382" s="1" t="str">
        <f>"1396529715"</f>
        <v>1396529715</v>
      </c>
      <c r="Y1382" s="1" t="str">
        <f>"96/09/18"</f>
        <v>96/09/18</v>
      </c>
      <c r="Z1382" s="1" t="str">
        <f>"38486مرحله دوم"</f>
        <v>38486مرحله دوم</v>
      </c>
      <c r="AA1382" s="1" t="str">
        <f>"شهرداريها"</f>
        <v>شهرداريها</v>
      </c>
      <c r="AB1382" s="1" t="str">
        <f>"96/09/11"</f>
        <v>96/09/11</v>
      </c>
      <c r="AC1382" s="1" t="str">
        <f>"استان چهارمحال بختياري"</f>
        <v>استان چهارمحال بختياري</v>
      </c>
      <c r="AD1382" s="1" t="str">
        <f>"96/09/13"</f>
        <v>96/09/13</v>
      </c>
      <c r="AE1382" s="1" t="str">
        <f>"تاييدشده"</f>
        <v>تاييدشده</v>
      </c>
      <c r="AF1382" s="1" t="str">
        <f>""</f>
        <v/>
      </c>
      <c r="AG1382" s="1" t="str">
        <f>""</f>
        <v/>
      </c>
      <c r="AH1382" s="1" t="str">
        <f>""</f>
        <v/>
      </c>
      <c r="AI1382" s="1" t="str">
        <f>""</f>
        <v/>
      </c>
      <c r="AJ1382" s="1" t="str">
        <f>""</f>
        <v/>
      </c>
      <c r="AK1382" s="1" t="str">
        <f>""</f>
        <v/>
      </c>
    </row>
    <row r="1383" spans="1:37">
      <c r="A1383" s="1">
        <v>150000</v>
      </c>
      <c r="B1383" s="1">
        <v>961100132</v>
      </c>
      <c r="C1383" s="1" t="str">
        <f>"تخليه اصفهان جاده كمشچه اردستان كيلومتر7جاده مرغ دنبي كارگاه شركت اسكانده"</f>
        <v>تخليه اصفهان جاده كمشچه اردستان كيلومتر7جاده مرغ دنبي كارگاه شركت اسكانده</v>
      </c>
      <c r="D1383" s="1">
        <v>13600</v>
      </c>
      <c r="E1383" s="1">
        <v>147260</v>
      </c>
      <c r="F1383" s="1">
        <v>96</v>
      </c>
      <c r="G1383" s="1">
        <v>2740</v>
      </c>
      <c r="H1383" s="1" t="str">
        <f>"96/12/19"</f>
        <v>96/12/19</v>
      </c>
      <c r="I1383" s="1" t="str">
        <f>"كيلوگرم"</f>
        <v>كيلوگرم</v>
      </c>
      <c r="J1383" s="1" t="str">
        <f>"0000000091"</f>
        <v>0000000091</v>
      </c>
      <c r="K1383" s="1" t="str">
        <f>"قير  PG64-22"</f>
        <v>قير  PG64-22</v>
      </c>
      <c r="L1383" s="1">
        <v>100</v>
      </c>
      <c r="M1383" s="1" t="str">
        <f>"مخازن قير اصفهان"</f>
        <v>مخازن قير اصفهان</v>
      </c>
      <c r="N1383" s="1">
        <v>7013</v>
      </c>
      <c r="O1383" s="1">
        <v>50038864</v>
      </c>
      <c r="P1383" s="1" t="str">
        <f>"  راهسازي  اسكانده"</f>
        <v xml:space="preserve">  راهسازي  اسكانده</v>
      </c>
      <c r="Q1383" s="1">
        <v>11</v>
      </c>
      <c r="R1383" s="1" t="str">
        <f>"فروش داخلي تهران - بورس"</f>
        <v>فروش داخلي تهران - بورس</v>
      </c>
      <c r="S1383" s="1" t="str">
        <f>"قرارداد فروش"</f>
        <v>قرارداد فروش</v>
      </c>
      <c r="T1383" s="1" t="str">
        <f>"ندارد"</f>
        <v>ندارد</v>
      </c>
      <c r="U1383" s="1" t="str">
        <f>"شهبازي محمدرضا(1029ج89)"</f>
        <v>شهبازي محمدرضا(1029ج89)</v>
      </c>
      <c r="V1383" s="1">
        <v>961100132</v>
      </c>
      <c r="W1383" s="1">
        <v>961100132</v>
      </c>
      <c r="X1383" s="1" t="str">
        <f>"1396553748"</f>
        <v>1396553748</v>
      </c>
      <c r="Y1383" s="1" t="str">
        <f>"96/12/19"</f>
        <v>96/12/19</v>
      </c>
      <c r="Z1383" s="1" t="str">
        <f>"96-11781"</f>
        <v>96-11781</v>
      </c>
      <c r="AA1383" s="1" t="str">
        <f>"وزارت راه و ترابري-استانها"</f>
        <v>وزارت راه و ترابري-استانها</v>
      </c>
      <c r="AB1383" s="1" t="str">
        <f>"96/12/16"</f>
        <v>96/12/16</v>
      </c>
      <c r="AC1383" s="1" t="str">
        <f>"استان اصفهان"</f>
        <v>استان اصفهان</v>
      </c>
      <c r="AD1383" s="1" t="str">
        <f>"96/12/19"</f>
        <v>96/12/19</v>
      </c>
      <c r="AE1383" s="1" t="str">
        <f>"اختتام"</f>
        <v>اختتام</v>
      </c>
      <c r="AF1383" s="1" t="str">
        <f>""</f>
        <v/>
      </c>
      <c r="AG1383" s="1" t="str">
        <f>""</f>
        <v/>
      </c>
      <c r="AH1383" s="1" t="str">
        <f>""</f>
        <v/>
      </c>
      <c r="AI1383" s="1" t="str">
        <f>""</f>
        <v/>
      </c>
      <c r="AJ1383" s="1" t="str">
        <f>""</f>
        <v/>
      </c>
      <c r="AK1383" s="1" t="str">
        <f>""</f>
        <v/>
      </c>
    </row>
    <row r="1384" spans="1:37">
      <c r="A1384" s="1">
        <v>483000</v>
      </c>
      <c r="B1384" s="1">
        <v>961700008</v>
      </c>
      <c r="C1384" s="1" t="str">
        <f>"تخليه كرمان سيرجان كارخانه آسفالت شهرداري سيرجان"</f>
        <v>تخليه كرمان سيرجان كارخانه آسفالت شهرداري سيرجان</v>
      </c>
      <c r="D1384" s="1">
        <v>8854</v>
      </c>
      <c r="E1384" s="1">
        <v>481000</v>
      </c>
      <c r="F1384" s="1">
        <v>96</v>
      </c>
      <c r="G1384" s="1">
        <v>2000</v>
      </c>
      <c r="H1384" s="1" t="str">
        <f>"96/01/16"</f>
        <v>96/01/16</v>
      </c>
      <c r="I1384" s="1" t="str">
        <f>"كيلوگرم"</f>
        <v>كيلوگرم</v>
      </c>
      <c r="J1384" s="1" t="str">
        <f>"0000000091"</f>
        <v>0000000091</v>
      </c>
      <c r="K1384" s="1" t="str">
        <f>"قير  PG64-22"</f>
        <v>قير  PG64-22</v>
      </c>
      <c r="L1384" s="1">
        <v>100</v>
      </c>
      <c r="M1384" s="1" t="str">
        <f>"مخازن قير اصفهان"</f>
        <v>مخازن قير اصفهان</v>
      </c>
      <c r="N1384" s="1">
        <v>7034</v>
      </c>
      <c r="O1384" s="1">
        <v>50034551</v>
      </c>
      <c r="P1384" s="1" t="str">
        <f>"  اداره كل راه وشهرسازي كرمان"</f>
        <v xml:space="preserve">  اداره كل راه وشهرسازي كرمان</v>
      </c>
      <c r="Q1384" s="1">
        <v>17</v>
      </c>
      <c r="R1384" s="1" t="str">
        <f>"فروش داخلي تهران - وزارت راه - راه روستايي - روکش"</f>
        <v>فروش داخلي تهران - وزارت راه - راه روستايي - روکش</v>
      </c>
      <c r="S1384" s="1" t="str">
        <f>"قرارداد فروش"</f>
        <v>قرارداد فروش</v>
      </c>
      <c r="T1384" s="1" t="str">
        <f>"ندارد"</f>
        <v>ندارد</v>
      </c>
      <c r="U1384" s="1" t="str">
        <f>"اميري دواني بهزاد(4844015)"</f>
        <v>اميري دواني بهزاد(4844015)</v>
      </c>
      <c r="V1384" s="1">
        <v>961700008</v>
      </c>
      <c r="W1384" s="1">
        <v>961700008</v>
      </c>
      <c r="X1384" s="1" t="str">
        <f>"1395470943"</f>
        <v>1395470943</v>
      </c>
      <c r="Y1384" s="1" t="str">
        <f>"96/01/16"</f>
        <v>96/01/16</v>
      </c>
      <c r="Z1384" s="1" t="str">
        <f>"65858/710"</f>
        <v>65858/710</v>
      </c>
      <c r="AA1384" s="1" t="str">
        <f>"راه روستائي -روكش"</f>
        <v>راه روستائي -روكش</v>
      </c>
      <c r="AB1384" s="1" t="str">
        <f>"95/12/22"</f>
        <v>95/12/22</v>
      </c>
      <c r="AC1384" s="1" t="str">
        <f>"استان كرمان"</f>
        <v>استان كرمان</v>
      </c>
      <c r="AD1384" s="1" t="str">
        <f>"95/12/24"</f>
        <v>95/12/24</v>
      </c>
      <c r="AE1384" s="1" t="str">
        <f>"اختتام"</f>
        <v>اختتام</v>
      </c>
      <c r="AF1384" s="1" t="str">
        <f>""</f>
        <v/>
      </c>
      <c r="AG1384" s="1" t="str">
        <f>""</f>
        <v/>
      </c>
      <c r="AH1384" s="1" t="str">
        <f>""</f>
        <v/>
      </c>
      <c r="AI1384" s="1" t="str">
        <f>""</f>
        <v/>
      </c>
      <c r="AJ1384" s="1" t="str">
        <f>""</f>
        <v/>
      </c>
      <c r="AK1384" s="1" t="str">
        <f>""</f>
        <v/>
      </c>
    </row>
    <row r="1385" spans="1:37">
      <c r="A1385" s="1">
        <v>147000</v>
      </c>
      <c r="B1385" s="1">
        <v>961700167</v>
      </c>
      <c r="C1385" s="1" t="str">
        <f>"تخليه كرمان جاده يزدكرمان كارخانه آسفالت شركت زاويه ساز"</f>
        <v>تخليه كرمان جاده يزدكرمان كارخانه آسفالت شركت زاويه ساز</v>
      </c>
      <c r="D1385" s="1">
        <v>13600</v>
      </c>
      <c r="E1385" s="1">
        <v>147000</v>
      </c>
      <c r="F1385" s="1">
        <v>96</v>
      </c>
      <c r="G1385" s="1">
        <v>0</v>
      </c>
      <c r="H1385" s="1" t="str">
        <f>"96/12/03"</f>
        <v>96/12/03</v>
      </c>
      <c r="I1385" s="1" t="str">
        <f>"كيلوگرم"</f>
        <v>كيلوگرم</v>
      </c>
      <c r="J1385" s="1" t="str">
        <f>"0000000091"</f>
        <v>0000000091</v>
      </c>
      <c r="K1385" s="1" t="str">
        <f>"قير  PG64-22"</f>
        <v>قير  PG64-22</v>
      </c>
      <c r="L1385" s="1">
        <v>100</v>
      </c>
      <c r="M1385" s="1" t="str">
        <f>"مخازن قير اصفهان"</f>
        <v>مخازن قير اصفهان</v>
      </c>
      <c r="N1385" s="1">
        <v>7034</v>
      </c>
      <c r="O1385" s="1">
        <v>50038584</v>
      </c>
      <c r="P1385" s="1" t="str">
        <f>"  اداره كل راه وشهرسازي كرمان"</f>
        <v xml:space="preserve">  اداره كل راه وشهرسازي كرمان</v>
      </c>
      <c r="Q1385" s="1">
        <v>17</v>
      </c>
      <c r="R1385" s="1" t="str">
        <f>"فروش داخلي تهران - وزارت راه - راه روستايي - روکش"</f>
        <v>فروش داخلي تهران - وزارت راه - راه روستايي - روکش</v>
      </c>
      <c r="S1385" s="1" t="str">
        <f>"قرارداد فروش"</f>
        <v>قرارداد فروش</v>
      </c>
      <c r="T1385" s="1" t="str">
        <f>"ندارد"</f>
        <v>ندارد</v>
      </c>
      <c r="U1385" s="1" t="str">
        <f>"قانعي محمدرضا(1011ج89)"</f>
        <v>قانعي محمدرضا(1011ج89)</v>
      </c>
      <c r="V1385" s="1">
        <v>961700167</v>
      </c>
      <c r="W1385" s="1">
        <v>961700167</v>
      </c>
      <c r="X1385" s="1" t="str">
        <f>"1396549379"</f>
        <v>1396549379</v>
      </c>
      <c r="Y1385" s="1" t="str">
        <f>"96/12/02"</f>
        <v>96/12/02</v>
      </c>
      <c r="Z1385" s="1" t="str">
        <f>"58465/710"</f>
        <v>58465/710</v>
      </c>
      <c r="AA1385" s="1" t="str">
        <f>"راه روستائي -روكش"</f>
        <v>راه روستائي -روكش</v>
      </c>
      <c r="AB1385" s="1" t="str">
        <f>"96/11/10"</f>
        <v>96/11/10</v>
      </c>
      <c r="AC1385" s="1" t="str">
        <f>"استان كرمان"</f>
        <v>استان كرمان</v>
      </c>
      <c r="AD1385" s="1" t="str">
        <f>"96/11/30"</f>
        <v>96/11/30</v>
      </c>
      <c r="AE1385" s="1" t="str">
        <f>"اختتام"</f>
        <v>اختتام</v>
      </c>
      <c r="AF1385" s="1" t="str">
        <f>""</f>
        <v/>
      </c>
      <c r="AG1385" s="1" t="str">
        <f>""</f>
        <v/>
      </c>
      <c r="AH1385" s="1" t="str">
        <f>""</f>
        <v/>
      </c>
      <c r="AI1385" s="1" t="str">
        <f>""</f>
        <v/>
      </c>
      <c r="AJ1385" s="1" t="str">
        <f>""</f>
        <v/>
      </c>
      <c r="AK1385" s="1" t="str">
        <f>""</f>
        <v/>
      </c>
    </row>
    <row r="1386" spans="1:37">
      <c r="A1386" s="1">
        <v>43000</v>
      </c>
      <c r="B1386" s="1">
        <v>961700168</v>
      </c>
      <c r="C1386" s="1" t="str">
        <f>"تخليه كرمان جاده يزدكرمان كارخانه آسفالت شركت زاويه ساز"</f>
        <v>تخليه كرمان جاده يزدكرمان كارخانه آسفالت شركت زاويه ساز</v>
      </c>
      <c r="D1386" s="1">
        <v>13600</v>
      </c>
      <c r="E1386" s="1">
        <v>43000</v>
      </c>
      <c r="F1386" s="1">
        <v>96</v>
      </c>
      <c r="G1386" s="1">
        <v>0</v>
      </c>
      <c r="H1386" s="1" t="str">
        <f>"96/12/03"</f>
        <v>96/12/03</v>
      </c>
      <c r="I1386" s="1" t="str">
        <f>"كيلوگرم"</f>
        <v>كيلوگرم</v>
      </c>
      <c r="J1386" s="1" t="str">
        <f>"0000000091"</f>
        <v>0000000091</v>
      </c>
      <c r="K1386" s="1" t="str">
        <f>"قير  PG64-22"</f>
        <v>قير  PG64-22</v>
      </c>
      <c r="L1386" s="1">
        <v>100</v>
      </c>
      <c r="M1386" s="1" t="str">
        <f>"مخازن قير اصفهان"</f>
        <v>مخازن قير اصفهان</v>
      </c>
      <c r="N1386" s="1">
        <v>7034</v>
      </c>
      <c r="O1386" s="1">
        <v>50038585</v>
      </c>
      <c r="P1386" s="1" t="str">
        <f>"  اداره كل راه وشهرسازي كرمان"</f>
        <v xml:space="preserve">  اداره كل راه وشهرسازي كرمان</v>
      </c>
      <c r="Q1386" s="1">
        <v>17</v>
      </c>
      <c r="R1386" s="1" t="str">
        <f>"فروش داخلي تهران - وزارت راه - راه روستايي - روکش"</f>
        <v>فروش داخلي تهران - وزارت راه - راه روستايي - روکش</v>
      </c>
      <c r="S1386" s="1" t="str">
        <f>"قرارداد فروش"</f>
        <v>قرارداد فروش</v>
      </c>
      <c r="T1386" s="1" t="str">
        <f>"ندارد"</f>
        <v>ندارد</v>
      </c>
      <c r="U1386" s="1" t="str">
        <f>"قانعي محمدرضا(1011ج89)"</f>
        <v>قانعي محمدرضا(1011ج89)</v>
      </c>
      <c r="V1386" s="1">
        <v>961700168</v>
      </c>
      <c r="W1386" s="1">
        <v>961700168</v>
      </c>
      <c r="X1386" s="1" t="str">
        <f>"1396549379"</f>
        <v>1396549379</v>
      </c>
      <c r="Y1386" s="1" t="str">
        <f>"96/12/02"</f>
        <v>96/12/02</v>
      </c>
      <c r="Z1386" s="1" t="str">
        <f>"58463/710"</f>
        <v>58463/710</v>
      </c>
      <c r="AA1386" s="1" t="str">
        <f>"راه روستائي -روكش"</f>
        <v>راه روستائي -روكش</v>
      </c>
      <c r="AB1386" s="1" t="str">
        <f>"96/11/10"</f>
        <v>96/11/10</v>
      </c>
      <c r="AC1386" s="1" t="str">
        <f>"استان كرمان"</f>
        <v>استان كرمان</v>
      </c>
      <c r="AD1386" s="1" t="str">
        <f>"96/11/30"</f>
        <v>96/11/30</v>
      </c>
      <c r="AE1386" s="1" t="str">
        <f>"اختتام"</f>
        <v>اختتام</v>
      </c>
      <c r="AF1386" s="1" t="str">
        <f>""</f>
        <v/>
      </c>
      <c r="AG1386" s="1" t="str">
        <f>""</f>
        <v/>
      </c>
      <c r="AH1386" s="1" t="str">
        <f>""</f>
        <v/>
      </c>
      <c r="AI1386" s="1" t="str">
        <f>""</f>
        <v/>
      </c>
      <c r="AJ1386" s="1" t="str">
        <f>""</f>
        <v/>
      </c>
      <c r="AK1386" s="1" t="str">
        <f>""</f>
        <v/>
      </c>
    </row>
    <row r="1387" spans="1:37">
      <c r="A1387" s="1">
        <v>250000</v>
      </c>
      <c r="B1387" s="1">
        <v>961100050</v>
      </c>
      <c r="C1387" s="1" t="str">
        <f>"تخليه -شهركرد-جاده دانشگاه آزادعراضي منصوريه -كارخانه آسفالت شهرداري شهركرد"</f>
        <v>تخليه -شهركرد-جاده دانشگاه آزادعراضي منصوريه -كارخانه آسفالت شهرداري شهركرد</v>
      </c>
      <c r="D1387" s="1">
        <v>8704</v>
      </c>
      <c r="E1387" s="1">
        <v>249860</v>
      </c>
      <c r="F1387" s="1">
        <v>96</v>
      </c>
      <c r="G1387" s="1">
        <v>140</v>
      </c>
      <c r="H1387" s="1" t="str">
        <f>"96/05/24"</f>
        <v>96/05/24</v>
      </c>
      <c r="I1387" s="1" t="str">
        <f>"كيلوگرم"</f>
        <v>كيلوگرم</v>
      </c>
      <c r="J1387" s="1" t="str">
        <f>"1000000002"</f>
        <v>1000000002</v>
      </c>
      <c r="K1387" s="1" t="str">
        <f>"قير 85/100 - فله"</f>
        <v>قير 85/100 - فله</v>
      </c>
      <c r="L1387" s="1">
        <v>100</v>
      </c>
      <c r="M1387" s="1" t="str">
        <f>"مخازن قير اصفهان"</f>
        <v>مخازن قير اصفهان</v>
      </c>
      <c r="N1387" s="1">
        <v>7047</v>
      </c>
      <c r="O1387" s="1">
        <v>50035672</v>
      </c>
      <c r="P1387" s="1" t="str">
        <f>"  شهرداري شهركرد"</f>
        <v xml:space="preserve">  شهرداري شهركرد</v>
      </c>
      <c r="Q1387" s="1">
        <v>11</v>
      </c>
      <c r="R1387" s="1" t="str">
        <f>"فروش داخلي تهران - بورس"</f>
        <v>فروش داخلي تهران - بورس</v>
      </c>
      <c r="S1387" s="1" t="str">
        <f>"قرارداد فروش"</f>
        <v>قرارداد فروش</v>
      </c>
      <c r="T1387" s="1" t="str">
        <f>"ندارد"</f>
        <v>ندارد</v>
      </c>
      <c r="U1387" s="1" t="str">
        <f>"مظلوم فريبرز(1008ج89)"</f>
        <v>مظلوم فريبرز(1008ج89)</v>
      </c>
      <c r="V1387" s="1">
        <v>961100050</v>
      </c>
      <c r="W1387" s="1">
        <v>961100050</v>
      </c>
      <c r="X1387" s="1" t="str">
        <f>"1396504607"</f>
        <v>1396504607</v>
      </c>
      <c r="Y1387" s="1" t="str">
        <f>"96/05/24"</f>
        <v>96/05/24</v>
      </c>
      <c r="Z1387" s="1" t="str">
        <f>"96-36027"</f>
        <v>96-36027</v>
      </c>
      <c r="AA1387" s="1" t="str">
        <f>"شهرداريها"</f>
        <v>شهرداريها</v>
      </c>
      <c r="AB1387" s="1" t="str">
        <f>"96/05/24"</f>
        <v>96/05/24</v>
      </c>
      <c r="AC1387" s="1" t="str">
        <f>"استان چهارمحال بختياري"</f>
        <v>استان چهارمحال بختياري</v>
      </c>
      <c r="AD1387" s="1" t="str">
        <f>"96/05/21"</f>
        <v>96/05/21</v>
      </c>
      <c r="AE1387" s="1" t="str">
        <f>"اختتام"</f>
        <v>اختتام</v>
      </c>
      <c r="AF1387" s="1" t="str">
        <f>""</f>
        <v/>
      </c>
      <c r="AG1387" s="1" t="str">
        <f>""</f>
        <v/>
      </c>
      <c r="AH1387" s="1" t="str">
        <f>""</f>
        <v/>
      </c>
      <c r="AI1387" s="1" t="str">
        <f>""</f>
        <v/>
      </c>
      <c r="AJ1387" s="1" t="str">
        <f>""</f>
        <v/>
      </c>
      <c r="AK1387" s="1" t="str">
        <f>""</f>
        <v/>
      </c>
    </row>
    <row r="1388" spans="1:37">
      <c r="A1388" s="1">
        <v>37373</v>
      </c>
      <c r="B1388" s="1">
        <v>962000353</v>
      </c>
      <c r="C1388" s="1" t="str">
        <f>"تخليه كرمان كيلومتر15جادهكرمان زرندكارخانه آسفالت گستران زنگلان"</f>
        <v>تخليه كرمان كيلومتر15جادهكرمان زرندكارخانه آسفالت گستران زنگلان</v>
      </c>
      <c r="D1388" s="1">
        <v>12820</v>
      </c>
      <c r="E1388" s="1">
        <v>37373</v>
      </c>
      <c r="F1388" s="1">
        <v>96</v>
      </c>
      <c r="G1388" s="1">
        <v>0</v>
      </c>
      <c r="H1388" s="1" t="str">
        <f>"96/09/18"</f>
        <v>96/09/18</v>
      </c>
      <c r="I1388" s="1" t="str">
        <f>"كيلوگرم"</f>
        <v>كيلوگرم</v>
      </c>
      <c r="J1388" s="1" t="str">
        <f>"0000000076"</f>
        <v>0000000076</v>
      </c>
      <c r="K1388" s="1" t="str">
        <f>"قير 60/70 - فله"</f>
        <v>قير 60/70 - فله</v>
      </c>
      <c r="L1388" s="1">
        <v>100</v>
      </c>
      <c r="M1388" s="1" t="str">
        <f>"مخازن قير اصفهان"</f>
        <v>مخازن قير اصفهان</v>
      </c>
      <c r="N1388" s="1">
        <v>9879</v>
      </c>
      <c r="O1388" s="1">
        <v>50037611</v>
      </c>
      <c r="P1388" s="1" t="str">
        <f>"  شهرداري چترود"</f>
        <v xml:space="preserve">  شهرداري چترود</v>
      </c>
      <c r="Q1388" s="1">
        <v>20</v>
      </c>
      <c r="R1388" s="1" t="str">
        <f>"فروش داخلي - سازمان شهرداري ها و دهياري هاي كشور"</f>
        <v>فروش داخلي - سازمان شهرداري ها و دهياري هاي كشور</v>
      </c>
      <c r="S1388" s="1" t="str">
        <f>"قرارداد فروش"</f>
        <v>قرارداد فروش</v>
      </c>
      <c r="T1388" s="1" t="str">
        <f>"ندارد"</f>
        <v>ندارد</v>
      </c>
      <c r="U1388" s="1" t="str">
        <f>"تعاوني جم گستر (1001 ج 89)"</f>
        <v>تعاوني جم گستر (1001 ج 89)</v>
      </c>
      <c r="V1388" s="1">
        <v>962000353</v>
      </c>
      <c r="W1388" s="1">
        <v>962000353</v>
      </c>
      <c r="X1388" s="1" t="str">
        <f>"1396529711"</f>
        <v>1396529711</v>
      </c>
      <c r="Y1388" s="1" t="str">
        <f>"96/09/18"</f>
        <v>96/09/18</v>
      </c>
      <c r="Z1388" s="1" t="str">
        <f>"38592مرحله دوم"</f>
        <v>38592مرحله دوم</v>
      </c>
      <c r="AA1388" s="1" t="str">
        <f>"شهرداريها"</f>
        <v>شهرداريها</v>
      </c>
      <c r="AB1388" s="1" t="str">
        <f>"96/09/11"</f>
        <v>96/09/11</v>
      </c>
      <c r="AC1388" s="1" t="str">
        <f>"استان كرمان"</f>
        <v>استان كرمان</v>
      </c>
      <c r="AD1388" s="1" t="str">
        <f>"96/09/13"</f>
        <v>96/09/13</v>
      </c>
      <c r="AE1388" s="1" t="str">
        <f>"تاييدشده"</f>
        <v>تاييدشده</v>
      </c>
      <c r="AF1388" s="1" t="str">
        <f>""</f>
        <v/>
      </c>
      <c r="AG1388" s="1" t="str">
        <f>""</f>
        <v/>
      </c>
      <c r="AH1388" s="1" t="str">
        <f>""</f>
        <v/>
      </c>
      <c r="AI1388" s="1" t="str">
        <f>""</f>
        <v/>
      </c>
      <c r="AJ1388" s="1" t="str">
        <f>""</f>
        <v/>
      </c>
      <c r="AK1388" s="1" t="str">
        <f>""</f>
        <v/>
      </c>
    </row>
    <row r="1389" spans="1:37">
      <c r="A1389" s="1">
        <v>180000</v>
      </c>
      <c r="B1389" s="1">
        <v>961700103</v>
      </c>
      <c r="C1389" s="1" t="str">
        <f>"تخليه -اصفهان ميمه -كارخانه آسفالت شركت خاكپي"</f>
        <v>تخليه -اصفهان ميمه -كارخانه آسفالت شركت خاكپي</v>
      </c>
      <c r="D1389" s="1">
        <v>12970</v>
      </c>
      <c r="E1389" s="1">
        <v>178660</v>
      </c>
      <c r="F1389" s="1">
        <v>96</v>
      </c>
      <c r="G1389" s="1">
        <v>1340</v>
      </c>
      <c r="H1389" s="1" t="str">
        <f>"96/06/27"</f>
        <v>96/06/27</v>
      </c>
      <c r="I1389" s="1" t="str">
        <f>"كيلوگرم"</f>
        <v>كيلوگرم</v>
      </c>
      <c r="J1389" s="1" t="str">
        <f>"0000000091"</f>
        <v>0000000091</v>
      </c>
      <c r="K1389" s="1" t="str">
        <f>"قير  PG64-22"</f>
        <v>قير  PG64-22</v>
      </c>
      <c r="L1389" s="1">
        <v>100</v>
      </c>
      <c r="M1389" s="1" t="str">
        <f>"مخازن قير اصفهان"</f>
        <v>مخازن قير اصفهان</v>
      </c>
      <c r="N1389" s="1">
        <v>8091</v>
      </c>
      <c r="O1389" s="1">
        <v>50036094</v>
      </c>
      <c r="P1389" s="1" t="str">
        <f>"  اداره كل راه وشهرسازي اصفهان"</f>
        <v xml:space="preserve">  اداره كل راه وشهرسازي اصفهان</v>
      </c>
      <c r="Q1389" s="1">
        <v>17</v>
      </c>
      <c r="R1389" s="1" t="str">
        <f>"فروش داخلي تهران - وزارت راه - راه روستايي - روکش"</f>
        <v>فروش داخلي تهران - وزارت راه - راه روستايي - روکش</v>
      </c>
      <c r="S1389" s="1" t="str">
        <f>"قرارداد فروش"</f>
        <v>قرارداد فروش</v>
      </c>
      <c r="T1389" s="1" t="str">
        <f>"ندارد"</f>
        <v>ندارد</v>
      </c>
      <c r="U1389" s="1" t="str">
        <f>"ريسماني حسن(1007ج89)"</f>
        <v>ريسماني حسن(1007ج89)</v>
      </c>
      <c r="V1389" s="1">
        <v>961700103</v>
      </c>
      <c r="W1389" s="1">
        <v>961700103</v>
      </c>
      <c r="X1389" s="1" t="str">
        <f>"1396513015"</f>
        <v>1396513015</v>
      </c>
      <c r="Y1389" s="1" t="str">
        <f>"96/06/27"</f>
        <v>96/06/27</v>
      </c>
      <c r="Z1389" s="1" t="str">
        <f>"31020/710"</f>
        <v>31020/710</v>
      </c>
      <c r="AA1389" s="1" t="str">
        <f>"راه روستائي -روكش"</f>
        <v>راه روستائي -روكش</v>
      </c>
      <c r="AB1389" s="1" t="str">
        <f>"96/06/25"</f>
        <v>96/06/25</v>
      </c>
      <c r="AC1389" s="1" t="str">
        <f>"استان اصفهان"</f>
        <v>استان اصفهان</v>
      </c>
      <c r="AD1389" s="1" t="str">
        <f>"96/06/27"</f>
        <v>96/06/27</v>
      </c>
      <c r="AE1389" s="1" t="str">
        <f>"اختتام"</f>
        <v>اختتام</v>
      </c>
      <c r="AF1389" s="1" t="str">
        <f>""</f>
        <v/>
      </c>
      <c r="AG1389" s="1" t="str">
        <f>""</f>
        <v/>
      </c>
      <c r="AH1389" s="1" t="str">
        <f>""</f>
        <v/>
      </c>
      <c r="AI1389" s="1" t="str">
        <f>""</f>
        <v/>
      </c>
      <c r="AJ1389" s="1" t="str">
        <f>""</f>
        <v/>
      </c>
      <c r="AK1389" s="1" t="str">
        <f>""</f>
        <v/>
      </c>
    </row>
    <row r="1390" spans="1:37">
      <c r="A1390" s="1">
        <v>4225000</v>
      </c>
      <c r="B1390" s="1">
        <v>961100025</v>
      </c>
      <c r="C1390" s="1" t="str">
        <f>"تخليه خراسان رضوي مشهدجاده كلات كيلومتر14جاده كلات كارخانه آسفالت شهيدمجيدي"</f>
        <v>تخليه خراسان رضوي مشهدجاده كلات كيلومتر14جاده كلات كارخانه آسفالت شهيدمجيدي</v>
      </c>
      <c r="D1390" s="1">
        <v>8854</v>
      </c>
      <c r="E1390" s="1">
        <v>4217800</v>
      </c>
      <c r="F1390" s="1">
        <v>96</v>
      </c>
      <c r="G1390" s="1">
        <v>7200</v>
      </c>
      <c r="H1390" s="1" t="str">
        <f>"96/03/22"</f>
        <v>96/03/22</v>
      </c>
      <c r="I1390" s="1" t="str">
        <f>"كيلوگرم"</f>
        <v>كيلوگرم</v>
      </c>
      <c r="J1390" s="1" t="str">
        <f>"0000000091"</f>
        <v>0000000091</v>
      </c>
      <c r="K1390" s="1" t="str">
        <f>"قير  PG64-22"</f>
        <v>قير  PG64-22</v>
      </c>
      <c r="L1390" s="1">
        <v>100</v>
      </c>
      <c r="M1390" s="1" t="str">
        <f>"مخازن قير اصفهان"</f>
        <v>مخازن قير اصفهان</v>
      </c>
      <c r="N1390" s="1">
        <v>8163</v>
      </c>
      <c r="O1390" s="1">
        <v>50034986</v>
      </c>
      <c r="P1390" s="1" t="str">
        <f>"  سازمان عمران شهرداري مشهد"</f>
        <v xml:space="preserve">  سازمان عمران شهرداري مشهد</v>
      </c>
      <c r="Q1390" s="1">
        <v>11</v>
      </c>
      <c r="R1390" s="1" t="str">
        <f>"فروش داخلي تهران - بورس"</f>
        <v>فروش داخلي تهران - بورس</v>
      </c>
      <c r="S1390" s="1" t="str">
        <f>"قرارداد فروش"</f>
        <v>قرارداد فروش</v>
      </c>
      <c r="T1390" s="1" t="str">
        <f>"ندارد"</f>
        <v>ندارد</v>
      </c>
      <c r="U1390" s="1" t="str">
        <f>"جعفرزاده مهدي(1841079)"</f>
        <v>جعفرزاده مهدي(1841079)</v>
      </c>
      <c r="V1390" s="1">
        <v>961100025</v>
      </c>
      <c r="W1390" s="1">
        <v>961100025</v>
      </c>
      <c r="X1390" s="1" t="str">
        <f>"1396486822"</f>
        <v>1396486822</v>
      </c>
      <c r="Y1390" s="1" t="str">
        <f>"96/03/21"</f>
        <v>96/03/21</v>
      </c>
      <c r="Z1390" s="1" t="str">
        <f>"49/96/6999"</f>
        <v>49/96/6999</v>
      </c>
      <c r="AA1390" s="1" t="str">
        <f>"شهرداريها"</f>
        <v>شهرداريها</v>
      </c>
      <c r="AB1390" s="1" t="str">
        <f>"96/03/20"</f>
        <v>96/03/20</v>
      </c>
      <c r="AC1390" s="1" t="str">
        <f>"خراسان رضوي"</f>
        <v>خراسان رضوي</v>
      </c>
      <c r="AD1390" s="1" t="str">
        <f>"96/03/21"</f>
        <v>96/03/21</v>
      </c>
      <c r="AE1390" s="1" t="str">
        <f>"اختتام"</f>
        <v>اختتام</v>
      </c>
      <c r="AF1390" s="1" t="str">
        <f>""</f>
        <v/>
      </c>
      <c r="AG1390" s="1" t="str">
        <f>""</f>
        <v/>
      </c>
      <c r="AH1390" s="1" t="str">
        <f>""</f>
        <v/>
      </c>
      <c r="AI1390" s="1" t="str">
        <f>""</f>
        <v/>
      </c>
      <c r="AJ1390" s="1" t="str">
        <f>""</f>
        <v/>
      </c>
      <c r="AK1390" s="1" t="str">
        <f>""</f>
        <v/>
      </c>
    </row>
    <row r="1391" spans="1:37">
      <c r="A1391" s="1">
        <v>380000</v>
      </c>
      <c r="B1391" s="1">
        <v>961700079</v>
      </c>
      <c r="C1391" s="1" t="str">
        <f>"تخليه-لرستان کوهدشت کيلومتر 24 جاده کرمانشاه شرکت صدف سيمره شيراوند"</f>
        <v>تخليه-لرستان کوهدشت کيلومتر 24 جاده کرمانشاه شرکت صدف سيمره شيراوند</v>
      </c>
      <c r="D1391" s="1">
        <v>9363</v>
      </c>
      <c r="E1391" s="1">
        <v>377140</v>
      </c>
      <c r="F1391" s="1">
        <v>96</v>
      </c>
      <c r="G1391" s="1">
        <v>2860</v>
      </c>
      <c r="H1391" s="1" t="str">
        <f>"96/06/05"</f>
        <v>96/06/05</v>
      </c>
      <c r="I1391" s="1" t="str">
        <f>"كيلوگرم"</f>
        <v>كيلوگرم</v>
      </c>
      <c r="J1391" s="1" t="str">
        <f>"0000000091"</f>
        <v>0000000091</v>
      </c>
      <c r="K1391" s="1" t="str">
        <f>"قير  PG64-22"</f>
        <v>قير  PG64-22</v>
      </c>
      <c r="L1391" s="1">
        <v>100</v>
      </c>
      <c r="M1391" s="1" t="str">
        <f>"مخازن قير اصفهان"</f>
        <v>مخازن قير اصفهان</v>
      </c>
      <c r="N1391" s="1">
        <v>8228</v>
      </c>
      <c r="O1391" s="1">
        <v>50035809</v>
      </c>
      <c r="P1391" s="1" t="str">
        <f>"  صدف سيمره شيراوند"</f>
        <v xml:space="preserve">  صدف سيمره شيراوند</v>
      </c>
      <c r="Q1391" s="1">
        <v>17</v>
      </c>
      <c r="R1391" s="1" t="str">
        <f>"فروش داخلي تهران - وزارت راه - راه روستايي - روکش"</f>
        <v>فروش داخلي تهران - وزارت راه - راه روستايي - روکش</v>
      </c>
      <c r="S1391" s="1" t="str">
        <f>"قرارداد فروش"</f>
        <v>قرارداد فروش</v>
      </c>
      <c r="T1391" s="1" t="str">
        <f>"ندارد"</f>
        <v>ندارد</v>
      </c>
      <c r="U1391" s="1" t="str">
        <f>"ريسماني حسن(1007ج89)"</f>
        <v>ريسماني حسن(1007ج89)</v>
      </c>
      <c r="V1391" s="1">
        <v>961700079</v>
      </c>
      <c r="W1391" s="1">
        <v>961700079</v>
      </c>
      <c r="X1391" s="1" t="str">
        <f>"1396508157"</f>
        <v>1396508157</v>
      </c>
      <c r="Y1391" s="1" t="str">
        <f>"96/06/05"</f>
        <v>96/06/05</v>
      </c>
      <c r="Z1391" s="1" t="str">
        <f>"25535/710"</f>
        <v>25535/710</v>
      </c>
      <c r="AA1391" s="1" t="str">
        <f>"راه روستائي -روكش"</f>
        <v>راه روستائي -روكش</v>
      </c>
      <c r="AB1391" s="1" t="str">
        <f>"96/05/25"</f>
        <v>96/05/25</v>
      </c>
      <c r="AC1391" s="1" t="str">
        <f>"لرستان"</f>
        <v>لرستان</v>
      </c>
      <c r="AD1391" s="1" t="str">
        <f>"96/06/05"</f>
        <v>96/06/05</v>
      </c>
      <c r="AE1391" s="1" t="str">
        <f>"اختتام"</f>
        <v>اختتام</v>
      </c>
      <c r="AF1391" s="1" t="str">
        <f>""</f>
        <v/>
      </c>
      <c r="AG1391" s="1" t="str">
        <f>""</f>
        <v/>
      </c>
      <c r="AH1391" s="1" t="str">
        <f>""</f>
        <v/>
      </c>
      <c r="AI1391" s="1" t="str">
        <f>""</f>
        <v/>
      </c>
      <c r="AJ1391" s="1" t="str">
        <f>""</f>
        <v/>
      </c>
      <c r="AK1391" s="1" t="str">
        <f>""</f>
        <v/>
      </c>
    </row>
    <row r="1392" spans="1:37">
      <c r="A1392" s="1">
        <v>150000</v>
      </c>
      <c r="B1392" s="1">
        <v>961900149</v>
      </c>
      <c r="C1392" s="1" t="str">
        <f>"تخليه -لرستان -خرم آباد-كارخانه آسفالت سپهربستر"</f>
        <v>تخليه -لرستان -خرم آباد-كارخانه آسفالت سپهربستر</v>
      </c>
      <c r="D1392" s="1">
        <v>9363</v>
      </c>
      <c r="E1392" s="1">
        <v>138860</v>
      </c>
      <c r="F1392" s="1">
        <v>96</v>
      </c>
      <c r="G1392" s="1">
        <v>11140</v>
      </c>
      <c r="H1392" s="1" t="str">
        <f>"96/07/05"</f>
        <v>96/07/05</v>
      </c>
      <c r="I1392" s="1" t="str">
        <f>"كيلوگرم"</f>
        <v>كيلوگرم</v>
      </c>
      <c r="J1392" s="1" t="str">
        <f>"0000000091"</f>
        <v>0000000091</v>
      </c>
      <c r="K1392" s="1" t="str">
        <f>"قير  PG64-22"</f>
        <v>قير  PG64-22</v>
      </c>
      <c r="L1392" s="1">
        <v>100</v>
      </c>
      <c r="M1392" s="1" t="str">
        <f>"مخازن قير اصفهان"</f>
        <v>مخازن قير اصفهان</v>
      </c>
      <c r="N1392" s="1">
        <v>8305</v>
      </c>
      <c r="O1392" s="1">
        <v>50036323</v>
      </c>
      <c r="P1392" s="1" t="str">
        <f>"  سپهربستر"</f>
        <v xml:space="preserve">  سپهربستر</v>
      </c>
      <c r="Q1392" s="1">
        <v>19</v>
      </c>
      <c r="R139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392" s="1" t="str">
        <f>"قرارداد فروش"</f>
        <v>قرارداد فروش</v>
      </c>
      <c r="T1392" s="1" t="str">
        <f>"ندارد"</f>
        <v>ندارد</v>
      </c>
      <c r="U1392" s="1" t="str">
        <f>"ريسماني حسن(1007ج89)"</f>
        <v>ريسماني حسن(1007ج89)</v>
      </c>
      <c r="V1392" s="1">
        <v>961900149</v>
      </c>
      <c r="W1392" s="1">
        <v>961900149</v>
      </c>
      <c r="X1392" s="1" t="str">
        <f>"1396514465"</f>
        <v>1396514465</v>
      </c>
      <c r="Y1392" s="1" t="str">
        <f>"96/07/05"</f>
        <v>96/07/05</v>
      </c>
      <c r="Z1392" s="1" t="str">
        <f>"31965/710"</f>
        <v>31965/710</v>
      </c>
      <c r="AA1392" s="1" t="str">
        <f>"سازمان راهداري وحمل نقل جاده اي"</f>
        <v>سازمان راهداري وحمل نقل جاده اي</v>
      </c>
      <c r="AB1392" s="1" t="str">
        <f>"96/06/28"</f>
        <v>96/06/28</v>
      </c>
      <c r="AC1392" s="1" t="str">
        <f>"لرستان"</f>
        <v>لرستان</v>
      </c>
      <c r="AD1392" s="1" t="str">
        <f>"96/07/03"</f>
        <v>96/07/03</v>
      </c>
      <c r="AE1392" s="1" t="str">
        <f>"اختتام"</f>
        <v>اختتام</v>
      </c>
      <c r="AF1392" s="1" t="str">
        <f>""</f>
        <v/>
      </c>
      <c r="AG1392" s="1" t="str">
        <f>""</f>
        <v/>
      </c>
      <c r="AH1392" s="1" t="str">
        <f>""</f>
        <v/>
      </c>
      <c r="AI1392" s="1" t="str">
        <f>""</f>
        <v/>
      </c>
      <c r="AJ1392" s="1" t="str">
        <f>""</f>
        <v/>
      </c>
      <c r="AK1392" s="1" t="str">
        <f>""</f>
        <v/>
      </c>
    </row>
    <row r="1393" spans="1:37">
      <c r="A1393" s="1">
        <v>1000000</v>
      </c>
      <c r="B1393" s="1">
        <v>961900003</v>
      </c>
      <c r="C1393" s="1" t="str">
        <f>"تخليه خراسان رضوي مشهدكيلومتر25جاده مشهدبه فريمان قبل ازروستاي سنگ بست كارخانه آسفالت سنگ بست"</f>
        <v>تخليه خراسان رضوي مشهدكيلومتر25جاده مشهدبه فريمان قبل ازروستاي سنگ بست كارخانه آسفالت سنگ بست</v>
      </c>
      <c r="D1393" s="1">
        <v>9068</v>
      </c>
      <c r="E1393" s="1">
        <v>999460</v>
      </c>
      <c r="F1393" s="1">
        <v>96</v>
      </c>
      <c r="G1393" s="1">
        <v>540</v>
      </c>
      <c r="H1393" s="1" t="str">
        <f>"96/01/15"</f>
        <v>96/01/15</v>
      </c>
      <c r="I1393" s="1" t="str">
        <f>"كيلوگرم"</f>
        <v>كيلوگرم</v>
      </c>
      <c r="J1393" s="1" t="str">
        <f>"0000000091"</f>
        <v>0000000091</v>
      </c>
      <c r="K1393" s="1" t="str">
        <f>"قير  PG64-22"</f>
        <v>قير  PG64-22</v>
      </c>
      <c r="L1393" s="1">
        <v>100</v>
      </c>
      <c r="M1393" s="1" t="str">
        <f>"مخازن قير اصفهان"</f>
        <v>مخازن قير اصفهان</v>
      </c>
      <c r="N1393" s="1">
        <v>8679</v>
      </c>
      <c r="O1393" s="1">
        <v>50034356</v>
      </c>
      <c r="P1393" s="1" t="str">
        <f>"  ساختماني راهسازي كيهان راه شرق"</f>
        <v xml:space="preserve">  ساختماني راهسازي كيهان راه شرق</v>
      </c>
      <c r="Q1393" s="1">
        <v>19</v>
      </c>
      <c r="R139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393" s="1" t="str">
        <f>"قرارداد فروش"</f>
        <v>قرارداد فروش</v>
      </c>
      <c r="T1393" s="1" t="str">
        <f>"ندارد"</f>
        <v>ندارد</v>
      </c>
      <c r="U1393" s="1" t="str">
        <f>"نظام دوست امين (1911102)"</f>
        <v>نظام دوست امين (1911102)</v>
      </c>
      <c r="V1393" s="1">
        <v>961900003</v>
      </c>
      <c r="W1393" s="1">
        <v>961900003</v>
      </c>
      <c r="X1393" s="1" t="str">
        <f>"1395471087"</f>
        <v>1395471087</v>
      </c>
      <c r="Y1393" s="1" t="str">
        <f>"96/01/15"</f>
        <v>96/01/15</v>
      </c>
      <c r="Z1393" s="1" t="str">
        <f>"66949/710"</f>
        <v>66949/710</v>
      </c>
      <c r="AA1393" s="1" t="str">
        <f>"سازمان راهداري وحمل نقل جاده اي"</f>
        <v>سازمان راهداري وحمل نقل جاده اي</v>
      </c>
      <c r="AB1393" s="1" t="str">
        <f>"95/12/25"</f>
        <v>95/12/25</v>
      </c>
      <c r="AC1393" s="1" t="str">
        <f>"خراسان رضوي"</f>
        <v>خراسان رضوي</v>
      </c>
      <c r="AD1393" s="1" t="str">
        <f>"95/12/28"</f>
        <v>95/12/28</v>
      </c>
      <c r="AE1393" s="1" t="str">
        <f>"اختتام"</f>
        <v>اختتام</v>
      </c>
      <c r="AF1393" s="1" t="str">
        <f>""</f>
        <v/>
      </c>
      <c r="AG1393" s="1" t="str">
        <f>""</f>
        <v/>
      </c>
      <c r="AH1393" s="1" t="str">
        <f>""</f>
        <v/>
      </c>
      <c r="AI1393" s="1" t="str">
        <f>""</f>
        <v/>
      </c>
      <c r="AJ1393" s="1" t="str">
        <f>""</f>
        <v/>
      </c>
      <c r="AK1393" s="1" t="str">
        <f>""</f>
        <v/>
      </c>
    </row>
    <row r="1394" spans="1:37">
      <c r="A1394" s="1">
        <v>150000</v>
      </c>
      <c r="B1394" s="1">
        <v>961100107</v>
      </c>
      <c r="C1394" s="1" t="str">
        <f>"تخليه -شهركرد-جاده دانشگاه آزادعراضي منصوريه -كارخانه آسفالت شهرداري شهركرد"</f>
        <v>تخليه -شهركرد-جاده دانشگاه آزادعراضي منصوريه -كارخانه آسفالت شهرداري شهركرد</v>
      </c>
      <c r="D1394" s="1">
        <v>12850</v>
      </c>
      <c r="E1394" s="1">
        <v>150000</v>
      </c>
      <c r="F1394" s="1">
        <v>96</v>
      </c>
      <c r="G1394" s="1">
        <v>0</v>
      </c>
      <c r="H1394" s="1" t="str">
        <f>"96/10/18"</f>
        <v>96/10/18</v>
      </c>
      <c r="I1394" s="1" t="str">
        <f>"كيلوگرم"</f>
        <v>كيلوگرم</v>
      </c>
      <c r="J1394" s="1" t="str">
        <f>"1000000002"</f>
        <v>1000000002</v>
      </c>
      <c r="K1394" s="1" t="str">
        <f>"قير 85/100 - فله"</f>
        <v>قير 85/100 - فله</v>
      </c>
      <c r="L1394" s="1">
        <v>100</v>
      </c>
      <c r="M1394" s="1" t="str">
        <f>"مخازن قير اصفهان"</f>
        <v>مخازن قير اصفهان</v>
      </c>
      <c r="N1394" s="1">
        <v>7047</v>
      </c>
      <c r="O1394" s="1">
        <v>50038078</v>
      </c>
      <c r="P1394" s="1" t="str">
        <f>"  شهرداري شهركرد"</f>
        <v xml:space="preserve">  شهرداري شهركرد</v>
      </c>
      <c r="Q1394" s="1">
        <v>11</v>
      </c>
      <c r="R1394" s="1" t="str">
        <f>"فروش داخلي تهران - بورس"</f>
        <v>فروش داخلي تهران - بورس</v>
      </c>
      <c r="S1394" s="1" t="str">
        <f>"قرارداد فروش"</f>
        <v>قرارداد فروش</v>
      </c>
      <c r="T1394" s="1" t="str">
        <f>"ندارد"</f>
        <v>ندارد</v>
      </c>
      <c r="U1394" s="1" t="str">
        <f>"مظلوم فريبرز(1008ج89)"</f>
        <v>مظلوم فريبرز(1008ج89)</v>
      </c>
      <c r="V1394" s="1">
        <v>961100107</v>
      </c>
      <c r="W1394" s="1">
        <v>961100107</v>
      </c>
      <c r="X1394" s="1" t="str">
        <f>"1396536459"</f>
        <v>1396536459</v>
      </c>
      <c r="Y1394" s="1" t="str">
        <f>"96/10/17"</f>
        <v>96/10/17</v>
      </c>
      <c r="Z1394" s="1" t="str">
        <f>"96-36929"</f>
        <v>96-36929</v>
      </c>
      <c r="AA1394" s="1" t="str">
        <f>"شهرداريها"</f>
        <v>شهرداريها</v>
      </c>
      <c r="AB1394" s="1" t="str">
        <f>"96/10/17"</f>
        <v>96/10/17</v>
      </c>
      <c r="AC1394" s="1" t="str">
        <f>"استان چهارمحال بختياري"</f>
        <v>استان چهارمحال بختياري</v>
      </c>
      <c r="AD1394" s="1" t="str">
        <f>"96/10/11"</f>
        <v>96/10/11</v>
      </c>
      <c r="AE1394" s="1" t="str">
        <f>"اختتام"</f>
        <v>اختتام</v>
      </c>
      <c r="AF1394" s="1" t="str">
        <f>""</f>
        <v/>
      </c>
      <c r="AG1394" s="1" t="str">
        <f>""</f>
        <v/>
      </c>
      <c r="AH1394" s="1" t="str">
        <f>""</f>
        <v/>
      </c>
      <c r="AI1394" s="1" t="str">
        <f>""</f>
        <v/>
      </c>
      <c r="AJ1394" s="1" t="str">
        <f>""</f>
        <v/>
      </c>
      <c r="AK1394" s="1" t="str">
        <f>""</f>
        <v/>
      </c>
    </row>
    <row r="1395" spans="1:37">
      <c r="A1395" s="1">
        <v>500000</v>
      </c>
      <c r="B1395" s="1">
        <v>961900094</v>
      </c>
      <c r="C1395" s="1" t="str">
        <f>"تخليه كرمانشاه پليس راه هرسين كيلومتر10جاده هريس كارخانه آسفالت پل چهر"</f>
        <v>تخليه كرمانشاه پليس راه هرسين كيلومتر10جاده هريس كارخانه آسفالت پل چهر</v>
      </c>
      <c r="D1395" s="1">
        <v>8904</v>
      </c>
      <c r="E1395" s="1">
        <v>497100</v>
      </c>
      <c r="F1395" s="1">
        <v>96</v>
      </c>
      <c r="G1395" s="1">
        <v>2900</v>
      </c>
      <c r="H1395" s="1" t="str">
        <f>"96/05/10"</f>
        <v>96/05/10</v>
      </c>
      <c r="I1395" s="1" t="str">
        <f>"كيلوگرم"</f>
        <v>كيلوگرم</v>
      </c>
      <c r="J1395" s="1" t="str">
        <f>"0000000091"</f>
        <v>0000000091</v>
      </c>
      <c r="K1395" s="1" t="str">
        <f>"قير  PG64-22"</f>
        <v>قير  PG64-22</v>
      </c>
      <c r="L1395" s="1">
        <v>100</v>
      </c>
      <c r="M1395" s="1" t="str">
        <f>"مخازن قير اصفهان"</f>
        <v>مخازن قير اصفهان</v>
      </c>
      <c r="N1395" s="1">
        <v>9382</v>
      </c>
      <c r="O1395" s="1">
        <v>50035441</v>
      </c>
      <c r="P1395" s="1" t="str">
        <f>"  مهندسين ساگارت سيوند"</f>
        <v xml:space="preserve">  مهندسين ساگارت سيوند</v>
      </c>
      <c r="Q1395" s="1">
        <v>19</v>
      </c>
      <c r="R139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395" s="1" t="str">
        <f>"قرارداد فروش"</f>
        <v>قرارداد فروش</v>
      </c>
      <c r="T1395" s="1" t="str">
        <f>"ندارد"</f>
        <v>ندارد</v>
      </c>
      <c r="U1395" s="1" t="str">
        <f>"شمسيان پور حبيب اله(2842034)"</f>
        <v>شمسيان پور حبيب اله(2842034)</v>
      </c>
      <c r="V1395" s="1">
        <v>961900094</v>
      </c>
      <c r="W1395" s="1">
        <v>961900094</v>
      </c>
      <c r="X1395" s="1" t="str">
        <f>"1396501692"</f>
        <v>1396501692</v>
      </c>
      <c r="Y1395" s="1" t="str">
        <f>"96/05/10"</f>
        <v>96/05/10</v>
      </c>
      <c r="Z1395" s="1" t="str">
        <f>"21912/710"</f>
        <v>21912/710</v>
      </c>
      <c r="AA1395" s="1" t="str">
        <f>"سازمان راهداري وحمل نقل جاده اي"</f>
        <v>سازمان راهداري وحمل نقل جاده اي</v>
      </c>
      <c r="AB1395" s="1" t="str">
        <f>"96/05/08"</f>
        <v>96/05/08</v>
      </c>
      <c r="AC1395" s="1" t="str">
        <f>"استان كرمانشاه"</f>
        <v>استان كرمانشاه</v>
      </c>
      <c r="AD1395" s="1" t="str">
        <f>"96/05/10"</f>
        <v>96/05/10</v>
      </c>
      <c r="AE1395" s="1" t="str">
        <f>"اختتام"</f>
        <v>اختتام</v>
      </c>
      <c r="AF1395" s="1" t="str">
        <f>""</f>
        <v/>
      </c>
      <c r="AG1395" s="1" t="str">
        <f>""</f>
        <v/>
      </c>
      <c r="AH1395" s="1" t="str">
        <f>""</f>
        <v/>
      </c>
      <c r="AI1395" s="1" t="str">
        <f>""</f>
        <v/>
      </c>
      <c r="AJ1395" s="1" t="str">
        <f>""</f>
        <v/>
      </c>
      <c r="AK1395" s="1" t="str">
        <f>""</f>
        <v/>
      </c>
    </row>
    <row r="1396" spans="1:37">
      <c r="A1396" s="1">
        <v>130000</v>
      </c>
      <c r="B1396" s="1">
        <v>961700108</v>
      </c>
      <c r="C1396" s="1" t="str">
        <f>"تخليه :لرستان كيلومتر22جاده كوهدشت -خرم آباد-جاده فرعي پادگان امام علي-بلوران سازه خرم"</f>
        <v>تخليه :لرستان كيلومتر22جاده كوهدشت -خرم آباد-جاده فرعي پادگان امام علي-بلوران سازه خرم</v>
      </c>
      <c r="D1396" s="1">
        <v>9716</v>
      </c>
      <c r="E1396" s="1">
        <v>128540</v>
      </c>
      <c r="F1396" s="1">
        <v>96</v>
      </c>
      <c r="G1396" s="1">
        <v>1460</v>
      </c>
      <c r="H1396" s="1" t="str">
        <f>"96/07/12"</f>
        <v>96/07/12</v>
      </c>
      <c r="I1396" s="1" t="str">
        <f>"كيلوگرم"</f>
        <v>كيلوگرم</v>
      </c>
      <c r="J1396" s="1" t="str">
        <f>"0000000091"</f>
        <v>0000000091</v>
      </c>
      <c r="K1396" s="1" t="str">
        <f>"قير  PG64-22"</f>
        <v>قير  PG64-22</v>
      </c>
      <c r="L1396" s="1">
        <v>100</v>
      </c>
      <c r="M1396" s="1" t="str">
        <f>"مخازن قير اصفهان"</f>
        <v>مخازن قير اصفهان</v>
      </c>
      <c r="N1396" s="1">
        <v>9485</v>
      </c>
      <c r="O1396" s="1">
        <v>50036533</v>
      </c>
      <c r="P1396" s="1" t="str">
        <f>"  بلوران سازه خرم"</f>
        <v xml:space="preserve">  بلوران سازه خرم</v>
      </c>
      <c r="Q1396" s="1">
        <v>17</v>
      </c>
      <c r="R1396" s="1" t="str">
        <f>"فروش داخلي تهران - وزارت راه - راه روستايي - روکش"</f>
        <v>فروش داخلي تهران - وزارت راه - راه روستايي - روکش</v>
      </c>
      <c r="S1396" s="1" t="str">
        <f>"قرارداد فروش"</f>
        <v>قرارداد فروش</v>
      </c>
      <c r="T1396" s="1" t="str">
        <f>"ندارد"</f>
        <v>ندارد</v>
      </c>
      <c r="U1396" s="1" t="str">
        <f>"بستاني محسن (2882039)"</f>
        <v>بستاني محسن (2882039)</v>
      </c>
      <c r="V1396" s="1">
        <v>961700108</v>
      </c>
      <c r="W1396" s="1">
        <v>961700108</v>
      </c>
      <c r="X1396" s="1" t="str">
        <f>"1396516802"</f>
        <v>1396516802</v>
      </c>
      <c r="Y1396" s="1" t="str">
        <f>"96/07/12"</f>
        <v>96/07/12</v>
      </c>
      <c r="Z1396" s="1" t="str">
        <f>"32933/710"</f>
        <v>32933/710</v>
      </c>
      <c r="AA1396" s="1" t="str">
        <f>"راه روستائي -روكش"</f>
        <v>راه روستائي -روكش</v>
      </c>
      <c r="AB1396" s="1" t="str">
        <f>"96/07/03"</f>
        <v>96/07/03</v>
      </c>
      <c r="AC1396" s="1" t="str">
        <f>"لرستان"</f>
        <v>لرستان</v>
      </c>
      <c r="AD1396" s="1" t="str">
        <f>"96/07/12"</f>
        <v>96/07/12</v>
      </c>
      <c r="AE1396" s="1" t="str">
        <f>"اختتام"</f>
        <v>اختتام</v>
      </c>
      <c r="AF1396" s="1" t="str">
        <f>""</f>
        <v/>
      </c>
      <c r="AG1396" s="1" t="str">
        <f>""</f>
        <v/>
      </c>
      <c r="AH1396" s="1" t="str">
        <f>""</f>
        <v/>
      </c>
      <c r="AI1396" s="1" t="str">
        <f>""</f>
        <v/>
      </c>
      <c r="AJ1396" s="1" t="str">
        <f>""</f>
        <v/>
      </c>
      <c r="AK1396" s="1" t="str">
        <f>""</f>
        <v/>
      </c>
    </row>
    <row r="1397" spans="1:37">
      <c r="A1397" s="1">
        <v>800000</v>
      </c>
      <c r="B1397" s="1">
        <v>961900137</v>
      </c>
      <c r="C1397" s="1" t="str">
        <f>"تخليه -كرمانشاه -اسلام آبادغرب كيلومتر10جاده اهواز-كارخانه آسفالت قاضي وندفيروزآباد"</f>
        <v>تخليه -كرمانشاه -اسلام آبادغرب كيلومتر10جاده اهواز-كارخانه آسفالت قاضي وندفيروزآباد</v>
      </c>
      <c r="D1397" s="1">
        <v>9204</v>
      </c>
      <c r="E1397" s="1">
        <v>800000</v>
      </c>
      <c r="F1397" s="1">
        <v>96</v>
      </c>
      <c r="G1397" s="1">
        <v>0</v>
      </c>
      <c r="H1397" s="1" t="str">
        <f>"96/06/06"</f>
        <v>96/06/06</v>
      </c>
      <c r="I1397" s="1" t="str">
        <f>"كيلوگرم"</f>
        <v>كيلوگرم</v>
      </c>
      <c r="J1397" s="1" t="str">
        <f>"0000000091"</f>
        <v>0000000091</v>
      </c>
      <c r="K1397" s="1" t="str">
        <f>"قير  PG64-22"</f>
        <v>قير  PG64-22</v>
      </c>
      <c r="L1397" s="1">
        <v>100</v>
      </c>
      <c r="M1397" s="1" t="str">
        <f>"مخازن قير اصفهان"</f>
        <v>مخازن قير اصفهان</v>
      </c>
      <c r="N1397" s="1">
        <v>9734</v>
      </c>
      <c r="O1397" s="1">
        <v>50035832</v>
      </c>
      <c r="P1397" s="1" t="str">
        <f>"  تيسفون راه زاگرس(زرين بام هليلان )"</f>
        <v xml:space="preserve">  تيسفون راه زاگرس(زرين بام هليلان )</v>
      </c>
      <c r="Q1397" s="1">
        <v>19</v>
      </c>
      <c r="R139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397" s="1" t="str">
        <f>"قرارداد فروش"</f>
        <v>قرارداد فروش</v>
      </c>
      <c r="T1397" s="1" t="str">
        <f>"ندارد"</f>
        <v>ندارد</v>
      </c>
      <c r="U1397" s="1" t="str">
        <f>"قره باغي مجيد(1871065)"</f>
        <v>قره باغي مجيد(1871065)</v>
      </c>
      <c r="V1397" s="1">
        <v>961900137</v>
      </c>
      <c r="W1397" s="1">
        <v>961900137</v>
      </c>
      <c r="X1397" s="1" t="str">
        <f>"1396508341"</f>
        <v>1396508341</v>
      </c>
      <c r="Y1397" s="1" t="str">
        <f>"96/06/06"</f>
        <v>96/06/06</v>
      </c>
      <c r="Z1397" s="1" t="str">
        <f>"26241/710"</f>
        <v>26241/710</v>
      </c>
      <c r="AA1397" s="1" t="str">
        <f>"سازمان راهداري وحمل نقل جاده اي"</f>
        <v>سازمان راهداري وحمل نقل جاده اي</v>
      </c>
      <c r="AB1397" s="1" t="str">
        <f>"96/05/30"</f>
        <v>96/05/30</v>
      </c>
      <c r="AC1397" s="1" t="str">
        <f>"استان كرمانشاه"</f>
        <v>استان كرمانشاه</v>
      </c>
      <c r="AD1397" s="1" t="str">
        <f>"96/06/06"</f>
        <v>96/06/06</v>
      </c>
      <c r="AE1397" s="1" t="str">
        <f>"اختتام"</f>
        <v>اختتام</v>
      </c>
      <c r="AF1397" s="1" t="str">
        <f>""</f>
        <v/>
      </c>
      <c r="AG1397" s="1" t="str">
        <f>""</f>
        <v/>
      </c>
      <c r="AH1397" s="1" t="str">
        <f>""</f>
        <v/>
      </c>
      <c r="AI1397" s="1" t="str">
        <f>""</f>
        <v/>
      </c>
      <c r="AJ1397" s="1" t="str">
        <f>""</f>
        <v/>
      </c>
      <c r="AK1397" s="1" t="str">
        <f>""</f>
        <v/>
      </c>
    </row>
    <row r="1398" spans="1:37">
      <c r="A1398" s="1">
        <v>354000</v>
      </c>
      <c r="B1398" s="1">
        <v>961800035</v>
      </c>
      <c r="C1398" s="1" t="str">
        <f>"تخليه -لرستان -بروجرد-گردنه زاليان -روبروي راهدارخانه-شرکت پايند ساز شکيل"</f>
        <v>تخليه -لرستان -بروجرد-گردنه زاليان -روبروي راهدارخانه-شرکت پايند ساز شکيل</v>
      </c>
      <c r="D1398" s="1">
        <v>9363</v>
      </c>
      <c r="E1398" s="1">
        <v>353200</v>
      </c>
      <c r="F1398" s="1">
        <v>96</v>
      </c>
      <c r="G1398" s="1">
        <v>800</v>
      </c>
      <c r="H1398" s="1" t="str">
        <f>"96/06/19"</f>
        <v>96/06/19</v>
      </c>
      <c r="I1398" s="1" t="str">
        <f>"كيلوگرم"</f>
        <v>كيلوگرم</v>
      </c>
      <c r="J1398" s="1" t="str">
        <f>"0000000091"</f>
        <v>0000000091</v>
      </c>
      <c r="K1398" s="1" t="str">
        <f>"قير  PG64-22"</f>
        <v>قير  PG64-22</v>
      </c>
      <c r="L1398" s="1">
        <v>100</v>
      </c>
      <c r="M1398" s="1" t="str">
        <f>"مخازن قير اصفهان"</f>
        <v>مخازن قير اصفهان</v>
      </c>
      <c r="N1398" s="1">
        <v>10474</v>
      </c>
      <c r="O1398" s="1">
        <v>50035938</v>
      </c>
      <c r="P1398" s="1" t="str">
        <f>"  پايندسازشكيل"</f>
        <v xml:space="preserve">  پايندسازشكيل</v>
      </c>
      <c r="Q1398" s="1">
        <v>18</v>
      </c>
      <c r="R1398" s="1" t="str">
        <f>"فروش داخلي تهران - وزارت راه - شرکت ساخت و توسعه راهها"</f>
        <v>فروش داخلي تهران - وزارت راه - شرکت ساخت و توسعه راهها</v>
      </c>
      <c r="S1398" s="1" t="str">
        <f>"قرارداد فروش"</f>
        <v>قرارداد فروش</v>
      </c>
      <c r="T1398" s="1" t="str">
        <f>"ندارد"</f>
        <v>ندارد</v>
      </c>
      <c r="U1398" s="1" t="str">
        <f>"اميري علي(2842011)"</f>
        <v>اميري علي(2842011)</v>
      </c>
      <c r="V1398" s="1">
        <v>961800035</v>
      </c>
      <c r="W1398" s="1">
        <v>961800035</v>
      </c>
      <c r="X1398" s="1" t="str">
        <f>"1396511131"</f>
        <v>1396511131</v>
      </c>
      <c r="Y1398" s="1" t="str">
        <f>"96/06/19"</f>
        <v>96/06/19</v>
      </c>
      <c r="Z1398" s="1" t="str">
        <f>"29645/710"</f>
        <v>29645/710</v>
      </c>
      <c r="AA1398" s="1" t="str">
        <f>"شركت  ساخت وتوسعه راهها"</f>
        <v>شركت  ساخت وتوسعه راهها</v>
      </c>
      <c r="AB1398" s="1" t="str">
        <f>"96/06/15"</f>
        <v>96/06/15</v>
      </c>
      <c r="AC1398" s="1" t="str">
        <f>"لرستان"</f>
        <v>لرستان</v>
      </c>
      <c r="AD1398" s="1" t="str">
        <f>"96/06/19"</f>
        <v>96/06/19</v>
      </c>
      <c r="AE1398" s="1" t="str">
        <f>"اختتام"</f>
        <v>اختتام</v>
      </c>
      <c r="AF1398" s="1" t="str">
        <f>""</f>
        <v/>
      </c>
      <c r="AG1398" s="1" t="str">
        <f>""</f>
        <v/>
      </c>
      <c r="AH1398" s="1" t="str">
        <f>""</f>
        <v/>
      </c>
      <c r="AI1398" s="1" t="str">
        <f>""</f>
        <v/>
      </c>
      <c r="AJ1398" s="1" t="str">
        <f>""</f>
        <v/>
      </c>
      <c r="AK1398" s="1" t="str">
        <f>""</f>
        <v/>
      </c>
    </row>
    <row r="1399" spans="1:37">
      <c r="A1399" s="1">
        <v>500000</v>
      </c>
      <c r="B1399" s="1">
        <v>961900147</v>
      </c>
      <c r="C1399" s="1" t="str">
        <f>"تخليه خراسان جنوبي گنابادكيلومتر12جاده فردوس"</f>
        <v>تخليه خراسان جنوبي گنابادكيلومتر12جاده فردوس</v>
      </c>
      <c r="D1399" s="1">
        <v>12970</v>
      </c>
      <c r="E1399" s="1">
        <v>498860</v>
      </c>
      <c r="F1399" s="1">
        <v>96</v>
      </c>
      <c r="G1399" s="1">
        <v>1140</v>
      </c>
      <c r="H1399" s="1" t="str">
        <f>"96/06/26"</f>
        <v>96/06/26</v>
      </c>
      <c r="I1399" s="1" t="str">
        <f>"كيلوگرم"</f>
        <v>كيلوگرم</v>
      </c>
      <c r="J1399" s="1" t="str">
        <f>"0000000091"</f>
        <v>0000000091</v>
      </c>
      <c r="K1399" s="1" t="str">
        <f>"قير  PG64-22"</f>
        <v>قير  PG64-22</v>
      </c>
      <c r="L1399" s="1">
        <v>100</v>
      </c>
      <c r="M1399" s="1" t="str">
        <f>"مخازن قير اصفهان"</f>
        <v>مخازن قير اصفهان</v>
      </c>
      <c r="N1399" s="1">
        <v>10518</v>
      </c>
      <c r="O1399" s="1">
        <v>50036078</v>
      </c>
      <c r="P1399" s="1" t="str">
        <f>"  دنابنيان بيرجند"</f>
        <v xml:space="preserve">  دنابنيان بيرجند</v>
      </c>
      <c r="Q1399" s="1">
        <v>19</v>
      </c>
      <c r="R139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399" s="1" t="str">
        <f>"قرارداد فروش"</f>
        <v>قرارداد فروش</v>
      </c>
      <c r="T1399" s="1" t="str">
        <f>"ندارد"</f>
        <v>ندارد</v>
      </c>
      <c r="U1399" s="1" t="str">
        <f>"نظام دوست امين (1911102)"</f>
        <v>نظام دوست امين (1911102)</v>
      </c>
      <c r="V1399" s="1">
        <v>961900147</v>
      </c>
      <c r="W1399" s="1">
        <v>961900147</v>
      </c>
      <c r="X1399" s="1" t="str">
        <f>"1396512881"</f>
        <v>1396512881</v>
      </c>
      <c r="Y1399" s="1" t="str">
        <f>"96/06/26"</f>
        <v>96/06/26</v>
      </c>
      <c r="Z1399" s="1" t="str">
        <f>"30716/710"</f>
        <v>30716/710</v>
      </c>
      <c r="AA1399" s="1" t="str">
        <f>"سازمان راهداري وحمل نقل جاده اي"</f>
        <v>سازمان راهداري وحمل نقل جاده اي</v>
      </c>
      <c r="AB1399" s="1" t="str">
        <f>"96/06/22"</f>
        <v>96/06/22</v>
      </c>
      <c r="AC1399" s="1" t="str">
        <f>"خراسان جنوبي"</f>
        <v>خراسان جنوبي</v>
      </c>
      <c r="AD1399" s="1" t="str">
        <f>"96/06/26"</f>
        <v>96/06/26</v>
      </c>
      <c r="AE1399" s="1" t="str">
        <f>"اختتام"</f>
        <v>اختتام</v>
      </c>
      <c r="AF1399" s="1" t="str">
        <f>""</f>
        <v/>
      </c>
      <c r="AG1399" s="1" t="str">
        <f>""</f>
        <v/>
      </c>
      <c r="AH1399" s="1" t="str">
        <f>""</f>
        <v/>
      </c>
      <c r="AI1399" s="1" t="str">
        <f>""</f>
        <v/>
      </c>
      <c r="AJ1399" s="1" t="str">
        <f>""</f>
        <v/>
      </c>
      <c r="AK1399" s="1" t="str">
        <f>""</f>
        <v/>
      </c>
    </row>
    <row r="1400" spans="1:37">
      <c r="A1400" s="1">
        <v>250000</v>
      </c>
      <c r="B1400" s="1">
        <v>961100049</v>
      </c>
      <c r="C1400" s="1" t="str">
        <f>"تخليه -شهركرد-جاده دانشگاه آزادعراضي منصوريه -كارخانه آسفالت شهرداري شهركرد"</f>
        <v>تخليه -شهركرد-جاده دانشگاه آزادعراضي منصوريه -كارخانه آسفالت شهرداري شهركرد</v>
      </c>
      <c r="D1400" s="1">
        <v>8704</v>
      </c>
      <c r="E1400" s="1">
        <v>250000</v>
      </c>
      <c r="F1400" s="1">
        <v>96</v>
      </c>
      <c r="G1400" s="1">
        <v>0</v>
      </c>
      <c r="H1400" s="1" t="str">
        <f>"96/05/22"</f>
        <v>96/05/22</v>
      </c>
      <c r="I1400" s="1" t="str">
        <f>"كيلوگرم"</f>
        <v>كيلوگرم</v>
      </c>
      <c r="J1400" s="1" t="str">
        <f>"1000000002"</f>
        <v>1000000002</v>
      </c>
      <c r="K1400" s="1" t="str">
        <f>"قير 85/100 - فله"</f>
        <v>قير 85/100 - فله</v>
      </c>
      <c r="L1400" s="1">
        <v>100</v>
      </c>
      <c r="M1400" s="1" t="str">
        <f>"مخازن قير اصفهان"</f>
        <v>مخازن قير اصفهان</v>
      </c>
      <c r="N1400" s="1">
        <v>7047</v>
      </c>
      <c r="O1400" s="1">
        <v>50035627</v>
      </c>
      <c r="P1400" s="1" t="str">
        <f>"  شهرداري شهركرد"</f>
        <v xml:space="preserve">  شهرداري شهركرد</v>
      </c>
      <c r="Q1400" s="1">
        <v>11</v>
      </c>
      <c r="R1400" s="1" t="str">
        <f>"فروش داخلي تهران - بورس"</f>
        <v>فروش داخلي تهران - بورس</v>
      </c>
      <c r="S1400" s="1" t="str">
        <f>"قرارداد فروش"</f>
        <v>قرارداد فروش</v>
      </c>
      <c r="T1400" s="1" t="str">
        <f>"ندارد"</f>
        <v>ندارد</v>
      </c>
      <c r="U1400" s="1" t="str">
        <f>"مظلوم فريبرز(1008ج89)"</f>
        <v>مظلوم فريبرز(1008ج89)</v>
      </c>
      <c r="V1400" s="1">
        <v>961100049</v>
      </c>
      <c r="W1400" s="1">
        <v>961100049</v>
      </c>
      <c r="X1400" s="1" t="str">
        <f>"1396503551"</f>
        <v>1396503551</v>
      </c>
      <c r="Y1400" s="1" t="str">
        <f>"96/05/21"</f>
        <v>96/05/21</v>
      </c>
      <c r="Z1400" s="1" t="str">
        <f>"96-36001"</f>
        <v>96-36001</v>
      </c>
      <c r="AA1400" s="1" t="str">
        <f>"شهرداريها"</f>
        <v>شهرداريها</v>
      </c>
      <c r="AB1400" s="1" t="str">
        <f>"96/05/21"</f>
        <v>96/05/21</v>
      </c>
      <c r="AC1400" s="1" t="str">
        <f>"استان چهارمحال بختياري"</f>
        <v>استان چهارمحال بختياري</v>
      </c>
      <c r="AD1400" s="1" t="str">
        <f>"96/05/17"</f>
        <v>96/05/17</v>
      </c>
      <c r="AE1400" s="1" t="str">
        <f>"اختتام"</f>
        <v>اختتام</v>
      </c>
      <c r="AF1400" s="1" t="str">
        <f>""</f>
        <v/>
      </c>
      <c r="AG1400" s="1" t="str">
        <f>""</f>
        <v/>
      </c>
      <c r="AH1400" s="1" t="str">
        <f>""</f>
        <v/>
      </c>
      <c r="AI1400" s="1" t="str">
        <f>""</f>
        <v/>
      </c>
      <c r="AJ1400" s="1" t="str">
        <f>""</f>
        <v/>
      </c>
      <c r="AK1400" s="1" t="str">
        <f>""</f>
        <v/>
      </c>
    </row>
    <row r="1401" spans="1:37">
      <c r="A1401" s="1">
        <v>350000</v>
      </c>
      <c r="B1401" s="1">
        <v>961900122</v>
      </c>
      <c r="C1401" s="1" t="str">
        <f>"تخليه -كرمانشاه -كارخانه آسفالت بتن شيب غرب"</f>
        <v>تخليه -كرمانشاه -كارخانه آسفالت بتن شيب غرب</v>
      </c>
      <c r="D1401" s="1">
        <v>9204</v>
      </c>
      <c r="E1401" s="1">
        <v>349360</v>
      </c>
      <c r="F1401" s="1">
        <v>96</v>
      </c>
      <c r="G1401" s="1">
        <v>640</v>
      </c>
      <c r="H1401" s="1" t="str">
        <f>"96/05/21"</f>
        <v>96/05/21</v>
      </c>
      <c r="I1401" s="1" t="str">
        <f>"كيلوگرم"</f>
        <v>كيلوگرم</v>
      </c>
      <c r="J1401" s="1" t="str">
        <f>"0000000091"</f>
        <v>0000000091</v>
      </c>
      <c r="K1401" s="1" t="str">
        <f>"قير  PG64-22"</f>
        <v>قير  PG64-22</v>
      </c>
      <c r="L1401" s="1">
        <v>100</v>
      </c>
      <c r="M1401" s="1" t="str">
        <f>"مخازن قير اصفهان"</f>
        <v>مخازن قير اصفهان</v>
      </c>
      <c r="N1401" s="1">
        <v>10623</v>
      </c>
      <c r="O1401" s="1">
        <v>50035608</v>
      </c>
      <c r="P1401" s="1" t="str">
        <f>"  ايمن راه باختر"</f>
        <v xml:space="preserve">  ايمن راه باختر</v>
      </c>
      <c r="Q1401" s="1">
        <v>19</v>
      </c>
      <c r="R140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401" s="1" t="str">
        <f>"قرارداد فروش"</f>
        <v>قرارداد فروش</v>
      </c>
      <c r="T1401" s="1" t="str">
        <f>"ندارد"</f>
        <v>ندارد</v>
      </c>
      <c r="U1401" s="1" t="str">
        <f>"پيرالي مجيد(1045ج 94)"</f>
        <v>پيرالي مجيد(1045ج 94)</v>
      </c>
      <c r="V1401" s="1">
        <v>961900122</v>
      </c>
      <c r="W1401" s="1">
        <v>961900122</v>
      </c>
      <c r="X1401" s="1" t="str">
        <f>"1396504613"</f>
        <v>1396504613</v>
      </c>
      <c r="Y1401" s="1" t="str">
        <f>"96/05/21"</f>
        <v>96/05/21</v>
      </c>
      <c r="Z1401" s="1" t="str">
        <f>"23751/710"</f>
        <v>23751/710</v>
      </c>
      <c r="AA1401" s="1" t="str">
        <f>"سازمان راهداري وحمل نقل جاده اي"</f>
        <v>سازمان راهداري وحمل نقل جاده اي</v>
      </c>
      <c r="AB1401" s="1" t="str">
        <f>"96/05/18"</f>
        <v>96/05/18</v>
      </c>
      <c r="AC1401" s="1" t="str">
        <f>"استان كرمانشاه"</f>
        <v>استان كرمانشاه</v>
      </c>
      <c r="AD1401" s="1" t="str">
        <f>"96/05/21"</f>
        <v>96/05/21</v>
      </c>
      <c r="AE1401" s="1" t="str">
        <f>"اختتام"</f>
        <v>اختتام</v>
      </c>
      <c r="AF1401" s="1" t="str">
        <f>""</f>
        <v/>
      </c>
      <c r="AG1401" s="1" t="str">
        <f>""</f>
        <v/>
      </c>
      <c r="AH1401" s="1" t="str">
        <f>""</f>
        <v/>
      </c>
      <c r="AI1401" s="1" t="str">
        <f>""</f>
        <v/>
      </c>
      <c r="AJ1401" s="1" t="str">
        <f>""</f>
        <v/>
      </c>
      <c r="AK1401" s="1" t="str">
        <f>""</f>
        <v/>
      </c>
    </row>
    <row r="1402" spans="1:37">
      <c r="A1402" s="1">
        <v>250000</v>
      </c>
      <c r="B1402" s="1">
        <v>961900040</v>
      </c>
      <c r="C1402" s="1" t="str">
        <f>"تخليه كرمانشاه شهرستان روانسرسه راهي جوانرودكارخانه آسفالت شالوده راهان نويد"</f>
        <v>تخليه كرمانشاه شهرستان روانسرسه راهي جوانرودكارخانه آسفالت شالوده راهان نويد</v>
      </c>
      <c r="D1402" s="1">
        <v>9068</v>
      </c>
      <c r="E1402" s="1">
        <v>248420</v>
      </c>
      <c r="F1402" s="1">
        <v>96</v>
      </c>
      <c r="G1402" s="1">
        <v>1580</v>
      </c>
      <c r="H1402" s="1" t="str">
        <f>"96/01/19"</f>
        <v>96/01/19</v>
      </c>
      <c r="I1402" s="1" t="str">
        <f>"كيلوگرم"</f>
        <v>كيلوگرم</v>
      </c>
      <c r="J1402" s="1" t="str">
        <f>"0000000091"</f>
        <v>0000000091</v>
      </c>
      <c r="K1402" s="1" t="str">
        <f>"قير  PG64-22"</f>
        <v>قير  PG64-22</v>
      </c>
      <c r="L1402" s="1">
        <v>100</v>
      </c>
      <c r="M1402" s="1" t="str">
        <f>"مخازن قير اصفهان"</f>
        <v>مخازن قير اصفهان</v>
      </c>
      <c r="N1402" s="1">
        <v>10630</v>
      </c>
      <c r="O1402" s="1">
        <v>50034425</v>
      </c>
      <c r="P1402" s="1" t="str">
        <f>"  ماتاناسازه كردستان"</f>
        <v xml:space="preserve">  ماتاناسازه كردستان</v>
      </c>
      <c r="Q1402" s="1">
        <v>19</v>
      </c>
      <c r="R140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402" s="1" t="str">
        <f>"قرارداد فروش"</f>
        <v>قرارداد فروش</v>
      </c>
      <c r="T1402" s="1" t="str">
        <f>"ندارد"</f>
        <v>ندارد</v>
      </c>
      <c r="U1402" s="1" t="str">
        <f>"ميهن دوست عبداله(2842010)"</f>
        <v>ميهن دوست عبداله(2842010)</v>
      </c>
      <c r="V1402" s="1">
        <v>961900040</v>
      </c>
      <c r="W1402" s="1">
        <v>961900040</v>
      </c>
      <c r="X1402" s="1" t="str">
        <f>"1395471092"</f>
        <v>1395471092</v>
      </c>
      <c r="Y1402" s="1" t="str">
        <f>"96/01/19"</f>
        <v>96/01/19</v>
      </c>
      <c r="Z1402" s="1" t="str">
        <f>"66692/710"</f>
        <v>66692/710</v>
      </c>
      <c r="AA1402" s="1" t="str">
        <f>"سازمان راهداري وحمل نقل جاده اي"</f>
        <v>سازمان راهداري وحمل نقل جاده اي</v>
      </c>
      <c r="AB1402" s="1" t="str">
        <f>"95/12/24"</f>
        <v>95/12/24</v>
      </c>
      <c r="AC1402" s="1" t="str">
        <f>"استان كرمانشاه"</f>
        <v>استان كرمانشاه</v>
      </c>
      <c r="AD1402" s="1" t="str">
        <f>"95/12/28"</f>
        <v>95/12/28</v>
      </c>
      <c r="AE1402" s="1" t="str">
        <f>"اختتام"</f>
        <v>اختتام</v>
      </c>
      <c r="AF1402" s="1" t="str">
        <f>""</f>
        <v/>
      </c>
      <c r="AG1402" s="1" t="str">
        <f>""</f>
        <v/>
      </c>
      <c r="AH1402" s="1" t="str">
        <f>""</f>
        <v/>
      </c>
      <c r="AI1402" s="1" t="str">
        <f>""</f>
        <v/>
      </c>
      <c r="AJ1402" s="1" t="str">
        <f>""</f>
        <v/>
      </c>
      <c r="AK1402" s="1" t="str">
        <f>""</f>
        <v/>
      </c>
    </row>
    <row r="1403" spans="1:37">
      <c r="A1403" s="1">
        <v>60000</v>
      </c>
      <c r="B1403" s="1">
        <v>961700215</v>
      </c>
      <c r="C1403" s="1" t="str">
        <f>"تخليه -خراسان رضوي كيلومتر22محورمشهدسرخس كارخانه آسفالت توسيط"</f>
        <v>تخليه -خراسان رضوي كيلومتر22محورمشهدسرخس كارخانه آسفالت توسيط</v>
      </c>
      <c r="D1403" s="1">
        <v>13100</v>
      </c>
      <c r="E1403" s="1">
        <v>59180</v>
      </c>
      <c r="F1403" s="1">
        <v>96</v>
      </c>
      <c r="G1403" s="1">
        <v>820</v>
      </c>
      <c r="H1403" s="1" t="str">
        <f>"96/12/24"</f>
        <v>96/12/24</v>
      </c>
      <c r="I1403" s="1" t="str">
        <f>"كيلوگرم"</f>
        <v>كيلوگرم</v>
      </c>
      <c r="J1403" s="1" t="str">
        <f>"0000000091"</f>
        <v>0000000091</v>
      </c>
      <c r="K1403" s="1" t="str">
        <f>"قير  PG64-22"</f>
        <v>قير  PG64-22</v>
      </c>
      <c r="L1403" s="1">
        <v>100</v>
      </c>
      <c r="M1403" s="1" t="str">
        <f>"مخازن قير اصفهان"</f>
        <v>مخازن قير اصفهان</v>
      </c>
      <c r="N1403" s="1">
        <v>11023</v>
      </c>
      <c r="O1403" s="1">
        <v>50038991</v>
      </c>
      <c r="P1403" s="1" t="str">
        <f>"  توسيط راه شرق"</f>
        <v xml:space="preserve">  توسيط راه شرق</v>
      </c>
      <c r="Q1403" s="1">
        <v>17</v>
      </c>
      <c r="R1403" s="1" t="str">
        <f>"فروش داخلي تهران - وزارت راه - راه روستايي - روکش"</f>
        <v>فروش داخلي تهران - وزارت راه - راه روستايي - روکش</v>
      </c>
      <c r="S1403" s="1" t="str">
        <f>"قرارداد فروش"</f>
        <v>قرارداد فروش</v>
      </c>
      <c r="T1403" s="1" t="str">
        <f>"ندارد"</f>
        <v>ندارد</v>
      </c>
      <c r="U1403" s="1" t="str">
        <f>"حاصليان ترابرجنوب مرتضي حاصلي (4844006)"</f>
        <v>حاصليان ترابرجنوب مرتضي حاصلي (4844006)</v>
      </c>
      <c r="V1403" s="1">
        <v>961700215</v>
      </c>
      <c r="W1403" s="1">
        <v>961700215</v>
      </c>
      <c r="X1403" s="1" t="str">
        <f>"1396554106"</f>
        <v>1396554106</v>
      </c>
      <c r="Y1403" s="1" t="str">
        <f>"96/12/24"</f>
        <v>96/12/24</v>
      </c>
      <c r="Z1403" s="1" t="str">
        <f>"47429/710"</f>
        <v>47429/710</v>
      </c>
      <c r="AA1403" s="1" t="str">
        <f>"راه روستائي -روكش"</f>
        <v>راه روستائي -روكش</v>
      </c>
      <c r="AB1403" s="1" t="str">
        <f>"96/09/14"</f>
        <v>96/09/14</v>
      </c>
      <c r="AC1403" s="1" t="str">
        <f>"خراسان رضوي"</f>
        <v>خراسان رضوي</v>
      </c>
      <c r="AD1403" s="1" t="str">
        <f>"96/12/21"</f>
        <v>96/12/21</v>
      </c>
      <c r="AE1403" s="1" t="str">
        <f>"اختتام"</f>
        <v>اختتام</v>
      </c>
      <c r="AF1403" s="1" t="str">
        <f>""</f>
        <v/>
      </c>
      <c r="AG1403" s="1" t="str">
        <f>""</f>
        <v/>
      </c>
      <c r="AH1403" s="1" t="str">
        <f>""</f>
        <v/>
      </c>
      <c r="AI1403" s="1" t="str">
        <f>""</f>
        <v/>
      </c>
      <c r="AJ1403" s="1" t="str">
        <f>""</f>
        <v/>
      </c>
      <c r="AK1403" s="1" t="str">
        <f>""</f>
        <v/>
      </c>
    </row>
    <row r="1404" spans="1:37">
      <c r="A1404" s="1">
        <v>500000</v>
      </c>
      <c r="B1404" s="1">
        <v>961900202</v>
      </c>
      <c r="C1404" s="1" t="str">
        <f>"تخليه جنوب كرمان جيرفت ساردوئيه كارخانه پوزولان بتن"</f>
        <v>تخليه جنوب كرمان جيرفت ساردوئيه كارخانه پوزولان بتن</v>
      </c>
      <c r="D1404" s="1">
        <v>15810</v>
      </c>
      <c r="E1404" s="1">
        <v>499080</v>
      </c>
      <c r="F1404" s="1">
        <v>96</v>
      </c>
      <c r="G1404" s="1">
        <v>920</v>
      </c>
      <c r="H1404" s="1" t="str">
        <f>"96/12/23"</f>
        <v>96/12/23</v>
      </c>
      <c r="I1404" s="1" t="str">
        <f>"كيلوگرم"</f>
        <v>كيلوگرم</v>
      </c>
      <c r="J1404" s="1" t="str">
        <f>"0000000091"</f>
        <v>0000000091</v>
      </c>
      <c r="K1404" s="1" t="str">
        <f>"قير  PG64-22"</f>
        <v>قير  PG64-22</v>
      </c>
      <c r="L1404" s="1">
        <v>100</v>
      </c>
      <c r="M1404" s="1" t="str">
        <f>"مخازن قير اصفهان"</f>
        <v>مخازن قير اصفهان</v>
      </c>
      <c r="N1404" s="1">
        <v>11066</v>
      </c>
      <c r="O1404" s="1">
        <v>50038939</v>
      </c>
      <c r="P1404" s="1" t="str">
        <f>"  برج سازان شاهوار"</f>
        <v xml:space="preserve">  برج سازان شاهوار</v>
      </c>
      <c r="Q1404" s="1">
        <v>19</v>
      </c>
      <c r="R140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404" s="1" t="str">
        <f>"قرارداد فروش"</f>
        <v>قرارداد فروش</v>
      </c>
      <c r="T1404" s="1" t="str">
        <f>"ندارد"</f>
        <v>ندارد</v>
      </c>
      <c r="U1404" s="1" t="str">
        <f>"حاصليان ترابرجنوب مرتضي حاصلي (4844006)"</f>
        <v>حاصليان ترابرجنوب مرتضي حاصلي (4844006)</v>
      </c>
      <c r="V1404" s="1">
        <v>961900202</v>
      </c>
      <c r="W1404" s="1">
        <v>961900202</v>
      </c>
      <c r="X1404" s="1" t="str">
        <f>"1396554549"</f>
        <v>1396554549</v>
      </c>
      <c r="Y1404" s="1" t="str">
        <f>"96/12/23"</f>
        <v>96/12/23</v>
      </c>
      <c r="Z1404" s="1" t="str">
        <f>"298864/710"</f>
        <v>298864/710</v>
      </c>
      <c r="AA1404" s="1" t="str">
        <f>"سازمان راهداري وحمل نقل جاده اي"</f>
        <v>سازمان راهداري وحمل نقل جاده اي</v>
      </c>
      <c r="AB1404" s="1" t="str">
        <f>"96/12/20"</f>
        <v>96/12/20</v>
      </c>
      <c r="AC1404" s="1" t="str">
        <f>"جنوب کرمان"</f>
        <v>جنوب کرمان</v>
      </c>
      <c r="AD1404" s="1" t="str">
        <f>"96/12/22"</f>
        <v>96/12/22</v>
      </c>
      <c r="AE1404" s="1" t="str">
        <f>"اختتام"</f>
        <v>اختتام</v>
      </c>
      <c r="AF1404" s="1" t="str">
        <f>""</f>
        <v/>
      </c>
      <c r="AG1404" s="1" t="str">
        <f>""</f>
        <v/>
      </c>
      <c r="AH1404" s="1" t="str">
        <f>""</f>
        <v/>
      </c>
      <c r="AI1404" s="1" t="str">
        <f>""</f>
        <v/>
      </c>
      <c r="AJ1404" s="1" t="str">
        <f>""</f>
        <v/>
      </c>
      <c r="AK1404" s="1" t="str">
        <f>""</f>
        <v/>
      </c>
    </row>
    <row r="1405" spans="1:37">
      <c r="A1405" s="1">
        <v>500000</v>
      </c>
      <c r="B1405" s="1">
        <v>961900185</v>
      </c>
      <c r="C1405" s="1" t="str">
        <f>"تخليه كرمان يزدكيلومتر12جاده ميبدشهرك صنعتي جهان آبادهميارجي يزد"</f>
        <v>تخليه كرمان يزدكيلومتر12جاده ميبدشهرك صنعتي جهان آبادهميارجي يزد</v>
      </c>
      <c r="D1405" s="1">
        <v>13600</v>
      </c>
      <c r="E1405" s="1">
        <v>499360</v>
      </c>
      <c r="F1405" s="1">
        <v>96</v>
      </c>
      <c r="G1405" s="1">
        <v>640</v>
      </c>
      <c r="H1405" s="1" t="str">
        <f>"96/09/08"</f>
        <v>96/09/08</v>
      </c>
      <c r="I1405" s="1" t="str">
        <f>"كيلوگرم"</f>
        <v>كيلوگرم</v>
      </c>
      <c r="J1405" s="1" t="str">
        <f>"0000000091"</f>
        <v>0000000091</v>
      </c>
      <c r="K1405" s="1" t="str">
        <f>"قير  PG64-22"</f>
        <v>قير  PG64-22</v>
      </c>
      <c r="L1405" s="1">
        <v>100</v>
      </c>
      <c r="M1405" s="1" t="str">
        <f>"مخازن قير اصفهان"</f>
        <v>مخازن قير اصفهان</v>
      </c>
      <c r="N1405" s="1">
        <v>11093</v>
      </c>
      <c r="O1405" s="1">
        <v>50037322</v>
      </c>
      <c r="P1405" s="1" t="str">
        <f>"  مهندسي عمران گستررسالت"</f>
        <v xml:space="preserve">  مهندسي عمران گستررسالت</v>
      </c>
      <c r="Q1405" s="1">
        <v>19</v>
      </c>
      <c r="R140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405" s="1" t="str">
        <f>"قرارداد فروش"</f>
        <v>قرارداد فروش</v>
      </c>
      <c r="T1405" s="1" t="str">
        <f>"ندارد"</f>
        <v>ندارد</v>
      </c>
      <c r="U1405" s="1" t="str">
        <f>"قره باغي مجيد(1871065)"</f>
        <v>قره باغي مجيد(1871065)</v>
      </c>
      <c r="V1405" s="1">
        <v>961900185</v>
      </c>
      <c r="W1405" s="1">
        <v>961900185</v>
      </c>
      <c r="X1405" s="1" t="str">
        <f>"1396529167"</f>
        <v>1396529167</v>
      </c>
      <c r="Y1405" s="1" t="str">
        <f>"96/09/08"</f>
        <v>96/09/08</v>
      </c>
      <c r="Z1405" s="1" t="str">
        <f>"43642/710"</f>
        <v>43642/710</v>
      </c>
      <c r="AA1405" s="1" t="str">
        <f>"سازمان راهداري وحمل نقل جاده اي"</f>
        <v>سازمان راهداري وحمل نقل جاده اي</v>
      </c>
      <c r="AB1405" s="1" t="str">
        <f>"96/08/24"</f>
        <v>96/08/24</v>
      </c>
      <c r="AC1405" s="1" t="str">
        <f>"استان كردستان"</f>
        <v>استان كردستان</v>
      </c>
      <c r="AD1405" s="1" t="str">
        <f>"96/09/08"</f>
        <v>96/09/08</v>
      </c>
      <c r="AE1405" s="1" t="str">
        <f>"اختتام"</f>
        <v>اختتام</v>
      </c>
      <c r="AF1405" s="1" t="str">
        <f>""</f>
        <v/>
      </c>
      <c r="AG1405" s="1" t="str">
        <f>""</f>
        <v/>
      </c>
      <c r="AH1405" s="1" t="str">
        <f>""</f>
        <v/>
      </c>
      <c r="AI1405" s="1" t="str">
        <f>""</f>
        <v/>
      </c>
      <c r="AJ1405" s="1" t="str">
        <f>""</f>
        <v/>
      </c>
      <c r="AK1405" s="1" t="str">
        <f>""</f>
        <v/>
      </c>
    </row>
    <row r="1406" spans="1:37">
      <c r="A1406" s="1">
        <v>47457</v>
      </c>
      <c r="B1406" s="1">
        <v>962000387</v>
      </c>
      <c r="C1406" s="1" t="str">
        <f>"تخليه چهارمحال وبختياري شهركردهفشجان نوآبادكارخانه آسفالت سازمان همياري شهرداريها"</f>
        <v>تخليه چهارمحال وبختياري شهركردهفشجان نوآبادكارخانه آسفالت سازمان همياري شهرداريها</v>
      </c>
      <c r="D1406" s="1">
        <v>12820</v>
      </c>
      <c r="E1406" s="1">
        <v>47220</v>
      </c>
      <c r="F1406" s="1">
        <v>96</v>
      </c>
      <c r="G1406" s="1">
        <v>237</v>
      </c>
      <c r="H1406" s="1" t="str">
        <f>"96/09/19"</f>
        <v>96/09/19</v>
      </c>
      <c r="I1406" s="1" t="str">
        <f>"كيلوگرم"</f>
        <v>كيلوگرم</v>
      </c>
      <c r="J1406" s="1" t="str">
        <f>"1000000002"</f>
        <v>1000000002</v>
      </c>
      <c r="K1406" s="1" t="str">
        <f>"قير 85/100 - فله"</f>
        <v>قير 85/100 - فله</v>
      </c>
      <c r="L1406" s="1">
        <v>100</v>
      </c>
      <c r="M1406" s="1" t="str">
        <f>"مخازن قير اصفهان"</f>
        <v>مخازن قير اصفهان</v>
      </c>
      <c r="N1406" s="1">
        <v>7197</v>
      </c>
      <c r="O1406" s="1">
        <v>50037684</v>
      </c>
      <c r="P1406" s="1" t="str">
        <f>"  شهرداري گهرو"</f>
        <v xml:space="preserve">  شهرداري گهرو</v>
      </c>
      <c r="Q1406" s="1">
        <v>20</v>
      </c>
      <c r="R1406" s="1" t="str">
        <f>"فروش داخلي - سازمان شهرداري ها و دهياري هاي كشور"</f>
        <v>فروش داخلي - سازمان شهرداري ها و دهياري هاي كشور</v>
      </c>
      <c r="S1406" s="1" t="str">
        <f>"قرارداد فروش"</f>
        <v>قرارداد فروش</v>
      </c>
      <c r="T1406" s="1" t="str">
        <f>"ندارد"</f>
        <v>ندارد</v>
      </c>
      <c r="U1406" s="1" t="str">
        <f>"تعاوني جم گستر (1001 ج 89)"</f>
        <v>تعاوني جم گستر (1001 ج 89)</v>
      </c>
      <c r="V1406" s="1">
        <v>962000387</v>
      </c>
      <c r="W1406" s="1">
        <v>962000387</v>
      </c>
      <c r="X1406" s="1" t="str">
        <f>"1396529715"</f>
        <v>1396529715</v>
      </c>
      <c r="Y1406" s="1" t="str">
        <f>"96/09/19"</f>
        <v>96/09/19</v>
      </c>
      <c r="Z1406" s="1" t="str">
        <f>"38544مرحله دوم"</f>
        <v>38544مرحله دوم</v>
      </c>
      <c r="AA1406" s="1" t="str">
        <f>"شهرداريها"</f>
        <v>شهرداريها</v>
      </c>
      <c r="AB1406" s="1" t="str">
        <f>"96/09/11"</f>
        <v>96/09/11</v>
      </c>
      <c r="AC1406" s="1" t="str">
        <f>"استان چهارمحال بختياري"</f>
        <v>استان چهارمحال بختياري</v>
      </c>
      <c r="AD1406" s="1" t="str">
        <f>"96/09/13"</f>
        <v>96/09/13</v>
      </c>
      <c r="AE1406" s="1" t="str">
        <f>"تاييدشده"</f>
        <v>تاييدشده</v>
      </c>
      <c r="AF1406" s="1" t="str">
        <f>""</f>
        <v/>
      </c>
      <c r="AG1406" s="1" t="str">
        <f>""</f>
        <v/>
      </c>
      <c r="AH1406" s="1" t="str">
        <f>""</f>
        <v/>
      </c>
      <c r="AI1406" s="1" t="str">
        <f>""</f>
        <v/>
      </c>
      <c r="AJ1406" s="1" t="str">
        <f>""</f>
        <v/>
      </c>
      <c r="AK1406" s="1" t="str">
        <f>""</f>
        <v/>
      </c>
    </row>
    <row r="1407" spans="1:37">
      <c r="A1407" s="1">
        <v>500000</v>
      </c>
      <c r="B1407" s="1">
        <v>961900010</v>
      </c>
      <c r="C1407" s="1" t="str">
        <f>"تخليه كرمانشاه محوركرمانشاه -هرسين بعدازپليس راه كيلومتر9روبروي روستاي چهركارخانه آسفالت پل چهر"</f>
        <v>تخليه كرمانشاه محوركرمانشاه -هرسين بعدازپليس راه كيلومتر9روبروي روستاي چهركارخانه آسفالت پل چهر</v>
      </c>
      <c r="D1407" s="1">
        <v>8854</v>
      </c>
      <c r="E1407" s="1">
        <v>498960</v>
      </c>
      <c r="F1407" s="1">
        <v>96</v>
      </c>
      <c r="G1407" s="1">
        <v>1040</v>
      </c>
      <c r="H1407" s="1" t="str">
        <f>"96/01/15"</f>
        <v>96/01/15</v>
      </c>
      <c r="I1407" s="1" t="str">
        <f>"كيلوگرم"</f>
        <v>كيلوگرم</v>
      </c>
      <c r="J1407" s="1" t="str">
        <f>"0000000091"</f>
        <v>0000000091</v>
      </c>
      <c r="K1407" s="1" t="str">
        <f>"قير  PG64-22"</f>
        <v>قير  PG64-22</v>
      </c>
      <c r="L1407" s="1">
        <v>100</v>
      </c>
      <c r="M1407" s="1" t="str">
        <f>"مخازن قير اصفهان"</f>
        <v>مخازن قير اصفهان</v>
      </c>
      <c r="N1407" s="1">
        <v>11122</v>
      </c>
      <c r="O1407" s="1">
        <v>50034367</v>
      </c>
      <c r="P1407" s="1" t="str">
        <f>"  اسكان عمران بيستون"</f>
        <v xml:space="preserve">  اسكان عمران بيستون</v>
      </c>
      <c r="Q1407" s="1">
        <v>19</v>
      </c>
      <c r="R140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407" s="1" t="str">
        <f>"قرارداد فروش"</f>
        <v>قرارداد فروش</v>
      </c>
      <c r="T1407" s="1" t="str">
        <f>"ندارد"</f>
        <v>ندارد</v>
      </c>
      <c r="U1407" s="1" t="str">
        <f>"شمسيان پور حبيب اله(2842034)"</f>
        <v>شمسيان پور حبيب اله(2842034)</v>
      </c>
      <c r="V1407" s="1">
        <v>961900010</v>
      </c>
      <c r="W1407" s="1">
        <v>961900010</v>
      </c>
      <c r="X1407" s="1" t="str">
        <f>"1395471092"</f>
        <v>1395471092</v>
      </c>
      <c r="Y1407" s="1" t="str">
        <f>"96/01/15"</f>
        <v>96/01/15</v>
      </c>
      <c r="Z1407" s="1" t="str">
        <f>"67150/710"</f>
        <v>67150/710</v>
      </c>
      <c r="AA1407" s="1" t="str">
        <f>"سازمان راهداري وحمل نقل جاده اي"</f>
        <v>سازمان راهداري وحمل نقل جاده اي</v>
      </c>
      <c r="AB1407" s="1" t="str">
        <f>"95/12/25"</f>
        <v>95/12/25</v>
      </c>
      <c r="AC1407" s="1" t="str">
        <f>"استان كرمانشاه"</f>
        <v>استان كرمانشاه</v>
      </c>
      <c r="AD1407" s="1" t="str">
        <f>"95/12/28"</f>
        <v>95/12/28</v>
      </c>
      <c r="AE1407" s="1" t="str">
        <f>"اختتام"</f>
        <v>اختتام</v>
      </c>
      <c r="AF1407" s="1" t="str">
        <f>""</f>
        <v/>
      </c>
      <c r="AG1407" s="1" t="str">
        <f>""</f>
        <v/>
      </c>
      <c r="AH1407" s="1" t="str">
        <f>""</f>
        <v/>
      </c>
      <c r="AI1407" s="1" t="str">
        <f>""</f>
        <v/>
      </c>
      <c r="AJ1407" s="1" t="str">
        <f>""</f>
        <v/>
      </c>
      <c r="AK1407" s="1" t="str">
        <f>""</f>
        <v/>
      </c>
    </row>
    <row r="1408" spans="1:37">
      <c r="A1408" s="1">
        <v>300000</v>
      </c>
      <c r="B1408" s="1">
        <v>961900109</v>
      </c>
      <c r="C1408" s="1" t="str">
        <f>"تخليه - يزد-اردکان-کارخانه آسفالت هامون اردکان"</f>
        <v>تخليه - يزد-اردکان-کارخانه آسفالت هامون اردکان</v>
      </c>
      <c r="D1408" s="1">
        <v>16350</v>
      </c>
      <c r="E1408" s="1">
        <v>297980</v>
      </c>
      <c r="F1408" s="1">
        <v>96</v>
      </c>
      <c r="G1408" s="1">
        <v>2020</v>
      </c>
      <c r="H1408" s="1" t="str">
        <f>"96/05/10"</f>
        <v>96/05/10</v>
      </c>
      <c r="I1408" s="1" t="str">
        <f>"كيلوگرم"</f>
        <v>كيلوگرم</v>
      </c>
      <c r="J1408" s="1" t="str">
        <f>"0000000091"</f>
        <v>0000000091</v>
      </c>
      <c r="K1408" s="1" t="str">
        <f>"قير  PG64-22"</f>
        <v>قير  PG64-22</v>
      </c>
      <c r="L1408" s="1">
        <v>100</v>
      </c>
      <c r="M1408" s="1" t="str">
        <f>"مخازن قير اصفهان"</f>
        <v>مخازن قير اصفهان</v>
      </c>
      <c r="N1408" s="1">
        <v>11270</v>
      </c>
      <c r="O1408" s="1">
        <v>50035468</v>
      </c>
      <c r="P1408" s="1" t="str">
        <f>"  اداره كل راهداري وحمل ونقل جاده اي يزد"</f>
        <v xml:space="preserve">  اداره كل راهداري وحمل ونقل جاده اي يزد</v>
      </c>
      <c r="Q1408" s="1">
        <v>19</v>
      </c>
      <c r="R140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408" s="1" t="str">
        <f>"قرارداد فروش"</f>
        <v>قرارداد فروش</v>
      </c>
      <c r="T1408" s="1" t="str">
        <f>"ندارد"</f>
        <v>ندارد</v>
      </c>
      <c r="U1408" s="1" t="str">
        <f>"قانعي محمدرضا(1011ج89)"</f>
        <v>قانعي محمدرضا(1011ج89)</v>
      </c>
      <c r="V1408" s="1">
        <v>961900109</v>
      </c>
      <c r="W1408" s="1">
        <v>961900109</v>
      </c>
      <c r="X1408" s="1" t="str">
        <f>"1396501690"</f>
        <v>1396501690</v>
      </c>
      <c r="Y1408" s="1" t="str">
        <f>"96/05/10"</f>
        <v>96/05/10</v>
      </c>
      <c r="Z1408" s="1" t="str">
        <f>"22154/710"</f>
        <v>22154/710</v>
      </c>
      <c r="AA1408" s="1" t="str">
        <f>"سازمان راهداري وحمل نقل جاده اي"</f>
        <v>سازمان راهداري وحمل نقل جاده اي</v>
      </c>
      <c r="AB1408" s="1" t="str">
        <f>"96/05/09"</f>
        <v>96/05/09</v>
      </c>
      <c r="AC1408" s="1" t="str">
        <f>"استان يزد"</f>
        <v>استان يزد</v>
      </c>
      <c r="AD1408" s="1" t="str">
        <f>"96/05/10"</f>
        <v>96/05/10</v>
      </c>
      <c r="AE1408" s="1" t="str">
        <f>"اختتام"</f>
        <v>اختتام</v>
      </c>
      <c r="AF1408" s="1" t="str">
        <f>""</f>
        <v/>
      </c>
      <c r="AG1408" s="1" t="str">
        <f>""</f>
        <v/>
      </c>
      <c r="AH1408" s="1" t="str">
        <f>""</f>
        <v/>
      </c>
      <c r="AI1408" s="1" t="str">
        <f>""</f>
        <v/>
      </c>
      <c r="AJ1408" s="1" t="str">
        <f>""</f>
        <v/>
      </c>
      <c r="AK1408" s="1" t="str">
        <f>""</f>
        <v/>
      </c>
    </row>
    <row r="1409" spans="1:37">
      <c r="A1409" s="1">
        <v>400000</v>
      </c>
      <c r="B1409" s="1">
        <v>961900126</v>
      </c>
      <c r="C1409" s="1" t="str">
        <f>"تخليه - يزد-شهرستان بافق-کارخانه آسفالت شرکت فرش راه"</f>
        <v>تخليه - يزد-شهرستان بافق-کارخانه آسفالت شرکت فرش راه</v>
      </c>
      <c r="D1409" s="1">
        <v>16350</v>
      </c>
      <c r="E1409" s="1">
        <v>399300</v>
      </c>
      <c r="F1409" s="1">
        <v>96</v>
      </c>
      <c r="G1409" s="1">
        <v>700</v>
      </c>
      <c r="H1409" s="1" t="str">
        <f>"96/05/25"</f>
        <v>96/05/25</v>
      </c>
      <c r="I1409" s="1" t="str">
        <f>"كيلوگرم"</f>
        <v>كيلوگرم</v>
      </c>
      <c r="J1409" s="1" t="str">
        <f>"0000000091"</f>
        <v>0000000091</v>
      </c>
      <c r="K1409" s="1" t="str">
        <f>"قير  PG64-22"</f>
        <v>قير  PG64-22</v>
      </c>
      <c r="L1409" s="1">
        <v>100</v>
      </c>
      <c r="M1409" s="1" t="str">
        <f>"مخازن قير اصفهان"</f>
        <v>مخازن قير اصفهان</v>
      </c>
      <c r="N1409" s="1">
        <v>11270</v>
      </c>
      <c r="O1409" s="1">
        <v>50035700</v>
      </c>
      <c r="P1409" s="1" t="str">
        <f>"  اداره كل راهداري وحمل ونقل جاده اي يزد"</f>
        <v xml:space="preserve">  اداره كل راهداري وحمل ونقل جاده اي يزد</v>
      </c>
      <c r="Q1409" s="1">
        <v>19</v>
      </c>
      <c r="R140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409" s="1" t="str">
        <f>"قرارداد فروش"</f>
        <v>قرارداد فروش</v>
      </c>
      <c r="T1409" s="1" t="str">
        <f>"ندارد"</f>
        <v>ندارد</v>
      </c>
      <c r="U1409" s="1" t="str">
        <f>"قانعي محمدرضا(1011ج89)"</f>
        <v>قانعي محمدرضا(1011ج89)</v>
      </c>
      <c r="V1409" s="1">
        <v>961900126</v>
      </c>
      <c r="W1409" s="1">
        <v>961900126</v>
      </c>
      <c r="X1409" s="1" t="str">
        <f>"1396506145"</f>
        <v>1396506145</v>
      </c>
      <c r="Y1409" s="1" t="str">
        <f>"96/05/25"</f>
        <v>96/05/25</v>
      </c>
      <c r="Z1409" s="1" t="str">
        <f>"24831/710"</f>
        <v>24831/710</v>
      </c>
      <c r="AA1409" s="1" t="str">
        <f>"سازمان راهداري وحمل نقل جاده اي"</f>
        <v>سازمان راهداري وحمل نقل جاده اي</v>
      </c>
      <c r="AB1409" s="1" t="str">
        <f>"96/05/23"</f>
        <v>96/05/23</v>
      </c>
      <c r="AC1409" s="1" t="str">
        <f>"استان يزد"</f>
        <v>استان يزد</v>
      </c>
      <c r="AD1409" s="1" t="str">
        <f>"96/05/25"</f>
        <v>96/05/25</v>
      </c>
      <c r="AE1409" s="1" t="str">
        <f>"اختتام"</f>
        <v>اختتام</v>
      </c>
      <c r="AF1409" s="1" t="str">
        <f>""</f>
        <v/>
      </c>
      <c r="AG1409" s="1" t="str">
        <f>""</f>
        <v/>
      </c>
      <c r="AH1409" s="1" t="str">
        <f>""</f>
        <v/>
      </c>
      <c r="AI1409" s="1" t="str">
        <f>""</f>
        <v/>
      </c>
      <c r="AJ1409" s="1" t="str">
        <f>""</f>
        <v/>
      </c>
      <c r="AK1409" s="1" t="str">
        <f>""</f>
        <v/>
      </c>
    </row>
    <row r="1410" spans="1:37">
      <c r="A1410" s="1">
        <v>200000</v>
      </c>
      <c r="B1410" s="1">
        <v>961900163</v>
      </c>
      <c r="C1410" s="1" t="str">
        <f>"تخليه لرستان خرم آبادكيلومتر35جاده خرم آبادبروجردروستاي ريك سفيدكارخانه آسفالت آفاق سپهرخرم"</f>
        <v>تخليه لرستان خرم آبادكيلومتر35جاده خرم آبادبروجردروستاي ريك سفيدكارخانه آسفالت آفاق سپهرخرم</v>
      </c>
      <c r="D1410" s="1">
        <v>12970</v>
      </c>
      <c r="E1410" s="1">
        <v>198920</v>
      </c>
      <c r="F1410" s="1">
        <v>96</v>
      </c>
      <c r="G1410" s="1">
        <v>1080</v>
      </c>
      <c r="H1410" s="1" t="str">
        <f>"96/07/11"</f>
        <v>96/07/11</v>
      </c>
      <c r="I1410" s="1" t="str">
        <f>"كيلوگرم"</f>
        <v>كيلوگرم</v>
      </c>
      <c r="J1410" s="1" t="str">
        <f>"0000000091"</f>
        <v>0000000091</v>
      </c>
      <c r="K1410" s="1" t="str">
        <f>"قير  PG64-22"</f>
        <v>قير  PG64-22</v>
      </c>
      <c r="L1410" s="1">
        <v>100</v>
      </c>
      <c r="M1410" s="1" t="str">
        <f>"مخازن قير اصفهان"</f>
        <v>مخازن قير اصفهان</v>
      </c>
      <c r="N1410" s="1">
        <v>11295</v>
      </c>
      <c r="O1410" s="1">
        <v>50036523</v>
      </c>
      <c r="P1410" s="1" t="str">
        <f>"  اداره كل راهداري وحمل ونقل جاده اي لرستان"</f>
        <v xml:space="preserve">  اداره كل راهداري وحمل ونقل جاده اي لرستان</v>
      </c>
      <c r="Q1410" s="1">
        <v>19</v>
      </c>
      <c r="R141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410" s="1" t="str">
        <f>"قرارداد فروش"</f>
        <v>قرارداد فروش</v>
      </c>
      <c r="T1410" s="1" t="str">
        <f>"ندارد"</f>
        <v>ندارد</v>
      </c>
      <c r="U1410" s="1" t="str">
        <f>"ريسماني حسن(1007ج89)"</f>
        <v>ريسماني حسن(1007ج89)</v>
      </c>
      <c r="V1410" s="1">
        <v>961900163</v>
      </c>
      <c r="W1410" s="1">
        <v>961900163</v>
      </c>
      <c r="X1410" s="1" t="str">
        <f>"1396515916"</f>
        <v>1396515916</v>
      </c>
      <c r="Y1410" s="1" t="str">
        <f>"96/07/11"</f>
        <v>96/07/11</v>
      </c>
      <c r="Z1410" s="1" t="str">
        <f>"33350/710"</f>
        <v>33350/710</v>
      </c>
      <c r="AA1410" s="1" t="str">
        <f>"سازمان راهداري وحمل نقل جاده اي"</f>
        <v>سازمان راهداري وحمل نقل جاده اي</v>
      </c>
      <c r="AB1410" s="1" t="str">
        <f>"96/07/04"</f>
        <v>96/07/04</v>
      </c>
      <c r="AC1410" s="1" t="str">
        <f>"لرستان"</f>
        <v>لرستان</v>
      </c>
      <c r="AD1410" s="1" t="str">
        <f>"96/07/11"</f>
        <v>96/07/11</v>
      </c>
      <c r="AE1410" s="1" t="str">
        <f>"اختتام"</f>
        <v>اختتام</v>
      </c>
      <c r="AF1410" s="1" t="str">
        <f>""</f>
        <v/>
      </c>
      <c r="AG1410" s="1" t="str">
        <f>""</f>
        <v/>
      </c>
      <c r="AH1410" s="1" t="str">
        <f>""</f>
        <v/>
      </c>
      <c r="AI1410" s="1" t="str">
        <f>""</f>
        <v/>
      </c>
      <c r="AJ1410" s="1" t="str">
        <f>""</f>
        <v/>
      </c>
      <c r="AK1410" s="1" t="str">
        <f>""</f>
        <v/>
      </c>
    </row>
    <row r="1411" spans="1:37">
      <c r="A1411" s="1">
        <v>300000</v>
      </c>
      <c r="B1411" s="1">
        <v>961900016</v>
      </c>
      <c r="C1411" s="1" t="str">
        <f>"تخليه خراسان رضوي شهرستان جوين كارخانه ثامن الحجج"</f>
        <v>تخليه خراسان رضوي شهرستان جوين كارخانه ثامن الحجج</v>
      </c>
      <c r="D1411" s="1">
        <v>9068</v>
      </c>
      <c r="E1411" s="1">
        <v>297360</v>
      </c>
      <c r="F1411" s="1">
        <v>96</v>
      </c>
      <c r="G1411" s="1">
        <v>2640</v>
      </c>
      <c r="H1411" s="1" t="str">
        <f>"96/01/16"</f>
        <v>96/01/16</v>
      </c>
      <c r="I1411" s="1" t="str">
        <f>"كيلوگرم"</f>
        <v>كيلوگرم</v>
      </c>
      <c r="J1411" s="1" t="str">
        <f>"0000000091"</f>
        <v>0000000091</v>
      </c>
      <c r="K1411" s="1" t="str">
        <f>"قير  PG64-22"</f>
        <v>قير  PG64-22</v>
      </c>
      <c r="L1411" s="1">
        <v>100</v>
      </c>
      <c r="M1411" s="1" t="str">
        <f>"مخازن قير اصفهان"</f>
        <v>مخازن قير اصفهان</v>
      </c>
      <c r="N1411" s="1">
        <v>11305</v>
      </c>
      <c r="O1411" s="1">
        <v>50034373</v>
      </c>
      <c r="P1411" s="1" t="str">
        <f>"  اداره كل راهداري وحمل ونقل جاده اي خراسان رضوي"</f>
        <v xml:space="preserve">  اداره كل راهداري وحمل ونقل جاده اي خراسان رضوي</v>
      </c>
      <c r="Q1411" s="1">
        <v>19</v>
      </c>
      <c r="R141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411" s="1" t="str">
        <f>"قرارداد فروش"</f>
        <v>قرارداد فروش</v>
      </c>
      <c r="T1411" s="1" t="str">
        <f>"ندارد"</f>
        <v>ندارد</v>
      </c>
      <c r="U1411" s="1" t="str">
        <f>"حسيني سيدجواد(1841076)"</f>
        <v>حسيني سيدجواد(1841076)</v>
      </c>
      <c r="V1411" s="1">
        <v>961900016</v>
      </c>
      <c r="W1411" s="1">
        <v>961900016</v>
      </c>
      <c r="X1411" s="1" t="str">
        <f>"1395470874"</f>
        <v>1395470874</v>
      </c>
      <c r="Y1411" s="1" t="str">
        <f>"96/01/16"</f>
        <v>96/01/16</v>
      </c>
      <c r="Z1411" s="1" t="str">
        <f>"65450/710"</f>
        <v>65450/710</v>
      </c>
      <c r="AA1411" s="1" t="str">
        <f>"سازمان راهداري وحمل نقل جاده اي"</f>
        <v>سازمان راهداري وحمل نقل جاده اي</v>
      </c>
      <c r="AB1411" s="1" t="str">
        <f>"95/12/21"</f>
        <v>95/12/21</v>
      </c>
      <c r="AC1411" s="1" t="str">
        <f>"خراسان رضوي"</f>
        <v>خراسان رضوي</v>
      </c>
      <c r="AD1411" s="1" t="str">
        <f>"95/12/23"</f>
        <v>95/12/23</v>
      </c>
      <c r="AE1411" s="1" t="str">
        <f>"اختتام"</f>
        <v>اختتام</v>
      </c>
      <c r="AF1411" s="1" t="str">
        <f>""</f>
        <v/>
      </c>
      <c r="AG1411" s="1" t="str">
        <f>""</f>
        <v/>
      </c>
      <c r="AH1411" s="1" t="str">
        <f>""</f>
        <v/>
      </c>
      <c r="AI1411" s="1" t="str">
        <f>""</f>
        <v/>
      </c>
      <c r="AJ1411" s="1" t="str">
        <f>""</f>
        <v/>
      </c>
      <c r="AK1411" s="1" t="str">
        <f>""</f>
        <v/>
      </c>
    </row>
    <row r="1412" spans="1:37">
      <c r="A1412" s="1">
        <v>250000</v>
      </c>
      <c r="B1412" s="1">
        <v>961900023</v>
      </c>
      <c r="C1412" s="1" t="str">
        <f>"تخليه خراسان رضوي شهرستان سرخس كارخانه شهرداري سرخس"</f>
        <v>تخليه خراسان رضوي شهرستان سرخس كارخانه شهرداري سرخس</v>
      </c>
      <c r="D1412" s="1">
        <v>9354</v>
      </c>
      <c r="E1412" s="1">
        <v>249480</v>
      </c>
      <c r="F1412" s="1">
        <v>96</v>
      </c>
      <c r="G1412" s="1">
        <v>520</v>
      </c>
      <c r="H1412" s="1" t="str">
        <f>"96/01/16"</f>
        <v>96/01/16</v>
      </c>
      <c r="I1412" s="1" t="str">
        <f>"كيلوگرم"</f>
        <v>كيلوگرم</v>
      </c>
      <c r="J1412" s="1" t="str">
        <f>"0000000091"</f>
        <v>0000000091</v>
      </c>
      <c r="K1412" s="1" t="str">
        <f>"قير  PG64-22"</f>
        <v>قير  PG64-22</v>
      </c>
      <c r="L1412" s="1">
        <v>100</v>
      </c>
      <c r="M1412" s="1" t="str">
        <f>"مخازن قير اصفهان"</f>
        <v>مخازن قير اصفهان</v>
      </c>
      <c r="N1412" s="1">
        <v>11305</v>
      </c>
      <c r="O1412" s="1">
        <v>50034380</v>
      </c>
      <c r="P1412" s="1" t="str">
        <f>"  اداره كل راهداري وحمل ونقل جاده اي خراسان رضوي"</f>
        <v xml:space="preserve">  اداره كل راهداري وحمل ونقل جاده اي خراسان رضوي</v>
      </c>
      <c r="Q1412" s="1">
        <v>19</v>
      </c>
      <c r="R141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412" s="1" t="str">
        <f>"قرارداد فروش"</f>
        <v>قرارداد فروش</v>
      </c>
      <c r="T1412" s="1" t="str">
        <f>"ندارد"</f>
        <v>ندارد</v>
      </c>
      <c r="U1412" s="1" t="str">
        <f>"حسيني سيدجواد(1841076)"</f>
        <v>حسيني سيدجواد(1841076)</v>
      </c>
      <c r="V1412" s="1">
        <v>961900023</v>
      </c>
      <c r="W1412" s="1">
        <v>961900023</v>
      </c>
      <c r="X1412" s="1" t="str">
        <f>"1395470897"</f>
        <v>1395470897</v>
      </c>
      <c r="Y1412" s="1" t="str">
        <f>"96/01/16"</f>
        <v>96/01/16</v>
      </c>
      <c r="Z1412" s="1" t="str">
        <f>"65444/710"</f>
        <v>65444/710</v>
      </c>
      <c r="AA1412" s="1" t="str">
        <f>"سازمان راهداري وحمل نقل جاده اي"</f>
        <v>سازمان راهداري وحمل نقل جاده اي</v>
      </c>
      <c r="AB1412" s="1" t="str">
        <f>"95/12/21"</f>
        <v>95/12/21</v>
      </c>
      <c r="AC1412" s="1" t="str">
        <f>"خراسان رضوي"</f>
        <v>خراسان رضوي</v>
      </c>
      <c r="AD1412" s="1" t="str">
        <f>"95/12/23"</f>
        <v>95/12/23</v>
      </c>
      <c r="AE1412" s="1" t="str">
        <f>"اختتام"</f>
        <v>اختتام</v>
      </c>
      <c r="AF1412" s="1" t="str">
        <f>""</f>
        <v/>
      </c>
      <c r="AG1412" s="1" t="str">
        <f>""</f>
        <v/>
      </c>
      <c r="AH1412" s="1" t="str">
        <f>""</f>
        <v/>
      </c>
      <c r="AI1412" s="1" t="str">
        <f>""</f>
        <v/>
      </c>
      <c r="AJ1412" s="1" t="str">
        <f>""</f>
        <v/>
      </c>
      <c r="AK1412" s="1" t="str">
        <f>""</f>
        <v/>
      </c>
    </row>
    <row r="1413" spans="1:37">
      <c r="A1413" s="1">
        <v>739000</v>
      </c>
      <c r="B1413" s="1">
        <v>961900028</v>
      </c>
      <c r="C1413" s="1" t="str">
        <f>"تخليه خراسان رضوي شهرستان سرولايت كارخانه آسفالت دنابنيان بيرجند"</f>
        <v>تخليه خراسان رضوي شهرستان سرولايت كارخانه آسفالت دنابنيان بيرجند</v>
      </c>
      <c r="D1413" s="1">
        <v>9068</v>
      </c>
      <c r="E1413" s="1">
        <v>737700</v>
      </c>
      <c r="F1413" s="1">
        <v>96</v>
      </c>
      <c r="G1413" s="1">
        <v>1300</v>
      </c>
      <c r="H1413" s="1" t="str">
        <f>"96/01/16"</f>
        <v>96/01/16</v>
      </c>
      <c r="I1413" s="1" t="str">
        <f>"كيلوگرم"</f>
        <v>كيلوگرم</v>
      </c>
      <c r="J1413" s="1" t="str">
        <f>"0000000091"</f>
        <v>0000000091</v>
      </c>
      <c r="K1413" s="1" t="str">
        <f>"قير  PG64-22"</f>
        <v>قير  PG64-22</v>
      </c>
      <c r="L1413" s="1">
        <v>100</v>
      </c>
      <c r="M1413" s="1" t="str">
        <f>"مخازن قير اصفهان"</f>
        <v>مخازن قير اصفهان</v>
      </c>
      <c r="N1413" s="1">
        <v>11305</v>
      </c>
      <c r="O1413" s="1">
        <v>50034385</v>
      </c>
      <c r="P1413" s="1" t="str">
        <f>"  اداره كل راهداري وحمل ونقل جاده اي خراسان رضوي"</f>
        <v xml:space="preserve">  اداره كل راهداري وحمل ونقل جاده اي خراسان رضوي</v>
      </c>
      <c r="Q1413" s="1">
        <v>19</v>
      </c>
      <c r="R141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413" s="1" t="str">
        <f>"قرارداد فروش"</f>
        <v>قرارداد فروش</v>
      </c>
      <c r="T1413" s="1" t="str">
        <f>"ندارد"</f>
        <v>ندارد</v>
      </c>
      <c r="U1413" s="1" t="str">
        <f>"بابامحمدي عنايت اله(4844000)"</f>
        <v>بابامحمدي عنايت اله(4844000)</v>
      </c>
      <c r="V1413" s="1">
        <v>961900028</v>
      </c>
      <c r="W1413" s="1">
        <v>961900028</v>
      </c>
      <c r="X1413" s="1" t="str">
        <f>"1395470897"</f>
        <v>1395470897</v>
      </c>
      <c r="Y1413" s="1" t="str">
        <f>"96/01/16"</f>
        <v>96/01/16</v>
      </c>
      <c r="Z1413" s="1" t="str">
        <f>"65445/710"</f>
        <v>65445/710</v>
      </c>
      <c r="AA1413" s="1" t="str">
        <f>"سازمان راهداري وحمل نقل جاده اي"</f>
        <v>سازمان راهداري وحمل نقل جاده اي</v>
      </c>
      <c r="AB1413" s="1" t="str">
        <f>"95/12/21"</f>
        <v>95/12/21</v>
      </c>
      <c r="AC1413" s="1" t="str">
        <f>"خراسان رضوي"</f>
        <v>خراسان رضوي</v>
      </c>
      <c r="AD1413" s="1" t="str">
        <f>"95/12/23"</f>
        <v>95/12/23</v>
      </c>
      <c r="AE1413" s="1" t="str">
        <f>"اختتام"</f>
        <v>اختتام</v>
      </c>
      <c r="AF1413" s="1" t="str">
        <f>""</f>
        <v/>
      </c>
      <c r="AG1413" s="1" t="str">
        <f>""</f>
        <v/>
      </c>
      <c r="AH1413" s="1" t="str">
        <f>""</f>
        <v/>
      </c>
      <c r="AI1413" s="1" t="str">
        <f>""</f>
        <v/>
      </c>
      <c r="AJ1413" s="1" t="str">
        <f>""</f>
        <v/>
      </c>
      <c r="AK1413" s="1" t="str">
        <f>""</f>
        <v/>
      </c>
    </row>
    <row r="1414" spans="1:37">
      <c r="A1414" s="1">
        <v>330000</v>
      </c>
      <c r="B1414" s="1">
        <v>961900032</v>
      </c>
      <c r="C1414" s="1" t="str">
        <f>"تخليه خراسان رضوي شهرستان جوين كارخانه ثامن الحجج"</f>
        <v>تخليه خراسان رضوي شهرستان جوين كارخانه ثامن الحجج</v>
      </c>
      <c r="D1414" s="1">
        <v>9068</v>
      </c>
      <c r="E1414" s="1">
        <v>330000</v>
      </c>
      <c r="F1414" s="1">
        <v>96</v>
      </c>
      <c r="G1414" s="1">
        <v>0</v>
      </c>
      <c r="H1414" s="1" t="str">
        <f>"96/01/16"</f>
        <v>96/01/16</v>
      </c>
      <c r="I1414" s="1" t="str">
        <f>"كيلوگرم"</f>
        <v>كيلوگرم</v>
      </c>
      <c r="J1414" s="1" t="str">
        <f>"0000000091"</f>
        <v>0000000091</v>
      </c>
      <c r="K1414" s="1" t="str">
        <f>"قير  PG64-22"</f>
        <v>قير  PG64-22</v>
      </c>
      <c r="L1414" s="1">
        <v>100</v>
      </c>
      <c r="M1414" s="1" t="str">
        <f>"مخازن قير اصفهان"</f>
        <v>مخازن قير اصفهان</v>
      </c>
      <c r="N1414" s="1">
        <v>11305</v>
      </c>
      <c r="O1414" s="1">
        <v>50034389</v>
      </c>
      <c r="P1414" s="1" t="str">
        <f>"  اداره كل راهداري وحمل ونقل جاده اي خراسان رضوي"</f>
        <v xml:space="preserve">  اداره كل راهداري وحمل ونقل جاده اي خراسان رضوي</v>
      </c>
      <c r="Q1414" s="1">
        <v>19</v>
      </c>
      <c r="R141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414" s="1" t="str">
        <f>"قرارداد فروش"</f>
        <v>قرارداد فروش</v>
      </c>
      <c r="T1414" s="1" t="str">
        <f>"ندارد"</f>
        <v>ندارد</v>
      </c>
      <c r="U1414" s="1" t="str">
        <f>"حسيني سيدجواد(1841076)"</f>
        <v>حسيني سيدجواد(1841076)</v>
      </c>
      <c r="V1414" s="1">
        <v>961900032</v>
      </c>
      <c r="W1414" s="1">
        <v>961900032</v>
      </c>
      <c r="X1414" s="1" t="str">
        <f>"1395471101"</f>
        <v>1395471101</v>
      </c>
      <c r="Y1414" s="1" t="str">
        <f>"96/01/16"</f>
        <v>96/01/16</v>
      </c>
      <c r="Z1414" s="1" t="str">
        <f>"66914/710"</f>
        <v>66914/710</v>
      </c>
      <c r="AA1414" s="1" t="str">
        <f>"سازمان راهداري وحمل نقل جاده اي"</f>
        <v>سازمان راهداري وحمل نقل جاده اي</v>
      </c>
      <c r="AB1414" s="1" t="str">
        <f>"95/12/25"</f>
        <v>95/12/25</v>
      </c>
      <c r="AC1414" s="1" t="str">
        <f>"خراسان رضوي"</f>
        <v>خراسان رضوي</v>
      </c>
      <c r="AD1414" s="1" t="str">
        <f>"95/12/28"</f>
        <v>95/12/28</v>
      </c>
      <c r="AE1414" s="1" t="str">
        <f>"اختتام"</f>
        <v>اختتام</v>
      </c>
      <c r="AF1414" s="1" t="str">
        <f>""</f>
        <v/>
      </c>
      <c r="AG1414" s="1" t="str">
        <f>""</f>
        <v/>
      </c>
      <c r="AH1414" s="1" t="str">
        <f>""</f>
        <v/>
      </c>
      <c r="AI1414" s="1" t="str">
        <f>""</f>
        <v/>
      </c>
      <c r="AJ1414" s="1" t="str">
        <f>""</f>
        <v/>
      </c>
      <c r="AK1414" s="1" t="str">
        <f>""</f>
        <v/>
      </c>
    </row>
    <row r="1415" spans="1:37">
      <c r="A1415" s="1">
        <v>200000</v>
      </c>
      <c r="B1415" s="1">
        <v>961900053</v>
      </c>
      <c r="C1415" s="1" t="str">
        <f>"محل تخليه خراسان رضوي شهرستان گنابادكارخانه آسفالت گناباد"</f>
        <v>محل تخليه خراسان رضوي شهرستان گنابادكارخانه آسفالت گناباد</v>
      </c>
      <c r="D1415" s="1">
        <v>8854</v>
      </c>
      <c r="E1415" s="1">
        <v>198100</v>
      </c>
      <c r="F1415" s="1">
        <v>96</v>
      </c>
      <c r="G1415" s="1">
        <v>1900</v>
      </c>
      <c r="H1415" s="1" t="str">
        <f>"96/03/10"</f>
        <v>96/03/10</v>
      </c>
      <c r="I1415" s="1" t="str">
        <f>"كيلوگرم"</f>
        <v>كيلوگرم</v>
      </c>
      <c r="J1415" s="1" t="str">
        <f>"0000000091"</f>
        <v>0000000091</v>
      </c>
      <c r="K1415" s="1" t="str">
        <f>"قير  PG64-22"</f>
        <v>قير  PG64-22</v>
      </c>
      <c r="L1415" s="1">
        <v>100</v>
      </c>
      <c r="M1415" s="1" t="str">
        <f>"مخازن قير اصفهان"</f>
        <v>مخازن قير اصفهان</v>
      </c>
      <c r="N1415" s="1">
        <v>11305</v>
      </c>
      <c r="O1415" s="1">
        <v>50034939</v>
      </c>
      <c r="P1415" s="1" t="str">
        <f>"  اداره كل راهداري وحمل ونقل جاده اي خراسان رضوي"</f>
        <v xml:space="preserve">  اداره كل راهداري وحمل ونقل جاده اي خراسان رضوي</v>
      </c>
      <c r="Q1415" s="1">
        <v>19</v>
      </c>
      <c r="R141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415" s="1" t="str">
        <f>"قرارداد فروش"</f>
        <v>قرارداد فروش</v>
      </c>
      <c r="T1415" s="1" t="str">
        <f>"ندارد"</f>
        <v>ندارد</v>
      </c>
      <c r="U1415" s="1" t="str">
        <f>"نظام دوست امين (1911102)"</f>
        <v>نظام دوست امين (1911102)</v>
      </c>
      <c r="V1415" s="1">
        <v>961900053</v>
      </c>
      <c r="W1415" s="1">
        <v>961900053</v>
      </c>
      <c r="X1415" s="1" t="str">
        <f>"1396485061"</f>
        <v>1396485061</v>
      </c>
      <c r="Y1415" s="1" t="str">
        <f>"96/03/10"</f>
        <v>96/03/10</v>
      </c>
      <c r="Z1415" s="1" t="str">
        <f>"10856/710"</f>
        <v>10856/710</v>
      </c>
      <c r="AA1415" s="1" t="str">
        <f>"سازمان راهداري وحمل نقل جاده اي"</f>
        <v>سازمان راهداري وحمل نقل جاده اي</v>
      </c>
      <c r="AB1415" s="1" t="str">
        <f>"96/03/09"</f>
        <v>96/03/09</v>
      </c>
      <c r="AC1415" s="1" t="str">
        <f>"خراسان رضوي"</f>
        <v>خراسان رضوي</v>
      </c>
      <c r="AD1415" s="1" t="str">
        <f>"96/03/10"</f>
        <v>96/03/10</v>
      </c>
      <c r="AE1415" s="1" t="str">
        <f>"اختتام"</f>
        <v>اختتام</v>
      </c>
      <c r="AF1415" s="1" t="str">
        <f>""</f>
        <v/>
      </c>
      <c r="AG1415" s="1" t="str">
        <f>""</f>
        <v/>
      </c>
      <c r="AH1415" s="1" t="str">
        <f>""</f>
        <v/>
      </c>
      <c r="AI1415" s="1" t="str">
        <f>""</f>
        <v/>
      </c>
      <c r="AJ1415" s="1" t="str">
        <f>""</f>
        <v/>
      </c>
      <c r="AK1415" s="1" t="str">
        <f>""</f>
        <v/>
      </c>
    </row>
    <row r="1416" spans="1:37">
      <c r="A1416" s="1">
        <v>300000</v>
      </c>
      <c r="B1416" s="1">
        <v>961900061</v>
      </c>
      <c r="C1416" s="1" t="str">
        <f>"تخليه خراسان رضوي شهرستان مه ولايت كارخانه آسفالت قدرت ايمان كوير"</f>
        <v>تخليه خراسان رضوي شهرستان مه ولايت كارخانه آسفالت قدرت ايمان كوير</v>
      </c>
      <c r="D1416" s="1">
        <v>8904</v>
      </c>
      <c r="E1416" s="1">
        <v>299580</v>
      </c>
      <c r="F1416" s="1">
        <v>96</v>
      </c>
      <c r="G1416" s="1">
        <v>420</v>
      </c>
      <c r="H1416" s="1" t="str">
        <f>"96/03/21"</f>
        <v>96/03/21</v>
      </c>
      <c r="I1416" s="1" t="str">
        <f>"كيلوگرم"</f>
        <v>كيلوگرم</v>
      </c>
      <c r="J1416" s="1" t="str">
        <f>"0000000091"</f>
        <v>0000000091</v>
      </c>
      <c r="K1416" s="1" t="str">
        <f>"قير  PG64-22"</f>
        <v>قير  PG64-22</v>
      </c>
      <c r="L1416" s="1">
        <v>100</v>
      </c>
      <c r="M1416" s="1" t="str">
        <f>"مخازن قير اصفهان"</f>
        <v>مخازن قير اصفهان</v>
      </c>
      <c r="N1416" s="1">
        <v>11305</v>
      </c>
      <c r="O1416" s="1">
        <v>50034982</v>
      </c>
      <c r="P1416" s="1" t="str">
        <f>"  اداره كل راهداري وحمل ونقل جاده اي خراسان رضوي"</f>
        <v xml:space="preserve">  اداره كل راهداري وحمل ونقل جاده اي خراسان رضوي</v>
      </c>
      <c r="Q1416" s="1">
        <v>19</v>
      </c>
      <c r="R141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416" s="1" t="str">
        <f>"قرارداد فروش"</f>
        <v>قرارداد فروش</v>
      </c>
      <c r="T1416" s="1" t="str">
        <f>"ندارد"</f>
        <v>ندارد</v>
      </c>
      <c r="U1416" s="1" t="str">
        <f>"نظام دوست امين (1911102)"</f>
        <v>نظام دوست امين (1911102)</v>
      </c>
      <c r="V1416" s="1">
        <v>961900061</v>
      </c>
      <c r="W1416" s="1">
        <v>961900061</v>
      </c>
      <c r="X1416" s="1" t="str">
        <f>"1396486823"</f>
        <v>1396486823</v>
      </c>
      <c r="Y1416" s="1" t="str">
        <f>"96/03/21"</f>
        <v>96/03/21</v>
      </c>
      <c r="Z1416" s="1" t="str">
        <f>"11838/710"</f>
        <v>11838/710</v>
      </c>
      <c r="AA1416" s="1" t="str">
        <f>"سازمان راهداري وحمل نقل جاده اي"</f>
        <v>سازمان راهداري وحمل نقل جاده اي</v>
      </c>
      <c r="AB1416" s="1" t="str">
        <f>"96/03/17"</f>
        <v>96/03/17</v>
      </c>
      <c r="AC1416" s="1" t="str">
        <f>"خراسان رضوي"</f>
        <v>خراسان رضوي</v>
      </c>
      <c r="AD1416" s="1" t="str">
        <f>"96/03/21"</f>
        <v>96/03/21</v>
      </c>
      <c r="AE1416" s="1" t="str">
        <f>"اختتام"</f>
        <v>اختتام</v>
      </c>
      <c r="AF1416" s="1" t="str">
        <f>""</f>
        <v/>
      </c>
      <c r="AG1416" s="1" t="str">
        <f>""</f>
        <v/>
      </c>
      <c r="AH1416" s="1" t="str">
        <f>""</f>
        <v/>
      </c>
      <c r="AI1416" s="1" t="str">
        <f>""</f>
        <v/>
      </c>
      <c r="AJ1416" s="1" t="str">
        <f>""</f>
        <v/>
      </c>
      <c r="AK1416" s="1" t="str">
        <f>""</f>
        <v/>
      </c>
    </row>
    <row r="1417" spans="1:37">
      <c r="A1417" s="1">
        <v>240000</v>
      </c>
      <c r="B1417" s="1">
        <v>961900100</v>
      </c>
      <c r="C1417" s="1" t="str">
        <f>"تخليه خراسان رضوي شهرستان جوين كارخانه ثامن الحجج"</f>
        <v>تخليه خراسان رضوي شهرستان جوين كارخانه ثامن الحجج</v>
      </c>
      <c r="D1417" s="1">
        <v>8904</v>
      </c>
      <c r="E1417" s="1">
        <v>240000</v>
      </c>
      <c r="F1417" s="1">
        <v>96</v>
      </c>
      <c r="G1417" s="1">
        <v>0</v>
      </c>
      <c r="H1417" s="1" t="str">
        <f>"96/05/10"</f>
        <v>96/05/10</v>
      </c>
      <c r="I1417" s="1" t="str">
        <f>"كيلوگرم"</f>
        <v>كيلوگرم</v>
      </c>
      <c r="J1417" s="1" t="str">
        <f>"0000000091"</f>
        <v>0000000091</v>
      </c>
      <c r="K1417" s="1" t="str">
        <f>"قير  PG64-22"</f>
        <v>قير  PG64-22</v>
      </c>
      <c r="L1417" s="1">
        <v>100</v>
      </c>
      <c r="M1417" s="1" t="str">
        <f>"مخازن قير اصفهان"</f>
        <v>مخازن قير اصفهان</v>
      </c>
      <c r="N1417" s="1">
        <v>11305</v>
      </c>
      <c r="O1417" s="1">
        <v>50035448</v>
      </c>
      <c r="P1417" s="1" t="str">
        <f>"  اداره كل راهداري وحمل ونقل جاده اي خراسان رضوي"</f>
        <v xml:space="preserve">  اداره كل راهداري وحمل ونقل جاده اي خراسان رضوي</v>
      </c>
      <c r="Q1417" s="1">
        <v>19</v>
      </c>
      <c r="R141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417" s="1" t="str">
        <f>"قرارداد فروش"</f>
        <v>قرارداد فروش</v>
      </c>
      <c r="T1417" s="1" t="str">
        <f>"ندارد"</f>
        <v>ندارد</v>
      </c>
      <c r="U1417" s="1" t="str">
        <f>"نظام دوست امين (1911102)"</f>
        <v>نظام دوست امين (1911102)</v>
      </c>
      <c r="V1417" s="1">
        <v>961900100</v>
      </c>
      <c r="W1417" s="1">
        <v>961900100</v>
      </c>
      <c r="X1417" s="1" t="str">
        <f>"1396501691"</f>
        <v>1396501691</v>
      </c>
      <c r="Y1417" s="1" t="str">
        <f>"96/05/10"</f>
        <v>96/05/10</v>
      </c>
      <c r="Z1417" s="1" t="str">
        <f>"22029/710"</f>
        <v>22029/710</v>
      </c>
      <c r="AA1417" s="1" t="str">
        <f>"سازمان راهداري وحمل نقل جاده اي"</f>
        <v>سازمان راهداري وحمل نقل جاده اي</v>
      </c>
      <c r="AB1417" s="1" t="str">
        <f>"96/05/09"</f>
        <v>96/05/09</v>
      </c>
      <c r="AC1417" s="1" t="str">
        <f>"خراسان رضوي"</f>
        <v>خراسان رضوي</v>
      </c>
      <c r="AD1417" s="1" t="str">
        <f>"96/05/10"</f>
        <v>96/05/10</v>
      </c>
      <c r="AE1417" s="1" t="str">
        <f>"اختتام"</f>
        <v>اختتام</v>
      </c>
      <c r="AF1417" s="1" t="str">
        <f>""</f>
        <v/>
      </c>
      <c r="AG1417" s="1" t="str">
        <f>""</f>
        <v/>
      </c>
      <c r="AH1417" s="1" t="str">
        <f>""</f>
        <v/>
      </c>
      <c r="AI1417" s="1" t="str">
        <f>""</f>
        <v/>
      </c>
      <c r="AJ1417" s="1" t="str">
        <f>""</f>
        <v/>
      </c>
      <c r="AK1417" s="1" t="str">
        <f>""</f>
        <v/>
      </c>
    </row>
    <row r="1418" spans="1:37">
      <c r="A1418" s="1">
        <v>550000</v>
      </c>
      <c r="B1418" s="1">
        <v>961900190</v>
      </c>
      <c r="C1418" s="1" t="str">
        <f>"تخليه - اصفهان- کارخانه آسفالت شرکت نگين گستر سپانو"</f>
        <v>تخليه - اصفهان- کارخانه آسفالت شرکت نگين گستر سپانو</v>
      </c>
      <c r="D1418" s="1">
        <v>16350</v>
      </c>
      <c r="E1418" s="1">
        <v>548780</v>
      </c>
      <c r="F1418" s="1">
        <v>96</v>
      </c>
      <c r="G1418" s="1">
        <v>1220</v>
      </c>
      <c r="H1418" s="1" t="str">
        <f>"96/10/17"</f>
        <v>96/10/17</v>
      </c>
      <c r="I1418" s="1" t="str">
        <f>"كيلوگرم"</f>
        <v>كيلوگرم</v>
      </c>
      <c r="J1418" s="1" t="str">
        <f>"0000000091"</f>
        <v>0000000091</v>
      </c>
      <c r="K1418" s="1" t="str">
        <f>"قير  PG64-22"</f>
        <v>قير  PG64-22</v>
      </c>
      <c r="L1418" s="1">
        <v>100</v>
      </c>
      <c r="M1418" s="1" t="str">
        <f>"مخازن قير اصفهان"</f>
        <v>مخازن قير اصفهان</v>
      </c>
      <c r="N1418" s="1">
        <v>11524</v>
      </c>
      <c r="O1418" s="1">
        <v>50038067</v>
      </c>
      <c r="P1418" s="1" t="str">
        <f>"  اداره كل راهداري وحمل ونقل جاده اي استان اصفهان"</f>
        <v xml:space="preserve">  اداره كل راهداري وحمل ونقل جاده اي استان اصفهان</v>
      </c>
      <c r="Q1418" s="1">
        <v>19</v>
      </c>
      <c r="R141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418" s="1" t="str">
        <f>"قرارداد فروش"</f>
        <v>قرارداد فروش</v>
      </c>
      <c r="T1418" s="1" t="str">
        <f>"ندارد"</f>
        <v>ندارد</v>
      </c>
      <c r="U1418" s="1" t="str">
        <f>"شهبازي محمدرضا(1029ج89)"</f>
        <v>شهبازي محمدرضا(1029ج89)</v>
      </c>
      <c r="V1418" s="1">
        <v>961900190</v>
      </c>
      <c r="W1418" s="1">
        <v>961900190</v>
      </c>
      <c r="X1418" s="1" t="str">
        <f>"1396538185"</f>
        <v>1396538185</v>
      </c>
      <c r="Y1418" s="1" t="str">
        <f>"96/10/17"</f>
        <v>96/10/17</v>
      </c>
      <c r="Z1418" s="1" t="str">
        <f>"50479/710"</f>
        <v>50479/710</v>
      </c>
      <c r="AA1418" s="1" t="str">
        <f>"سازمان راهداري وحمل نقل جاده اي"</f>
        <v>سازمان راهداري وحمل نقل جاده اي</v>
      </c>
      <c r="AB1418" s="1" t="str">
        <f>"96/10/02"</f>
        <v>96/10/02</v>
      </c>
      <c r="AC1418" s="1" t="str">
        <f>"استان اصفهان"</f>
        <v>استان اصفهان</v>
      </c>
      <c r="AD1418" s="1" t="str">
        <f>"96/10/17"</f>
        <v>96/10/17</v>
      </c>
      <c r="AE1418" s="1" t="str">
        <f>"اختتام"</f>
        <v>اختتام</v>
      </c>
      <c r="AF1418" s="1" t="str">
        <f>""</f>
        <v/>
      </c>
      <c r="AG1418" s="1" t="str">
        <f>""</f>
        <v/>
      </c>
      <c r="AH1418" s="1" t="str">
        <f>""</f>
        <v/>
      </c>
      <c r="AI1418" s="1" t="str">
        <f>""</f>
        <v/>
      </c>
      <c r="AJ1418" s="1" t="str">
        <f>""</f>
        <v/>
      </c>
      <c r="AK1418" s="1" t="str">
        <f>""</f>
        <v/>
      </c>
    </row>
    <row r="1419" spans="1:37">
      <c r="A1419" s="1">
        <v>60000</v>
      </c>
      <c r="B1419" s="1">
        <v>961700033</v>
      </c>
      <c r="C1419" s="1" t="str">
        <f>"تخليه - خراسان رضوي - کارخانه آسفالت ملاوي"</f>
        <v>تخليه - خراسان رضوي - کارخانه آسفالت ملاوي</v>
      </c>
      <c r="D1419" s="1">
        <v>8904</v>
      </c>
      <c r="E1419" s="1">
        <v>58840</v>
      </c>
      <c r="F1419" s="1">
        <v>96</v>
      </c>
      <c r="G1419" s="1">
        <v>1160</v>
      </c>
      <c r="H1419" s="1" t="str">
        <f>"96/05/04"</f>
        <v>96/05/04</v>
      </c>
      <c r="I1419" s="1" t="str">
        <f>"كيلوگرم"</f>
        <v>كيلوگرم</v>
      </c>
      <c r="J1419" s="1" t="str">
        <f>"0000000092"</f>
        <v>0000000092</v>
      </c>
      <c r="K1419" s="1" t="str">
        <f>"قير  PG64-16"</f>
        <v>قير  PG64-16</v>
      </c>
      <c r="L1419" s="1">
        <v>100</v>
      </c>
      <c r="M1419" s="1" t="str">
        <f>"مخازن قير اصفهان"</f>
        <v>مخازن قير اصفهان</v>
      </c>
      <c r="N1419" s="1">
        <v>4026</v>
      </c>
      <c r="O1419" s="1">
        <v>50035354</v>
      </c>
      <c r="P1419" s="1" t="str">
        <f>"  اداره كل راه و شهرسازي خراسان رضوي"</f>
        <v xml:space="preserve">  اداره كل راه و شهرسازي خراسان رضوي</v>
      </c>
      <c r="Q1419" s="1">
        <v>17</v>
      </c>
      <c r="R1419" s="1" t="str">
        <f>"فروش داخلي تهران - وزارت راه - راه روستايي - روکش"</f>
        <v>فروش داخلي تهران - وزارت راه - راه روستايي - روکش</v>
      </c>
      <c r="S1419" s="1" t="str">
        <f>"قرارداد فروش"</f>
        <v>قرارداد فروش</v>
      </c>
      <c r="T1419" s="1" t="str">
        <f>"ندارد"</f>
        <v>ندارد</v>
      </c>
      <c r="U1419" s="1" t="str">
        <f>"حسيني سيدجواد(1841076)"</f>
        <v>حسيني سيدجواد(1841076)</v>
      </c>
      <c r="V1419" s="1">
        <v>961700033</v>
      </c>
      <c r="W1419" s="1">
        <v>961700033</v>
      </c>
      <c r="X1419" s="1" t="str">
        <f>"1396500364"</f>
        <v>1396500364</v>
      </c>
      <c r="Y1419" s="1" t="str">
        <f>"96/05/04"</f>
        <v>96/05/04</v>
      </c>
      <c r="Z1419" s="1" t="str">
        <f>"20917/710"</f>
        <v>20917/710</v>
      </c>
      <c r="AA1419" s="1" t="str">
        <f>"راه روستائي -روكش"</f>
        <v>راه روستائي -روكش</v>
      </c>
      <c r="AB1419" s="1" t="str">
        <f>"96/05/03"</f>
        <v>96/05/03</v>
      </c>
      <c r="AC1419" s="1" t="str">
        <f>"خراسان رضوي"</f>
        <v>خراسان رضوي</v>
      </c>
      <c r="AD1419" s="1" t="str">
        <f>"96/05/04"</f>
        <v>96/05/04</v>
      </c>
      <c r="AE1419" s="1" t="str">
        <f>"اختتام"</f>
        <v>اختتام</v>
      </c>
      <c r="AF1419" s="1" t="str">
        <f>""</f>
        <v/>
      </c>
      <c r="AG1419" s="1" t="str">
        <f>""</f>
        <v/>
      </c>
      <c r="AH1419" s="1" t="str">
        <f>""</f>
        <v/>
      </c>
      <c r="AI1419" s="1" t="str">
        <f>""</f>
        <v/>
      </c>
      <c r="AJ1419" s="1" t="str">
        <f>""</f>
        <v/>
      </c>
      <c r="AK1419" s="1" t="str">
        <f>""</f>
        <v/>
      </c>
    </row>
    <row r="1420" spans="1:37">
      <c r="A1420" s="1">
        <v>540000</v>
      </c>
      <c r="B1420" s="1">
        <v>961700078</v>
      </c>
      <c r="C1420" s="1" t="str">
        <f>"تخليه- خراسان رضوي - بجستان-کارخانه آسفالت شرق گستر"</f>
        <v>تخليه- خراسان رضوي - بجستان-کارخانه آسفالت شرق گستر</v>
      </c>
      <c r="D1420" s="1">
        <v>9716</v>
      </c>
      <c r="E1420" s="1">
        <v>538560</v>
      </c>
      <c r="F1420" s="1">
        <v>96</v>
      </c>
      <c r="G1420" s="1">
        <v>1440</v>
      </c>
      <c r="H1420" s="1" t="str">
        <f>"96/05/29"</f>
        <v>96/05/29</v>
      </c>
      <c r="I1420" s="1" t="str">
        <f>"كيلوگرم"</f>
        <v>كيلوگرم</v>
      </c>
      <c r="J1420" s="1" t="str">
        <f>"0000000092"</f>
        <v>0000000092</v>
      </c>
      <c r="K1420" s="1" t="str">
        <f>"قير  PG64-16"</f>
        <v>قير  PG64-16</v>
      </c>
      <c r="L1420" s="1">
        <v>100</v>
      </c>
      <c r="M1420" s="1" t="str">
        <f>"مخازن قير اصفهان"</f>
        <v>مخازن قير اصفهان</v>
      </c>
      <c r="N1420" s="1">
        <v>4026</v>
      </c>
      <c r="O1420" s="1">
        <v>50035803</v>
      </c>
      <c r="P1420" s="1" t="str">
        <f>"  اداره كل راه و شهرسازي خراسان رضوي"</f>
        <v xml:space="preserve">  اداره كل راه و شهرسازي خراسان رضوي</v>
      </c>
      <c r="Q1420" s="1">
        <v>17</v>
      </c>
      <c r="R1420" s="1" t="str">
        <f>"فروش داخلي تهران - وزارت راه - راه روستايي - روکش"</f>
        <v>فروش داخلي تهران - وزارت راه - راه روستايي - روکش</v>
      </c>
      <c r="S1420" s="1" t="str">
        <f>"قرارداد فروش"</f>
        <v>قرارداد فروش</v>
      </c>
      <c r="T1420" s="1" t="str">
        <f>"ندارد"</f>
        <v>ندارد</v>
      </c>
      <c r="U1420" s="1" t="str">
        <f>"نظام دوست امين (1911102)"</f>
        <v>نظام دوست امين (1911102)</v>
      </c>
      <c r="V1420" s="1">
        <v>961700078</v>
      </c>
      <c r="W1420" s="1">
        <v>961700078</v>
      </c>
      <c r="X1420" s="1" t="str">
        <f>"1396506626"</f>
        <v>1396506626</v>
      </c>
      <c r="Y1420" s="1" t="str">
        <f>"96/05/29"</f>
        <v>96/05/29</v>
      </c>
      <c r="Z1420" s="1" t="str">
        <f>"25525/710"</f>
        <v>25525/710</v>
      </c>
      <c r="AA1420" s="1" t="str">
        <f>"راه روستائي -روكش"</f>
        <v>راه روستائي -روكش</v>
      </c>
      <c r="AB1420" s="1" t="str">
        <f>"96/05/25"</f>
        <v>96/05/25</v>
      </c>
      <c r="AC1420" s="1" t="str">
        <f>"خراسان رضوي"</f>
        <v>خراسان رضوي</v>
      </c>
      <c r="AD1420" s="1" t="str">
        <f>"96/05/29"</f>
        <v>96/05/29</v>
      </c>
      <c r="AE1420" s="1" t="str">
        <f>"اختتام"</f>
        <v>اختتام</v>
      </c>
      <c r="AF1420" s="1" t="str">
        <f>""</f>
        <v/>
      </c>
      <c r="AG1420" s="1" t="str">
        <f>""</f>
        <v/>
      </c>
      <c r="AH1420" s="1" t="str">
        <f>""</f>
        <v/>
      </c>
      <c r="AI1420" s="1" t="str">
        <f>""</f>
        <v/>
      </c>
      <c r="AJ1420" s="1" t="str">
        <f>""</f>
        <v/>
      </c>
      <c r="AK1420" s="1" t="str">
        <f>""</f>
        <v/>
      </c>
    </row>
    <row r="1421" spans="1:37">
      <c r="A1421" s="1">
        <v>64109</v>
      </c>
      <c r="B1421" s="1">
        <v>962000380</v>
      </c>
      <c r="C1421" s="1" t="str">
        <f>"تخليه - چهارمحال و بختياري-فارسان-شهرگوجان-5کيلومتري گوجان-شركت   گوجان سازكارخانه آسفالت رضايي"</f>
        <v>تخليه - چهارمحال و بختياري-فارسان-شهرگوجان-5کيلومتري گوجان-شركت   گوجان سازكارخانه آسفالت رضايي</v>
      </c>
      <c r="D1421" s="1">
        <v>12820</v>
      </c>
      <c r="E1421" s="1">
        <v>64109</v>
      </c>
      <c r="F1421" s="1">
        <v>96</v>
      </c>
      <c r="G1421" s="1">
        <v>0</v>
      </c>
      <c r="H1421" s="1" t="str">
        <f>"96/09/19"</f>
        <v>96/09/19</v>
      </c>
      <c r="I1421" s="1" t="str">
        <f>"كيلوگرم"</f>
        <v>كيلوگرم</v>
      </c>
      <c r="J1421" s="1" t="str">
        <f>"1000000002"</f>
        <v>1000000002</v>
      </c>
      <c r="K1421" s="1" t="str">
        <f>"قير 85/100 - فله"</f>
        <v>قير 85/100 - فله</v>
      </c>
      <c r="L1421" s="1">
        <v>100</v>
      </c>
      <c r="M1421" s="1" t="str">
        <f>"مخازن قير اصفهان"</f>
        <v>مخازن قير اصفهان</v>
      </c>
      <c r="N1421" s="1">
        <v>7191</v>
      </c>
      <c r="O1421" s="1">
        <v>50037677</v>
      </c>
      <c r="P1421" s="1" t="str">
        <f>"  شهرداري فارسان"</f>
        <v xml:space="preserve">  شهرداري فارسان</v>
      </c>
      <c r="Q1421" s="1">
        <v>20</v>
      </c>
      <c r="R1421" s="1" t="str">
        <f>"فروش داخلي - سازمان شهرداري ها و دهياري هاي كشور"</f>
        <v>فروش داخلي - سازمان شهرداري ها و دهياري هاي كشور</v>
      </c>
      <c r="S1421" s="1" t="str">
        <f>"قرارداد فروش"</f>
        <v>قرارداد فروش</v>
      </c>
      <c r="T1421" s="1" t="str">
        <f>"ندارد"</f>
        <v>ندارد</v>
      </c>
      <c r="U1421" s="1" t="str">
        <f>"تعاوني جم گستر (1001 ج 89)"</f>
        <v>تعاوني جم گستر (1001 ج 89)</v>
      </c>
      <c r="V1421" s="1">
        <v>962000380</v>
      </c>
      <c r="W1421" s="1">
        <v>962000380</v>
      </c>
      <c r="X1421" s="1" t="str">
        <f>"1396529715"</f>
        <v>1396529715</v>
      </c>
      <c r="Y1421" s="1" t="str">
        <f>"96/09/19"</f>
        <v>96/09/19</v>
      </c>
      <c r="Z1421" s="1" t="str">
        <f>"38541مرحله دوم"</f>
        <v>38541مرحله دوم</v>
      </c>
      <c r="AA1421" s="1" t="str">
        <f>"شهرداريها"</f>
        <v>شهرداريها</v>
      </c>
      <c r="AB1421" s="1" t="str">
        <f>"96/09/11"</f>
        <v>96/09/11</v>
      </c>
      <c r="AC1421" s="1" t="str">
        <f>"استان چهارمحال بختياري"</f>
        <v>استان چهارمحال بختياري</v>
      </c>
      <c r="AD1421" s="1" t="str">
        <f>"96/09/13"</f>
        <v>96/09/13</v>
      </c>
      <c r="AE1421" s="1" t="str">
        <f>"اختتام"</f>
        <v>اختتام</v>
      </c>
      <c r="AF1421" s="1" t="str">
        <f>""</f>
        <v/>
      </c>
      <c r="AG1421" s="1" t="str">
        <f>""</f>
        <v/>
      </c>
      <c r="AH1421" s="1" t="str">
        <f>""</f>
        <v/>
      </c>
      <c r="AI1421" s="1" t="str">
        <f>""</f>
        <v/>
      </c>
      <c r="AJ1421" s="1" t="str">
        <f>""</f>
        <v/>
      </c>
      <c r="AK1421" s="1" t="str">
        <f>""</f>
        <v/>
      </c>
    </row>
    <row r="1422" spans="1:37">
      <c r="A1422" s="1">
        <v>1500000</v>
      </c>
      <c r="B1422" s="1">
        <v>961800048</v>
      </c>
      <c r="C1422" s="1" t="str">
        <f>"تخليه -اصفهان -كيلومتر60جاده نائين -انارك -كارخانه آسفالت شركت فردسازه سپاهان"</f>
        <v>تخليه -اصفهان -كيلومتر60جاده نائين -انارك -كارخانه آسفالت شركت فردسازه سپاهان</v>
      </c>
      <c r="D1422" s="1">
        <v>9363</v>
      </c>
      <c r="E1422" s="1">
        <v>1498100</v>
      </c>
      <c r="F1422" s="1">
        <v>96</v>
      </c>
      <c r="G1422" s="1">
        <v>1900</v>
      </c>
      <c r="H1422" s="1" t="str">
        <f>"96/06/27"</f>
        <v>96/06/27</v>
      </c>
      <c r="I1422" s="1" t="str">
        <f>"كيلوگرم"</f>
        <v>كيلوگرم</v>
      </c>
      <c r="J1422" s="1" t="str">
        <f>"0000000092"</f>
        <v>0000000092</v>
      </c>
      <c r="K1422" s="1" t="str">
        <f>"قير  PG64-16"</f>
        <v>قير  PG64-16</v>
      </c>
      <c r="L1422" s="1">
        <v>100</v>
      </c>
      <c r="M1422" s="1" t="str">
        <f>"مخازن قير اصفهان"</f>
        <v>مخازن قير اصفهان</v>
      </c>
      <c r="N1422" s="1">
        <v>7325</v>
      </c>
      <c r="O1422" s="1">
        <v>50036092</v>
      </c>
      <c r="P1422" s="1" t="str">
        <f>"  فردسازه سپاهان"</f>
        <v xml:space="preserve">  فردسازه سپاهان</v>
      </c>
      <c r="Q1422" s="1">
        <v>18</v>
      </c>
      <c r="R1422" s="1" t="str">
        <f>"فروش داخلي تهران - وزارت راه - شرکت ساخت و توسعه راهها"</f>
        <v>فروش داخلي تهران - وزارت راه - شرکت ساخت و توسعه راهها</v>
      </c>
      <c r="S1422" s="1" t="str">
        <f>"قرارداد فروش"</f>
        <v>قرارداد فروش</v>
      </c>
      <c r="T1422" s="1" t="str">
        <f>"ندارد"</f>
        <v>ندارد</v>
      </c>
      <c r="U1422" s="1" t="str">
        <f>"علي عابدي ابوالقاسم(1003ج89)"</f>
        <v>علي عابدي ابوالقاسم(1003ج89)</v>
      </c>
      <c r="V1422" s="1">
        <v>961800048</v>
      </c>
      <c r="W1422" s="1">
        <v>961800048</v>
      </c>
      <c r="X1422" s="1" t="str">
        <f>"1396513017"</f>
        <v>1396513017</v>
      </c>
      <c r="Y1422" s="1" t="str">
        <f>"96/06/27"</f>
        <v>96/06/27</v>
      </c>
      <c r="Z1422" s="1" t="str">
        <f>"31403/710"</f>
        <v>31403/710</v>
      </c>
      <c r="AA1422" s="1" t="str">
        <f>"شركت  ساخت وتوسعه راهها"</f>
        <v>شركت  ساخت وتوسعه راهها</v>
      </c>
      <c r="AB1422" s="1" t="str">
        <f>"96/06/27"</f>
        <v>96/06/27</v>
      </c>
      <c r="AC1422" s="1" t="str">
        <f>"استان اصفهان"</f>
        <v>استان اصفهان</v>
      </c>
      <c r="AD1422" s="1" t="str">
        <f>"96/06/27"</f>
        <v>96/06/27</v>
      </c>
      <c r="AE1422" s="1" t="str">
        <f>"اختتام"</f>
        <v>اختتام</v>
      </c>
      <c r="AF1422" s="1" t="str">
        <f>""</f>
        <v/>
      </c>
      <c r="AG1422" s="1" t="str">
        <f>""</f>
        <v/>
      </c>
      <c r="AH1422" s="1" t="str">
        <f>""</f>
        <v/>
      </c>
      <c r="AI1422" s="1" t="str">
        <f>""</f>
        <v/>
      </c>
      <c r="AJ1422" s="1" t="str">
        <f>""</f>
        <v/>
      </c>
      <c r="AK1422" s="1" t="str">
        <f>""</f>
        <v/>
      </c>
    </row>
    <row r="1423" spans="1:37">
      <c r="A1423" s="1">
        <v>52829</v>
      </c>
      <c r="B1423" s="1">
        <v>962000362</v>
      </c>
      <c r="C1423" s="1" t="str">
        <f>"تخليه -اصفهان-جاده مبارکه-بروجن معدن شن و ماسه قاميشلو-شرکت تک شن"</f>
        <v>تخليه -اصفهان-جاده مبارکه-بروجن معدن شن و ماسه قاميشلو-شرکت تک شن</v>
      </c>
      <c r="D1423" s="1">
        <v>12820</v>
      </c>
      <c r="E1423" s="1">
        <v>52829</v>
      </c>
      <c r="F1423" s="1">
        <v>96</v>
      </c>
      <c r="G1423" s="1">
        <v>0</v>
      </c>
      <c r="H1423" s="1" t="str">
        <f>"96/09/19"</f>
        <v>96/09/19</v>
      </c>
      <c r="I1423" s="1" t="str">
        <f>"كيلوگرم"</f>
        <v>كيلوگرم</v>
      </c>
      <c r="J1423" s="1" t="str">
        <f>"1000000002"</f>
        <v>1000000002</v>
      </c>
      <c r="K1423" s="1" t="str">
        <f>"قير 85/100 - فله"</f>
        <v>قير 85/100 - فله</v>
      </c>
      <c r="L1423" s="1">
        <v>100</v>
      </c>
      <c r="M1423" s="1" t="str">
        <f>"مخازن قير اصفهان"</f>
        <v>مخازن قير اصفهان</v>
      </c>
      <c r="N1423" s="1">
        <v>7326</v>
      </c>
      <c r="O1423" s="1">
        <v>50037658</v>
      </c>
      <c r="P1423" s="1" t="str">
        <f>"  شهرداري فرادنبه"</f>
        <v xml:space="preserve">  شهرداري فرادنبه</v>
      </c>
      <c r="Q1423" s="1">
        <v>20</v>
      </c>
      <c r="R1423" s="1" t="str">
        <f>"فروش داخلي - سازمان شهرداري ها و دهياري هاي كشور"</f>
        <v>فروش داخلي - سازمان شهرداري ها و دهياري هاي كشور</v>
      </c>
      <c r="S1423" s="1" t="str">
        <f>"قرارداد فروش"</f>
        <v>قرارداد فروش</v>
      </c>
      <c r="T1423" s="1" t="str">
        <f>"ندارد"</f>
        <v>ندارد</v>
      </c>
      <c r="U1423" s="1" t="str">
        <f>"تعاوني جم گستر (1001 ج 89)"</f>
        <v>تعاوني جم گستر (1001 ج 89)</v>
      </c>
      <c r="V1423" s="1">
        <v>962000362</v>
      </c>
      <c r="W1423" s="1">
        <v>962000362</v>
      </c>
      <c r="X1423" s="1" t="str">
        <f>"1396529715"</f>
        <v>1396529715</v>
      </c>
      <c r="Y1423" s="1" t="str">
        <f>"96/09/18"</f>
        <v>96/09/18</v>
      </c>
      <c r="Z1423" s="1" t="str">
        <f>"38476مرحله دوم"</f>
        <v>38476مرحله دوم</v>
      </c>
      <c r="AA1423" s="1" t="str">
        <f>"شهرداريها"</f>
        <v>شهرداريها</v>
      </c>
      <c r="AB1423" s="1" t="str">
        <f>"96/09/11"</f>
        <v>96/09/11</v>
      </c>
      <c r="AC1423" s="1" t="str">
        <f>"استان چهارمحال بختياري"</f>
        <v>استان چهارمحال بختياري</v>
      </c>
      <c r="AD1423" s="1" t="str">
        <f>"96/09/13"</f>
        <v>96/09/13</v>
      </c>
      <c r="AE1423" s="1" t="str">
        <f>"اختتام"</f>
        <v>اختتام</v>
      </c>
      <c r="AF1423" s="1" t="str">
        <f>""</f>
        <v/>
      </c>
      <c r="AG1423" s="1" t="str">
        <f>""</f>
        <v/>
      </c>
      <c r="AH1423" s="1" t="str">
        <f>""</f>
        <v/>
      </c>
      <c r="AI1423" s="1" t="str">
        <f>""</f>
        <v/>
      </c>
      <c r="AJ1423" s="1" t="str">
        <f>""</f>
        <v/>
      </c>
      <c r="AK1423" s="1" t="str">
        <f>""</f>
        <v/>
      </c>
    </row>
    <row r="1424" spans="1:37">
      <c r="A1424" s="1">
        <v>56952</v>
      </c>
      <c r="B1424" s="1">
        <v>962000375</v>
      </c>
      <c r="C1424" s="1" t="str">
        <f>"تخليه - چهارمحال و بختياري - شهرداري هفشجان"</f>
        <v>تخليه - چهارمحال و بختياري - شهرداري هفشجان</v>
      </c>
      <c r="D1424" s="1">
        <v>12820</v>
      </c>
      <c r="E1424" s="1">
        <v>56952</v>
      </c>
      <c r="F1424" s="1">
        <v>96</v>
      </c>
      <c r="G1424" s="1">
        <v>0</v>
      </c>
      <c r="H1424" s="1" t="str">
        <f>"96/09/19"</f>
        <v>96/09/19</v>
      </c>
      <c r="I1424" s="1" t="str">
        <f>"كيلوگرم"</f>
        <v>كيلوگرم</v>
      </c>
      <c r="J1424" s="1" t="str">
        <f>"1000000002"</f>
        <v>1000000002</v>
      </c>
      <c r="K1424" s="1" t="str">
        <f>"قير 85/100 - فله"</f>
        <v>قير 85/100 - فله</v>
      </c>
      <c r="L1424" s="1">
        <v>100</v>
      </c>
      <c r="M1424" s="1" t="str">
        <f>"مخازن قير اصفهان"</f>
        <v>مخازن قير اصفهان</v>
      </c>
      <c r="N1424" s="1">
        <v>7302</v>
      </c>
      <c r="O1424" s="1">
        <v>50037672</v>
      </c>
      <c r="P1424" s="1" t="str">
        <f>"  شهرداري هفشجان"</f>
        <v xml:space="preserve">  شهرداري هفشجان</v>
      </c>
      <c r="Q1424" s="1">
        <v>20</v>
      </c>
      <c r="R1424" s="1" t="str">
        <f>"فروش داخلي - سازمان شهرداري ها و دهياري هاي كشور"</f>
        <v>فروش داخلي - سازمان شهرداري ها و دهياري هاي كشور</v>
      </c>
      <c r="S1424" s="1" t="str">
        <f>"قرارداد فروش"</f>
        <v>قرارداد فروش</v>
      </c>
      <c r="T1424" s="1" t="str">
        <f>"ندارد"</f>
        <v>ندارد</v>
      </c>
      <c r="U1424" s="1" t="str">
        <f>"تعاوني جم گستر (1001 ج 89)"</f>
        <v>تعاوني جم گستر (1001 ج 89)</v>
      </c>
      <c r="V1424" s="1">
        <v>962000375</v>
      </c>
      <c r="W1424" s="1">
        <v>962000375</v>
      </c>
      <c r="X1424" s="1" t="str">
        <f>"1396529715"</f>
        <v>1396529715</v>
      </c>
      <c r="Y1424" s="1" t="str">
        <f>"96/09/19"</f>
        <v>96/09/19</v>
      </c>
      <c r="Z1424" s="1" t="str">
        <f>"38503مرحله دوم"</f>
        <v>38503مرحله دوم</v>
      </c>
      <c r="AA1424" s="1" t="str">
        <f>"شهرداريها"</f>
        <v>شهرداريها</v>
      </c>
      <c r="AB1424" s="1" t="str">
        <f>"96/09/11"</f>
        <v>96/09/11</v>
      </c>
      <c r="AC1424" s="1" t="str">
        <f>"استان چهارمحال بختياري"</f>
        <v>استان چهارمحال بختياري</v>
      </c>
      <c r="AD1424" s="1" t="str">
        <f>"96/09/13"</f>
        <v>96/09/13</v>
      </c>
      <c r="AE1424" s="1" t="str">
        <f>"تاييدشده"</f>
        <v>تاييدشده</v>
      </c>
      <c r="AF1424" s="1" t="str">
        <f>""</f>
        <v/>
      </c>
      <c r="AG1424" s="1" t="str">
        <f>""</f>
        <v/>
      </c>
      <c r="AH1424" s="1" t="str">
        <f>""</f>
        <v/>
      </c>
      <c r="AI1424" s="1" t="str">
        <f>""</f>
        <v/>
      </c>
      <c r="AJ1424" s="1" t="str">
        <f>""</f>
        <v/>
      </c>
      <c r="AK1424" s="1" t="str">
        <f>""</f>
        <v/>
      </c>
    </row>
    <row r="1425" spans="1:37">
      <c r="A1425" s="1">
        <v>132619</v>
      </c>
      <c r="B1425" s="1">
        <v>962000140</v>
      </c>
      <c r="C1425" s="1" t="str">
        <f>"تخليه خراسان جنوبي شهرستان سرايان كارخانه آسفالت شهرداري سرايان"</f>
        <v>تخليه خراسان جنوبي شهرستان سرايان كارخانه آسفالت شهرداري سرايان</v>
      </c>
      <c r="D1425" s="1">
        <v>9113</v>
      </c>
      <c r="E1425" s="1">
        <v>132619</v>
      </c>
      <c r="F1425" s="1">
        <v>96</v>
      </c>
      <c r="G1425" s="1">
        <v>0</v>
      </c>
      <c r="H1425" s="1" t="str">
        <f>"96/07/03"</f>
        <v>96/07/03</v>
      </c>
      <c r="I1425" s="1" t="str">
        <f>"كيلوگرم"</f>
        <v>كيلوگرم</v>
      </c>
      <c r="J1425" s="1" t="str">
        <f>"0000000076"</f>
        <v>0000000076</v>
      </c>
      <c r="K1425" s="1" t="str">
        <f>"قير 60/70 - فله"</f>
        <v>قير 60/70 - فله</v>
      </c>
      <c r="L1425" s="1">
        <v>100</v>
      </c>
      <c r="M1425" s="1" t="str">
        <f>"مخازن قير اصفهان"</f>
        <v>مخازن قير اصفهان</v>
      </c>
      <c r="N1425" s="1">
        <v>10127</v>
      </c>
      <c r="O1425" s="1">
        <v>50036328</v>
      </c>
      <c r="P1425" s="1" t="str">
        <f>"  شهرداري سه قلعه"</f>
        <v xml:space="preserve">  شهرداري سه قلعه</v>
      </c>
      <c r="Q1425" s="1">
        <v>20</v>
      </c>
      <c r="R1425" s="1" t="str">
        <f>"فروش داخلي - سازمان شهرداري ها و دهياري هاي كشور"</f>
        <v>فروش داخلي - سازمان شهرداري ها و دهياري هاي كشور</v>
      </c>
      <c r="S1425" s="1" t="str">
        <f>"قرارداد فروش"</f>
        <v>قرارداد فروش</v>
      </c>
      <c r="T1425" s="1" t="str">
        <f>"ندارد"</f>
        <v>ندارد</v>
      </c>
      <c r="U1425" s="1" t="str">
        <f>"تعاوني جم گستر (1001 ج 89)"</f>
        <v>تعاوني جم گستر (1001 ج 89)</v>
      </c>
      <c r="V1425" s="1">
        <v>962000140</v>
      </c>
      <c r="W1425" s="1">
        <v>962000140</v>
      </c>
      <c r="X1425" s="1" t="str">
        <f>"1396514467"</f>
        <v>1396514467</v>
      </c>
      <c r="Y1425" s="1" t="str">
        <f>"96/07/03"</f>
        <v>96/07/03</v>
      </c>
      <c r="Z1425" s="1" t="str">
        <f>"26725مرحله اول"</f>
        <v>26725مرحله اول</v>
      </c>
      <c r="AA1425" s="1" t="str">
        <f>"شهرداريها"</f>
        <v>شهرداريها</v>
      </c>
      <c r="AB1425" s="1" t="str">
        <f>"96/06/29"</f>
        <v>96/06/29</v>
      </c>
      <c r="AC1425" s="1" t="str">
        <f>"خراسان جنوبي"</f>
        <v>خراسان جنوبي</v>
      </c>
      <c r="AD1425" s="1" t="str">
        <f>"96/07/03"</f>
        <v>96/07/03</v>
      </c>
      <c r="AE1425" s="1" t="str">
        <f>"اختتام"</f>
        <v>اختتام</v>
      </c>
      <c r="AF1425" s="1" t="str">
        <f>""</f>
        <v/>
      </c>
      <c r="AG1425" s="1" t="str">
        <f>""</f>
        <v/>
      </c>
      <c r="AH1425" s="1" t="str">
        <f>""</f>
        <v/>
      </c>
      <c r="AI1425" s="1" t="str">
        <f>""</f>
        <v/>
      </c>
      <c r="AJ1425" s="1" t="str">
        <f>""</f>
        <v/>
      </c>
      <c r="AK1425" s="1" t="str">
        <f>""</f>
        <v/>
      </c>
    </row>
    <row r="1426" spans="1:37">
      <c r="A1426" s="1">
        <v>387000</v>
      </c>
      <c r="B1426" s="1">
        <v>966200144</v>
      </c>
      <c r="C1426" s="1" t="str">
        <f>"تخليه -كرمان -شهرستان ريگان -روستاي عامريه -كارخانه آسفالت عامريه"</f>
        <v>تخليه -كرمان -شهرستان ريگان -روستاي عامريه -كارخانه آسفالت عامريه</v>
      </c>
      <c r="D1426" s="1">
        <v>8704</v>
      </c>
      <c r="E1426" s="1">
        <v>382180</v>
      </c>
      <c r="F1426" s="1">
        <v>96</v>
      </c>
      <c r="G1426" s="1">
        <v>4820</v>
      </c>
      <c r="H1426" s="1" t="str">
        <f>"96/04/31"</f>
        <v>96/04/31</v>
      </c>
      <c r="I1426" s="1" t="str">
        <f>"كيلوگرم"</f>
        <v>كيلوگرم</v>
      </c>
      <c r="J1426" s="1" t="str">
        <f>"0000000076"</f>
        <v>0000000076</v>
      </c>
      <c r="K1426" s="1" t="str">
        <f>"قير 60/70 - فله"</f>
        <v>قير 60/70 - فله</v>
      </c>
      <c r="L1426" s="1">
        <v>100</v>
      </c>
      <c r="M1426" s="1" t="str">
        <f>"مخازن قير اصفهان"</f>
        <v>مخازن قير اصفهان</v>
      </c>
      <c r="N1426" s="1">
        <v>10161</v>
      </c>
      <c r="O1426" s="1">
        <v>50035288</v>
      </c>
      <c r="P1426" s="1" t="str">
        <f>"  محورگسترشرق"</f>
        <v xml:space="preserve">  محورگسترشرق</v>
      </c>
      <c r="Q1426" s="1">
        <v>62</v>
      </c>
      <c r="R1426" s="1" t="str">
        <f>"فروش داخلي - سازمان بنيادمسكن انقلاب اسلامي"</f>
        <v>فروش داخلي - سازمان بنيادمسكن انقلاب اسلامي</v>
      </c>
      <c r="S1426" s="1" t="str">
        <f>"قرارداد فروش"</f>
        <v>قرارداد فروش</v>
      </c>
      <c r="T1426" s="1" t="str">
        <f>"ندارد"</f>
        <v>ندارد</v>
      </c>
      <c r="U1426" s="1" t="str">
        <f>"خضرائي فريدون(4844003)"</f>
        <v>خضرائي فريدون(4844003)</v>
      </c>
      <c r="V1426" s="1">
        <v>966200144</v>
      </c>
      <c r="W1426" s="1">
        <v>966200144</v>
      </c>
      <c r="X1426" s="1" t="str">
        <f>"1396498686"</f>
        <v>1396498686</v>
      </c>
      <c r="Y1426" s="1" t="str">
        <f>"96/04/31"</f>
        <v>96/04/31</v>
      </c>
      <c r="Z1426" s="1" t="str">
        <f>"17319/د"</f>
        <v>17319/د</v>
      </c>
      <c r="AA1426" s="1" t="str">
        <f>"بنيادمسكن انقلاب اسلامي"</f>
        <v>بنيادمسكن انقلاب اسلامي</v>
      </c>
      <c r="AB1426" s="1" t="str">
        <f>"96/04/28"</f>
        <v>96/04/28</v>
      </c>
      <c r="AC1426" s="1" t="str">
        <f>"استان كرمان"</f>
        <v>استان كرمان</v>
      </c>
      <c r="AD1426" s="1" t="str">
        <f>"96/04/31"</f>
        <v>96/04/31</v>
      </c>
      <c r="AE1426" s="1" t="str">
        <f>"اختتام"</f>
        <v>اختتام</v>
      </c>
      <c r="AF1426" s="1" t="str">
        <f>""</f>
        <v/>
      </c>
      <c r="AG1426" s="1" t="str">
        <f>""</f>
        <v/>
      </c>
      <c r="AH1426" s="1" t="str">
        <f>""</f>
        <v/>
      </c>
      <c r="AI1426" s="1" t="str">
        <f>""</f>
        <v/>
      </c>
      <c r="AJ1426" s="1" t="str">
        <f>""</f>
        <v/>
      </c>
      <c r="AK1426" s="1" t="str">
        <f>""</f>
        <v/>
      </c>
    </row>
    <row r="1427" spans="1:37">
      <c r="A1427" s="1">
        <v>600000</v>
      </c>
      <c r="B1427" s="1">
        <v>961700042</v>
      </c>
      <c r="C1427" s="1" t="str">
        <f>"تخليه - ايرانشهر-کارخانه فرآوري قيري بلوچ پاسارگاد"</f>
        <v>تخليه - ايرانشهر-کارخانه فرآوري قيري بلوچ پاسارگاد</v>
      </c>
      <c r="D1427" s="1">
        <v>8904</v>
      </c>
      <c r="E1427" s="1">
        <v>598420</v>
      </c>
      <c r="F1427" s="1">
        <v>96</v>
      </c>
      <c r="G1427" s="1">
        <v>1580</v>
      </c>
      <c r="H1427" s="1" t="str">
        <f>"96/05/10"</f>
        <v>96/05/10</v>
      </c>
      <c r="I1427" s="1" t="str">
        <f>"كيلوگرم"</f>
        <v>كيلوگرم</v>
      </c>
      <c r="J1427" s="1" t="str">
        <f>"0000000092"</f>
        <v>0000000092</v>
      </c>
      <c r="K1427" s="1" t="str">
        <f>"قير  PG64-16"</f>
        <v>قير  PG64-16</v>
      </c>
      <c r="L1427" s="1">
        <v>100</v>
      </c>
      <c r="M1427" s="1" t="str">
        <f>"مخازن قير اصفهان"</f>
        <v>مخازن قير اصفهان</v>
      </c>
      <c r="N1427" s="1">
        <v>8068</v>
      </c>
      <c r="O1427" s="1">
        <v>50035462</v>
      </c>
      <c r="P1427" s="1" t="str">
        <f>"  اداره كل راه وشهرسازي ايرانشهر"</f>
        <v xml:space="preserve">  اداره كل راه وشهرسازي ايرانشهر</v>
      </c>
      <c r="Q1427" s="1">
        <v>17</v>
      </c>
      <c r="R1427" s="1" t="str">
        <f>"فروش داخلي تهران - وزارت راه - راه روستايي - روکش"</f>
        <v>فروش داخلي تهران - وزارت راه - راه روستايي - روکش</v>
      </c>
      <c r="S1427" s="1" t="str">
        <f>"قرارداد فروش"</f>
        <v>قرارداد فروش</v>
      </c>
      <c r="T1427" s="1" t="str">
        <f>"ندارد"</f>
        <v>ندارد</v>
      </c>
      <c r="U1427" s="1" t="str">
        <f>"بلوچ پاسارگاد(5965002)"</f>
        <v>بلوچ پاسارگاد(5965002)</v>
      </c>
      <c r="V1427" s="1">
        <v>961700042</v>
      </c>
      <c r="W1427" s="1">
        <v>961700042</v>
      </c>
      <c r="X1427" s="1" t="str">
        <f>"1396501696"</f>
        <v>1396501696</v>
      </c>
      <c r="Y1427" s="1" t="str">
        <f>"96/05/10"</f>
        <v>96/05/10</v>
      </c>
      <c r="Z1427" s="1" t="str">
        <f>"22146/710"</f>
        <v>22146/710</v>
      </c>
      <c r="AA1427" s="1" t="str">
        <f>"راه روستائي -روكش"</f>
        <v>راه روستائي -روكش</v>
      </c>
      <c r="AB1427" s="1" t="str">
        <f>"96/05/09"</f>
        <v>96/05/09</v>
      </c>
      <c r="AC1427" s="1" t="str">
        <f>"ايرانشهر"</f>
        <v>ايرانشهر</v>
      </c>
      <c r="AD1427" s="1" t="str">
        <f>"96/05/10"</f>
        <v>96/05/10</v>
      </c>
      <c r="AE1427" s="1" t="str">
        <f>"اختتام"</f>
        <v>اختتام</v>
      </c>
      <c r="AF1427" s="1" t="str">
        <f>""</f>
        <v/>
      </c>
      <c r="AG1427" s="1" t="str">
        <f>""</f>
        <v/>
      </c>
      <c r="AH1427" s="1" t="str">
        <f>""</f>
        <v/>
      </c>
      <c r="AI1427" s="1" t="str">
        <f>""</f>
        <v/>
      </c>
      <c r="AJ1427" s="1" t="str">
        <f>""</f>
        <v/>
      </c>
      <c r="AK1427" s="1" t="str">
        <f>""</f>
        <v/>
      </c>
    </row>
    <row r="1428" spans="1:37">
      <c r="A1428" s="1">
        <v>1500000</v>
      </c>
      <c r="B1428" s="1">
        <v>961800007</v>
      </c>
      <c r="C1428" s="1" t="str">
        <f>"تخليه -قزوين -كيلومتر45جاده ساوه -بوئين زهرا-چهارراه خشكرود-رازقان -روبروي رستوران لاله صحرا-كارگاه بنادر"</f>
        <v>تخليه -قزوين -كيلومتر45جاده ساوه -بوئين زهرا-چهارراه خشكرود-رازقان -روبروي رستوران لاله صحرا-كارگاه بنادر</v>
      </c>
      <c r="D1428" s="1">
        <v>8854</v>
      </c>
      <c r="E1428" s="1">
        <v>1498580</v>
      </c>
      <c r="F1428" s="1">
        <v>96</v>
      </c>
      <c r="G1428" s="1">
        <v>1420</v>
      </c>
      <c r="H1428" s="1" t="str">
        <f>"96/04/17"</f>
        <v>96/04/17</v>
      </c>
      <c r="I1428" s="1" t="str">
        <f>"كيلوگرم"</f>
        <v>كيلوگرم</v>
      </c>
      <c r="J1428" s="1" t="str">
        <f>"0000000092"</f>
        <v>0000000092</v>
      </c>
      <c r="K1428" s="1" t="str">
        <f>"قير  PG64-16"</f>
        <v>قير  PG64-16</v>
      </c>
      <c r="L1428" s="1">
        <v>100</v>
      </c>
      <c r="M1428" s="1" t="str">
        <f>"مخازن قير اصفهان"</f>
        <v>مخازن قير اصفهان</v>
      </c>
      <c r="N1428" s="1">
        <v>8072</v>
      </c>
      <c r="O1428" s="1">
        <v>50035121</v>
      </c>
      <c r="P1428" s="1" t="str">
        <f>"  بنادر"</f>
        <v xml:space="preserve">  بنادر</v>
      </c>
      <c r="Q1428" s="1">
        <v>18</v>
      </c>
      <c r="R1428" s="1" t="str">
        <f>"فروش داخلي تهران - وزارت راه - شرکت ساخت و توسعه راهها"</f>
        <v>فروش داخلي تهران - وزارت راه - شرکت ساخت و توسعه راهها</v>
      </c>
      <c r="S1428" s="1" t="str">
        <f>"قرارداد فروش"</f>
        <v>قرارداد فروش</v>
      </c>
      <c r="T1428" s="1" t="str">
        <f>"ندارد"</f>
        <v>ندارد</v>
      </c>
      <c r="U1428" s="1" t="str">
        <f>"عزيزي صفر(1006ج 89)"</f>
        <v>عزيزي صفر(1006ج 89)</v>
      </c>
      <c r="V1428" s="1">
        <v>961800007</v>
      </c>
      <c r="W1428" s="1">
        <v>961800007</v>
      </c>
      <c r="X1428" s="1" t="str">
        <f>"1396494229"</f>
        <v>1396494229</v>
      </c>
      <c r="Y1428" s="1" t="str">
        <f>"96/04/17"</f>
        <v>96/04/17</v>
      </c>
      <c r="Z1428" s="1" t="str">
        <f>"16731/710"</f>
        <v>16731/710</v>
      </c>
      <c r="AA1428" s="1" t="str">
        <f>"شركت  ساخت وتوسعه راهها"</f>
        <v>شركت  ساخت وتوسعه راهها</v>
      </c>
      <c r="AB1428" s="1" t="str">
        <f>"96/04/14"</f>
        <v>96/04/14</v>
      </c>
      <c r="AC1428" s="1" t="str">
        <f>"استان همدان"</f>
        <v>استان همدان</v>
      </c>
      <c r="AD1428" s="1" t="str">
        <f>"96/04/17"</f>
        <v>96/04/17</v>
      </c>
      <c r="AE1428" s="1" t="str">
        <f>"اختتام"</f>
        <v>اختتام</v>
      </c>
      <c r="AF1428" s="1" t="str">
        <f>""</f>
        <v/>
      </c>
      <c r="AG1428" s="1" t="str">
        <f>""</f>
        <v/>
      </c>
      <c r="AH1428" s="1" t="str">
        <f>""</f>
        <v/>
      </c>
      <c r="AI1428" s="1" t="str">
        <f>""</f>
        <v/>
      </c>
      <c r="AJ1428" s="1" t="str">
        <f>""</f>
        <v/>
      </c>
      <c r="AK1428" s="1" t="str">
        <f>""</f>
        <v/>
      </c>
    </row>
    <row r="1429" spans="1:37">
      <c r="A1429" s="1">
        <v>160000</v>
      </c>
      <c r="B1429" s="1">
        <v>966200539</v>
      </c>
      <c r="C1429" s="1" t="str">
        <f>"تخليه -گرگان -جاده گنبد-کيلومتر19-جاده جعفرآباد-کيلومتر1/5شرکت جاويد راه سازان کوثر گلستان"</f>
        <v>تخليه -گرگان -جاده گنبد-کيلومتر19-جاده جعفرآباد-کيلومتر1/5شرکت جاويد راه سازان کوثر گلستان</v>
      </c>
      <c r="D1429" s="1">
        <v>12850</v>
      </c>
      <c r="E1429" s="1">
        <v>159500</v>
      </c>
      <c r="F1429" s="1">
        <v>96</v>
      </c>
      <c r="G1429" s="1">
        <v>500</v>
      </c>
      <c r="H1429" s="1" t="str">
        <f>"96/10/25"</f>
        <v>96/10/25</v>
      </c>
      <c r="I1429" s="1" t="str">
        <f>"كيلوگرم"</f>
        <v>كيلوگرم</v>
      </c>
      <c r="J1429" s="1" t="str">
        <f>"0000000076"</f>
        <v>0000000076</v>
      </c>
      <c r="K1429" s="1" t="str">
        <f>"قير 60/70 - فله"</f>
        <v>قير 60/70 - فله</v>
      </c>
      <c r="L1429" s="1">
        <v>100</v>
      </c>
      <c r="M1429" s="1" t="str">
        <f>"مخازن قير اصفهان"</f>
        <v>مخازن قير اصفهان</v>
      </c>
      <c r="N1429" s="1">
        <v>10226</v>
      </c>
      <c r="O1429" s="1">
        <v>50038190</v>
      </c>
      <c r="P1429" s="1" t="str">
        <f>"  جاويد راه سازان کوثر گلستان"</f>
        <v xml:space="preserve">  جاويد راه سازان کوثر گلستان</v>
      </c>
      <c r="Q1429" s="1">
        <v>62</v>
      </c>
      <c r="R1429" s="1" t="str">
        <f>"فروش داخلي - سازمان بنيادمسكن انقلاب اسلامي"</f>
        <v>فروش داخلي - سازمان بنيادمسكن انقلاب اسلامي</v>
      </c>
      <c r="S1429" s="1" t="str">
        <f>"قرارداد فروش"</f>
        <v>قرارداد فروش</v>
      </c>
      <c r="T1429" s="1" t="str">
        <f>"ندارد"</f>
        <v>ندارد</v>
      </c>
      <c r="U1429" s="1" t="str">
        <f>"شيشه بر كريم(1841016)"</f>
        <v>شيشه بر كريم(1841016)</v>
      </c>
      <c r="V1429" s="1">
        <v>966200539</v>
      </c>
      <c r="W1429" s="1">
        <v>966200539</v>
      </c>
      <c r="X1429" s="1" t="str">
        <f>"1396540147"</f>
        <v>1396540147</v>
      </c>
      <c r="Y1429" s="1" t="str">
        <f>"96/10/25"</f>
        <v>96/10/25</v>
      </c>
      <c r="Z1429" s="1" t="str">
        <f>"47475/د"</f>
        <v>47475/د</v>
      </c>
      <c r="AA1429" s="1" t="str">
        <f>"بنيادمسكن انقلاب اسلامي"</f>
        <v>بنيادمسكن انقلاب اسلامي</v>
      </c>
      <c r="AB1429" s="1" t="str">
        <f>"96/10/24"</f>
        <v>96/10/24</v>
      </c>
      <c r="AC1429" s="1" t="str">
        <f>"استان گلستان"</f>
        <v>استان گلستان</v>
      </c>
      <c r="AD1429" s="1" t="str">
        <f>"96/10/25"</f>
        <v>96/10/25</v>
      </c>
      <c r="AE1429" s="1" t="str">
        <f>"اختتام"</f>
        <v>اختتام</v>
      </c>
      <c r="AF1429" s="1" t="str">
        <f>""</f>
        <v/>
      </c>
      <c r="AG1429" s="1" t="str">
        <f>""</f>
        <v/>
      </c>
      <c r="AH1429" s="1" t="str">
        <f>""</f>
        <v/>
      </c>
      <c r="AI1429" s="1" t="str">
        <f>""</f>
        <v/>
      </c>
      <c r="AJ1429" s="1" t="str">
        <f>""</f>
        <v/>
      </c>
      <c r="AK1429" s="1" t="str">
        <f>""</f>
        <v/>
      </c>
    </row>
    <row r="1430" spans="1:37">
      <c r="A1430" s="1">
        <v>180676</v>
      </c>
      <c r="B1430" s="1">
        <v>962000215</v>
      </c>
      <c r="C1430" s="1" t="str">
        <f>"تخليه -كهكيلويه و بويراحمد-کارخانه آسفالت شهرداري لنده"</f>
        <v>تخليه -كهكيلويه و بويراحمد-کارخانه آسفالت شهرداري لنده</v>
      </c>
      <c r="D1430" s="1">
        <v>9113</v>
      </c>
      <c r="E1430" s="1">
        <v>180676</v>
      </c>
      <c r="F1430" s="1">
        <v>96</v>
      </c>
      <c r="G1430" s="1">
        <v>0</v>
      </c>
      <c r="H1430" s="1" t="str">
        <f>"96/07/03"</f>
        <v>96/07/03</v>
      </c>
      <c r="I1430" s="1" t="str">
        <f>"كيلوگرم"</f>
        <v>كيلوگرم</v>
      </c>
      <c r="J1430" s="1" t="str">
        <f>"0000000076"</f>
        <v>0000000076</v>
      </c>
      <c r="K1430" s="1" t="str">
        <f>"قير 60/70 - فله"</f>
        <v>قير 60/70 - فله</v>
      </c>
      <c r="L1430" s="1">
        <v>100</v>
      </c>
      <c r="M1430" s="1" t="str">
        <f>"مخازن قير اصفهان"</f>
        <v>مخازن قير اصفهان</v>
      </c>
      <c r="N1430" s="1">
        <v>10230</v>
      </c>
      <c r="O1430" s="1">
        <v>50036452</v>
      </c>
      <c r="P1430" s="1" t="str">
        <f>"  شهرداري لنده"</f>
        <v xml:space="preserve">  شهرداري لنده</v>
      </c>
      <c r="Q1430" s="1">
        <v>20</v>
      </c>
      <c r="R1430" s="1" t="str">
        <f>"فروش داخلي - سازمان شهرداري ها و دهياري هاي كشور"</f>
        <v>فروش داخلي - سازمان شهرداري ها و دهياري هاي كشور</v>
      </c>
      <c r="S1430" s="1" t="str">
        <f>"قرارداد فروش"</f>
        <v>قرارداد فروش</v>
      </c>
      <c r="T1430" s="1" t="str">
        <f>"ندارد"</f>
        <v>ندارد</v>
      </c>
      <c r="U1430" s="1" t="str">
        <f>"تعاوني جم گستر (1001 ج 89)"</f>
        <v>تعاوني جم گستر (1001 ج 89)</v>
      </c>
      <c r="V1430" s="1">
        <v>962000215</v>
      </c>
      <c r="W1430" s="1">
        <v>962000215</v>
      </c>
      <c r="X1430" s="1" t="str">
        <f>"1396514467"</f>
        <v>1396514467</v>
      </c>
      <c r="Y1430" s="1" t="str">
        <f>"96/07/03"</f>
        <v>96/07/03</v>
      </c>
      <c r="Z1430" s="1" t="str">
        <f>"26805مرحله اول"</f>
        <v>26805مرحله اول</v>
      </c>
      <c r="AA1430" s="1" t="str">
        <f>"شهرداريها"</f>
        <v>شهرداريها</v>
      </c>
      <c r="AB1430" s="1" t="str">
        <f>"96/06/29"</f>
        <v>96/06/29</v>
      </c>
      <c r="AC1430" s="1" t="str">
        <f>"كهكيلويه و بوير احمد"</f>
        <v>كهكيلويه و بوير احمد</v>
      </c>
      <c r="AD1430" s="1" t="str">
        <f>"96/07/03"</f>
        <v>96/07/03</v>
      </c>
      <c r="AE1430" s="1" t="str">
        <f>"اختتام"</f>
        <v>اختتام</v>
      </c>
      <c r="AF1430" s="1" t="str">
        <f>""</f>
        <v/>
      </c>
      <c r="AG1430" s="1" t="str">
        <f>""</f>
        <v/>
      </c>
      <c r="AH1430" s="1" t="str">
        <f>""</f>
        <v/>
      </c>
      <c r="AI1430" s="1" t="str">
        <f>""</f>
        <v/>
      </c>
      <c r="AJ1430" s="1" t="str">
        <f>""</f>
        <v/>
      </c>
      <c r="AK1430" s="1" t="str">
        <f>""</f>
        <v/>
      </c>
    </row>
    <row r="1431" spans="1:37">
      <c r="A1431" s="1">
        <v>100000</v>
      </c>
      <c r="B1431" s="1">
        <v>966100007</v>
      </c>
      <c r="C1431" s="1" t="str">
        <f>"تخليه -اصفهان -جاده نيك آباد-حسن آباد-كارخانه آسفالت شركت ثمين راه صفاهان"</f>
        <v>تخليه -اصفهان -جاده نيك آباد-حسن آباد-كارخانه آسفالت شركت ثمين راه صفاهان</v>
      </c>
      <c r="D1431" s="1">
        <v>9204</v>
      </c>
      <c r="E1431" s="1">
        <v>100000</v>
      </c>
      <c r="F1431" s="1">
        <v>96</v>
      </c>
      <c r="G1431" s="1">
        <v>0</v>
      </c>
      <c r="H1431" s="1" t="str">
        <f>"96/06/07"</f>
        <v>96/06/07</v>
      </c>
      <c r="I1431" s="1" t="str">
        <f>"كيلوگرم"</f>
        <v>كيلوگرم</v>
      </c>
      <c r="J1431" s="1" t="str">
        <f>"0000000092"</f>
        <v>0000000092</v>
      </c>
      <c r="K1431" s="1" t="str">
        <f>"قير  PG64-16"</f>
        <v>قير  PG64-16</v>
      </c>
      <c r="L1431" s="1">
        <v>100</v>
      </c>
      <c r="M1431" s="1" t="str">
        <f>"مخازن قير اصفهان"</f>
        <v>مخازن قير اصفهان</v>
      </c>
      <c r="N1431" s="1">
        <v>8091</v>
      </c>
      <c r="O1431" s="1">
        <v>50035855</v>
      </c>
      <c r="P1431" s="1" t="str">
        <f>"  اداره كل راه وشهرسازي اصفهان"</f>
        <v xml:space="preserve">  اداره كل راه وشهرسازي اصفهان</v>
      </c>
      <c r="Q1431" s="1">
        <v>61</v>
      </c>
      <c r="R1431" s="1" t="str">
        <f>"فروش داخلي - وزارت راه - مسكن مهر"</f>
        <v>فروش داخلي - وزارت راه - مسكن مهر</v>
      </c>
      <c r="S1431" s="1" t="str">
        <f>"قرارداد فروش"</f>
        <v>قرارداد فروش</v>
      </c>
      <c r="T1431" s="1" t="str">
        <f>"ندارد"</f>
        <v>ندارد</v>
      </c>
      <c r="U1431" s="1" t="str">
        <f>"سيفي پور عبدالمجيد(1009ج89)"</f>
        <v>سيفي پور عبدالمجيد(1009ج89)</v>
      </c>
      <c r="V1431" s="1">
        <v>966100007</v>
      </c>
      <c r="W1431" s="1">
        <v>966100007</v>
      </c>
      <c r="X1431" s="1" t="str">
        <f>"1396508614"</f>
        <v>1396508614</v>
      </c>
      <c r="Y1431" s="1" t="str">
        <f>"96/06/07"</f>
        <v>96/06/07</v>
      </c>
      <c r="Z1431" s="1" t="str">
        <f>"27659/710"</f>
        <v>27659/710</v>
      </c>
      <c r="AA1431" s="1" t="str">
        <f>"مسكن مهر-وزارت راه"</f>
        <v>مسكن مهر-وزارت راه</v>
      </c>
      <c r="AB1431" s="1" t="str">
        <f>"96/06/06"</f>
        <v>96/06/06</v>
      </c>
      <c r="AC1431" s="1" t="str">
        <f>"استان اصفهان"</f>
        <v>استان اصفهان</v>
      </c>
      <c r="AD1431" s="1" t="str">
        <f>"96/06/07"</f>
        <v>96/06/07</v>
      </c>
      <c r="AE1431" s="1" t="str">
        <f>"اختتام"</f>
        <v>اختتام</v>
      </c>
      <c r="AF1431" s="1" t="str">
        <f>""</f>
        <v/>
      </c>
      <c r="AG1431" s="1" t="str">
        <f>""</f>
        <v/>
      </c>
      <c r="AH1431" s="1" t="str">
        <f>""</f>
        <v/>
      </c>
      <c r="AI1431" s="1" t="str">
        <f>""</f>
        <v/>
      </c>
      <c r="AJ1431" s="1" t="str">
        <f>""</f>
        <v/>
      </c>
      <c r="AK1431" s="1" t="str">
        <f>""</f>
        <v/>
      </c>
    </row>
    <row r="1432" spans="1:37">
      <c r="A1432" s="1">
        <v>100000</v>
      </c>
      <c r="B1432" s="1">
        <v>966100010</v>
      </c>
      <c r="C1432" s="1" t="str">
        <f>"تخليه - اصفهان -کارخانه شرکت گل راه نقش جهان"</f>
        <v>تخليه - اصفهان -کارخانه شرکت گل راه نقش جهان</v>
      </c>
      <c r="D1432" s="1">
        <v>9204</v>
      </c>
      <c r="E1432" s="1">
        <v>100000</v>
      </c>
      <c r="F1432" s="1">
        <v>96</v>
      </c>
      <c r="G1432" s="1">
        <v>0</v>
      </c>
      <c r="H1432" s="1" t="str">
        <f>"96/06/07"</f>
        <v>96/06/07</v>
      </c>
      <c r="I1432" s="1" t="str">
        <f>"كيلوگرم"</f>
        <v>كيلوگرم</v>
      </c>
      <c r="J1432" s="1" t="str">
        <f>"0000000092"</f>
        <v>0000000092</v>
      </c>
      <c r="K1432" s="1" t="str">
        <f>"قير  PG64-16"</f>
        <v>قير  PG64-16</v>
      </c>
      <c r="L1432" s="1">
        <v>100</v>
      </c>
      <c r="M1432" s="1" t="str">
        <f>"مخازن قير اصفهان"</f>
        <v>مخازن قير اصفهان</v>
      </c>
      <c r="N1432" s="1">
        <v>8091</v>
      </c>
      <c r="O1432" s="1">
        <v>50035859</v>
      </c>
      <c r="P1432" s="1" t="str">
        <f>"  اداره كل راه وشهرسازي اصفهان"</f>
        <v xml:space="preserve">  اداره كل راه وشهرسازي اصفهان</v>
      </c>
      <c r="Q1432" s="1">
        <v>61</v>
      </c>
      <c r="R1432" s="1" t="str">
        <f>"فروش داخلي - وزارت راه - مسكن مهر"</f>
        <v>فروش داخلي - وزارت راه - مسكن مهر</v>
      </c>
      <c r="S1432" s="1" t="str">
        <f>"قرارداد فروش"</f>
        <v>قرارداد فروش</v>
      </c>
      <c r="T1432" s="1" t="str">
        <f>"ندارد"</f>
        <v>ندارد</v>
      </c>
      <c r="U1432" s="1" t="str">
        <f>"علي عابدي ابوالقاسم(1003ج89)"</f>
        <v>علي عابدي ابوالقاسم(1003ج89)</v>
      </c>
      <c r="V1432" s="1">
        <v>966100010</v>
      </c>
      <c r="W1432" s="1">
        <v>966100010</v>
      </c>
      <c r="X1432" s="1" t="str">
        <f>"1396508614"</f>
        <v>1396508614</v>
      </c>
      <c r="Y1432" s="1" t="str">
        <f>"96/06/07"</f>
        <v>96/06/07</v>
      </c>
      <c r="Z1432" s="1" t="str">
        <f>"27668/710"</f>
        <v>27668/710</v>
      </c>
      <c r="AA1432" s="1" t="str">
        <f>"مسكن مهر-وزارت راه"</f>
        <v>مسكن مهر-وزارت راه</v>
      </c>
      <c r="AB1432" s="1" t="str">
        <f>"96/06/06"</f>
        <v>96/06/06</v>
      </c>
      <c r="AC1432" s="1" t="str">
        <f>"استان اصفهان"</f>
        <v>استان اصفهان</v>
      </c>
      <c r="AD1432" s="1" t="str">
        <f>"96/06/07"</f>
        <v>96/06/07</v>
      </c>
      <c r="AE1432" s="1" t="str">
        <f>"اختتام"</f>
        <v>اختتام</v>
      </c>
      <c r="AF1432" s="1" t="str">
        <f>""</f>
        <v/>
      </c>
      <c r="AG1432" s="1" t="str">
        <f>""</f>
        <v/>
      </c>
      <c r="AH1432" s="1" t="str">
        <f>""</f>
        <v/>
      </c>
      <c r="AI1432" s="1" t="str">
        <f>""</f>
        <v/>
      </c>
      <c r="AJ1432" s="1" t="str">
        <f>""</f>
        <v/>
      </c>
      <c r="AK1432" s="1" t="str">
        <f>""</f>
        <v/>
      </c>
    </row>
    <row r="1433" spans="1:37">
      <c r="A1433" s="1">
        <v>650000</v>
      </c>
      <c r="B1433" s="1">
        <v>966100013</v>
      </c>
      <c r="C1433" s="1" t="str">
        <f>"تخليه - اصفهان -کارخانه شرکت گل راه نقش جهان"</f>
        <v>تخليه - اصفهان -کارخانه شرکت گل راه نقش جهان</v>
      </c>
      <c r="D1433" s="1">
        <v>9363</v>
      </c>
      <c r="E1433" s="1">
        <v>649360</v>
      </c>
      <c r="F1433" s="1">
        <v>96</v>
      </c>
      <c r="G1433" s="1">
        <v>640</v>
      </c>
      <c r="H1433" s="1" t="str">
        <f>"96/06/07"</f>
        <v>96/06/07</v>
      </c>
      <c r="I1433" s="1" t="str">
        <f>"كيلوگرم"</f>
        <v>كيلوگرم</v>
      </c>
      <c r="J1433" s="1" t="str">
        <f>"0000000092"</f>
        <v>0000000092</v>
      </c>
      <c r="K1433" s="1" t="str">
        <f>"قير  PG64-16"</f>
        <v>قير  PG64-16</v>
      </c>
      <c r="L1433" s="1">
        <v>100</v>
      </c>
      <c r="M1433" s="1" t="str">
        <f>"مخازن قير اصفهان"</f>
        <v>مخازن قير اصفهان</v>
      </c>
      <c r="N1433" s="1">
        <v>8091</v>
      </c>
      <c r="O1433" s="1">
        <v>50035862</v>
      </c>
      <c r="P1433" s="1" t="str">
        <f>"  اداره كل راه وشهرسازي اصفهان"</f>
        <v xml:space="preserve">  اداره كل راه وشهرسازي اصفهان</v>
      </c>
      <c r="Q1433" s="1">
        <v>61</v>
      </c>
      <c r="R1433" s="1" t="str">
        <f>"فروش داخلي - وزارت راه - مسكن مهر"</f>
        <v>فروش داخلي - وزارت راه - مسكن مهر</v>
      </c>
      <c r="S1433" s="1" t="str">
        <f>"قرارداد فروش"</f>
        <v>قرارداد فروش</v>
      </c>
      <c r="T1433" s="1" t="str">
        <f>"ندارد"</f>
        <v>ندارد</v>
      </c>
      <c r="U1433" s="1" t="str">
        <f>"علي عابدي ابوالقاسم(1003ج89)"</f>
        <v>علي عابدي ابوالقاسم(1003ج89)</v>
      </c>
      <c r="V1433" s="1">
        <v>966100013</v>
      </c>
      <c r="W1433" s="1">
        <v>966100013</v>
      </c>
      <c r="X1433" s="1" t="str">
        <f>"1396508614"</f>
        <v>1396508614</v>
      </c>
      <c r="Y1433" s="1" t="str">
        <f>"96/06/07"</f>
        <v>96/06/07</v>
      </c>
      <c r="Z1433" s="1" t="str">
        <f>"27656/710"</f>
        <v>27656/710</v>
      </c>
      <c r="AA1433" s="1" t="str">
        <f>"مسكن مهر-وزارت راه"</f>
        <v>مسكن مهر-وزارت راه</v>
      </c>
      <c r="AB1433" s="1" t="str">
        <f>"96/06/06"</f>
        <v>96/06/06</v>
      </c>
      <c r="AC1433" s="1" t="str">
        <f>"استان اصفهان"</f>
        <v>استان اصفهان</v>
      </c>
      <c r="AD1433" s="1" t="str">
        <f>"96/06/07"</f>
        <v>96/06/07</v>
      </c>
      <c r="AE1433" s="1" t="str">
        <f>"اختتام"</f>
        <v>اختتام</v>
      </c>
      <c r="AF1433" s="1" t="str">
        <f>""</f>
        <v/>
      </c>
      <c r="AG1433" s="1" t="str">
        <f>""</f>
        <v/>
      </c>
      <c r="AH1433" s="1" t="str">
        <f>""</f>
        <v/>
      </c>
      <c r="AI1433" s="1" t="str">
        <f>""</f>
        <v/>
      </c>
      <c r="AJ1433" s="1" t="str">
        <f>""</f>
        <v/>
      </c>
      <c r="AK1433" s="1" t="str">
        <f>""</f>
        <v/>
      </c>
    </row>
    <row r="1434" spans="1:37">
      <c r="A1434" s="1">
        <v>50000</v>
      </c>
      <c r="B1434" s="1">
        <v>966100014</v>
      </c>
      <c r="C1434" s="1" t="str">
        <f>"تخليه -اصفهان ارغوانيه گردنه زينل بعدازكودآلي سمت راست كارخانه آسفالت كاشمر"</f>
        <v>تخليه -اصفهان ارغوانيه گردنه زينل بعدازكودآلي سمت راست كارخانه آسفالت كاشمر</v>
      </c>
      <c r="D1434" s="1">
        <v>9204</v>
      </c>
      <c r="E1434" s="1">
        <v>50000</v>
      </c>
      <c r="F1434" s="1">
        <v>96</v>
      </c>
      <c r="G1434" s="1">
        <v>0</v>
      </c>
      <c r="H1434" s="1" t="str">
        <f>"96/06/07"</f>
        <v>96/06/07</v>
      </c>
      <c r="I1434" s="1" t="str">
        <f>"كيلوگرم"</f>
        <v>كيلوگرم</v>
      </c>
      <c r="J1434" s="1" t="str">
        <f>"0000000092"</f>
        <v>0000000092</v>
      </c>
      <c r="K1434" s="1" t="str">
        <f>"قير  PG64-16"</f>
        <v>قير  PG64-16</v>
      </c>
      <c r="L1434" s="1">
        <v>100</v>
      </c>
      <c r="M1434" s="1" t="str">
        <f>"مخازن قير اصفهان"</f>
        <v>مخازن قير اصفهان</v>
      </c>
      <c r="N1434" s="1">
        <v>8091</v>
      </c>
      <c r="O1434" s="1">
        <v>50035863</v>
      </c>
      <c r="P1434" s="1" t="str">
        <f>"  اداره كل راه وشهرسازي اصفهان"</f>
        <v xml:space="preserve">  اداره كل راه وشهرسازي اصفهان</v>
      </c>
      <c r="Q1434" s="1">
        <v>61</v>
      </c>
      <c r="R1434" s="1" t="str">
        <f>"فروش داخلي - وزارت راه - مسكن مهر"</f>
        <v>فروش داخلي - وزارت راه - مسكن مهر</v>
      </c>
      <c r="S1434" s="1" t="str">
        <f>"قرارداد فروش"</f>
        <v>قرارداد فروش</v>
      </c>
      <c r="T1434" s="1" t="str">
        <f>"ندارد"</f>
        <v>ندارد</v>
      </c>
      <c r="U1434" s="1" t="str">
        <f>"معماريان سعيد(1004ج89)"</f>
        <v>معماريان سعيد(1004ج89)</v>
      </c>
      <c r="V1434" s="1">
        <v>966100014</v>
      </c>
      <c r="W1434" s="1">
        <v>966100014</v>
      </c>
      <c r="X1434" s="1" t="str">
        <f>"1396508614"</f>
        <v>1396508614</v>
      </c>
      <c r="Y1434" s="1" t="str">
        <f>"96/06/07"</f>
        <v>96/06/07</v>
      </c>
      <c r="Z1434" s="1" t="str">
        <f>"27658/710"</f>
        <v>27658/710</v>
      </c>
      <c r="AA1434" s="1" t="str">
        <f>"مسكن مهر-وزارت راه"</f>
        <v>مسكن مهر-وزارت راه</v>
      </c>
      <c r="AB1434" s="1" t="str">
        <f>"96/06/06"</f>
        <v>96/06/06</v>
      </c>
      <c r="AC1434" s="1" t="str">
        <f>"استان اصفهان"</f>
        <v>استان اصفهان</v>
      </c>
      <c r="AD1434" s="1" t="str">
        <f>"96/06/07"</f>
        <v>96/06/07</v>
      </c>
      <c r="AE1434" s="1" t="str">
        <f>"اختتام"</f>
        <v>اختتام</v>
      </c>
      <c r="AF1434" s="1" t="str">
        <f>""</f>
        <v/>
      </c>
      <c r="AG1434" s="1" t="str">
        <f>""</f>
        <v/>
      </c>
      <c r="AH1434" s="1" t="str">
        <f>""</f>
        <v/>
      </c>
      <c r="AI1434" s="1" t="str">
        <f>""</f>
        <v/>
      </c>
      <c r="AJ1434" s="1" t="str">
        <f>""</f>
        <v/>
      </c>
      <c r="AK1434" s="1" t="str">
        <f>""</f>
        <v/>
      </c>
    </row>
    <row r="1435" spans="1:37">
      <c r="A1435" s="1">
        <v>80000</v>
      </c>
      <c r="B1435" s="1">
        <v>961700184</v>
      </c>
      <c r="C1435" s="1" t="str">
        <f>"تخليه - اصفهان -کارخانه شرکت گل راه نقش جهان"</f>
        <v>تخليه - اصفهان -کارخانه شرکت گل راه نقش جهان</v>
      </c>
      <c r="D1435" s="1">
        <v>14000</v>
      </c>
      <c r="E1435" s="1">
        <v>80000</v>
      </c>
      <c r="F1435" s="1">
        <v>96</v>
      </c>
      <c r="G1435" s="1">
        <v>0</v>
      </c>
      <c r="H1435" s="1" t="str">
        <f>"96/12/22"</f>
        <v>96/12/22</v>
      </c>
      <c r="I1435" s="1" t="str">
        <f>"كيلوگرم"</f>
        <v>كيلوگرم</v>
      </c>
      <c r="J1435" s="1" t="str">
        <f>"0000000092"</f>
        <v>0000000092</v>
      </c>
      <c r="K1435" s="1" t="str">
        <f>"قير  PG64-16"</f>
        <v>قير  PG64-16</v>
      </c>
      <c r="L1435" s="1">
        <v>100</v>
      </c>
      <c r="M1435" s="1" t="str">
        <f>"مخازن قير اصفهان"</f>
        <v>مخازن قير اصفهان</v>
      </c>
      <c r="N1435" s="1">
        <v>8091</v>
      </c>
      <c r="O1435" s="1">
        <v>50038909</v>
      </c>
      <c r="P1435" s="1" t="str">
        <f>"  اداره كل راه وشهرسازي اصفهان"</f>
        <v xml:space="preserve">  اداره كل راه وشهرسازي اصفهان</v>
      </c>
      <c r="Q1435" s="1">
        <v>17</v>
      </c>
      <c r="R1435" s="1" t="str">
        <f>"فروش داخلي تهران - وزارت راه - راه روستايي - روکش"</f>
        <v>فروش داخلي تهران - وزارت راه - راه روستايي - روکش</v>
      </c>
      <c r="S1435" s="1" t="str">
        <f>"قرارداد فروش"</f>
        <v>قرارداد فروش</v>
      </c>
      <c r="T1435" s="1" t="str">
        <f>"ندارد"</f>
        <v>ندارد</v>
      </c>
      <c r="U1435" s="1" t="str">
        <f>"علي عابدي ابوالقاسم(1003ج89)"</f>
        <v>علي عابدي ابوالقاسم(1003ج89)</v>
      </c>
      <c r="V1435" s="1">
        <v>961700184</v>
      </c>
      <c r="W1435" s="1">
        <v>961700184</v>
      </c>
      <c r="X1435" s="1" t="str">
        <f>"1396553913"</f>
        <v>1396553913</v>
      </c>
      <c r="Y1435" s="1" t="str">
        <f>"96/12/22"</f>
        <v>96/12/22</v>
      </c>
      <c r="Z1435" s="1" t="str">
        <f>"284109/710"</f>
        <v>284109/710</v>
      </c>
      <c r="AA1435" s="1" t="str">
        <f>"راه روستائي -روكش"</f>
        <v>راه روستائي -روكش</v>
      </c>
      <c r="AB1435" s="1" t="str">
        <f>"96/11/17"</f>
        <v>96/11/17</v>
      </c>
      <c r="AC1435" s="1" t="str">
        <f>"استان اصفهان"</f>
        <v>استان اصفهان</v>
      </c>
      <c r="AD1435" s="1" t="str">
        <f>"96/12/20"</f>
        <v>96/12/20</v>
      </c>
      <c r="AE1435" s="1" t="str">
        <f>"اختتام"</f>
        <v>اختتام</v>
      </c>
      <c r="AF1435" s="1" t="str">
        <f>""</f>
        <v/>
      </c>
      <c r="AG1435" s="1" t="str">
        <f>""</f>
        <v/>
      </c>
      <c r="AH1435" s="1" t="str">
        <f>""</f>
        <v/>
      </c>
      <c r="AI1435" s="1" t="str">
        <f>""</f>
        <v/>
      </c>
      <c r="AJ1435" s="1" t="str">
        <f>""</f>
        <v/>
      </c>
      <c r="AK1435" s="1" t="str">
        <f>""</f>
        <v/>
      </c>
    </row>
    <row r="1436" spans="1:37">
      <c r="A1436" s="1">
        <v>73000</v>
      </c>
      <c r="B1436" s="1">
        <v>961700192</v>
      </c>
      <c r="C1436" s="1" t="str">
        <f>"تخليه - اصفهان -کارخانه شرکت گل راه نقش جهان"</f>
        <v>تخليه - اصفهان -کارخانه شرکت گل راه نقش جهان</v>
      </c>
      <c r="D1436" s="1">
        <v>13100</v>
      </c>
      <c r="E1436" s="1">
        <v>73000</v>
      </c>
      <c r="F1436" s="1">
        <v>96</v>
      </c>
      <c r="G1436" s="1">
        <v>0</v>
      </c>
      <c r="H1436" s="1" t="str">
        <f>"96/12/22"</f>
        <v>96/12/22</v>
      </c>
      <c r="I1436" s="1" t="str">
        <f>"كيلوگرم"</f>
        <v>كيلوگرم</v>
      </c>
      <c r="J1436" s="1" t="str">
        <f>"0000000092"</f>
        <v>0000000092</v>
      </c>
      <c r="K1436" s="1" t="str">
        <f>"قير  PG64-16"</f>
        <v>قير  PG64-16</v>
      </c>
      <c r="L1436" s="1">
        <v>100</v>
      </c>
      <c r="M1436" s="1" t="str">
        <f>"مخازن قير اصفهان"</f>
        <v>مخازن قير اصفهان</v>
      </c>
      <c r="N1436" s="1">
        <v>8091</v>
      </c>
      <c r="O1436" s="1">
        <v>50038925</v>
      </c>
      <c r="P1436" s="1" t="str">
        <f>"  اداره كل راه وشهرسازي اصفهان"</f>
        <v xml:space="preserve">  اداره كل راه وشهرسازي اصفهان</v>
      </c>
      <c r="Q1436" s="1">
        <v>17</v>
      </c>
      <c r="R1436" s="1" t="str">
        <f>"فروش داخلي تهران - وزارت راه - راه روستايي - روکش"</f>
        <v>فروش داخلي تهران - وزارت راه - راه روستايي - روکش</v>
      </c>
      <c r="S1436" s="1" t="str">
        <f>"قرارداد فروش"</f>
        <v>قرارداد فروش</v>
      </c>
      <c r="T1436" s="1" t="str">
        <f>"ندارد"</f>
        <v>ندارد</v>
      </c>
      <c r="U1436" s="1" t="str">
        <f>"علي عابدي ابوالقاسم(1003ج89)"</f>
        <v>علي عابدي ابوالقاسم(1003ج89)</v>
      </c>
      <c r="V1436" s="1">
        <v>961700192</v>
      </c>
      <c r="W1436" s="1">
        <v>961700192</v>
      </c>
      <c r="X1436" s="1" t="str">
        <f>"1396553913"</f>
        <v>1396553913</v>
      </c>
      <c r="Y1436" s="1" t="str">
        <f>"96/12/22"</f>
        <v>96/12/22</v>
      </c>
      <c r="Z1436" s="1" t="str">
        <f>"284680/710"</f>
        <v>284680/710</v>
      </c>
      <c r="AA1436" s="1" t="str">
        <f>"راه روستائي -روكش"</f>
        <v>راه روستائي -روكش</v>
      </c>
      <c r="AB1436" s="1" t="str">
        <f>"96/11/18"</f>
        <v>96/11/18</v>
      </c>
      <c r="AC1436" s="1" t="str">
        <f>"استان اصفهان"</f>
        <v>استان اصفهان</v>
      </c>
      <c r="AD1436" s="1" t="str">
        <f>"96/12/20"</f>
        <v>96/12/20</v>
      </c>
      <c r="AE1436" s="1" t="str">
        <f>"اختتام"</f>
        <v>اختتام</v>
      </c>
      <c r="AF1436" s="1" t="str">
        <f>""</f>
        <v/>
      </c>
      <c r="AG1436" s="1" t="str">
        <f>""</f>
        <v/>
      </c>
      <c r="AH1436" s="1" t="str">
        <f>""</f>
        <v/>
      </c>
      <c r="AI1436" s="1" t="str">
        <f>""</f>
        <v/>
      </c>
      <c r="AJ1436" s="1" t="str">
        <f>""</f>
        <v/>
      </c>
      <c r="AK1436" s="1" t="str">
        <f>""</f>
        <v/>
      </c>
    </row>
    <row r="1437" spans="1:37">
      <c r="A1437" s="1">
        <v>110000</v>
      </c>
      <c r="B1437" s="1">
        <v>961700202</v>
      </c>
      <c r="C1437" s="1" t="str">
        <f>"تخليه-اصفهان-پليمرراه هشت بهشت"</f>
        <v>تخليه-اصفهان-پليمرراه هشت بهشت</v>
      </c>
      <c r="D1437" s="1">
        <v>14000</v>
      </c>
      <c r="E1437" s="1">
        <v>106480</v>
      </c>
      <c r="F1437" s="1">
        <v>96</v>
      </c>
      <c r="G1437" s="1">
        <v>3520</v>
      </c>
      <c r="H1437" s="1" t="str">
        <f>"96/12/23"</f>
        <v>96/12/23</v>
      </c>
      <c r="I1437" s="1" t="str">
        <f>"كيلوگرم"</f>
        <v>كيلوگرم</v>
      </c>
      <c r="J1437" s="1" t="str">
        <f>"0000000092"</f>
        <v>0000000092</v>
      </c>
      <c r="K1437" s="1" t="str">
        <f>"قير  PG64-16"</f>
        <v>قير  PG64-16</v>
      </c>
      <c r="L1437" s="1">
        <v>100</v>
      </c>
      <c r="M1437" s="1" t="str">
        <f>"مخازن قير اصفهان"</f>
        <v>مخازن قير اصفهان</v>
      </c>
      <c r="N1437" s="1">
        <v>8091</v>
      </c>
      <c r="O1437" s="1">
        <v>50038940</v>
      </c>
      <c r="P1437" s="1" t="str">
        <f>"  اداره كل راه وشهرسازي اصفهان"</f>
        <v xml:space="preserve">  اداره كل راه وشهرسازي اصفهان</v>
      </c>
      <c r="Q1437" s="1">
        <v>17</v>
      </c>
      <c r="R1437" s="1" t="str">
        <f>"فروش داخلي تهران - وزارت راه - راه روستايي - روکش"</f>
        <v>فروش داخلي تهران - وزارت راه - راه روستايي - روکش</v>
      </c>
      <c r="S1437" s="1" t="str">
        <f>"قرارداد فروش"</f>
        <v>قرارداد فروش</v>
      </c>
      <c r="T1437" s="1" t="str">
        <f>"ندارد"</f>
        <v>ندارد</v>
      </c>
      <c r="U1437" s="1" t="str">
        <f>"ريسماني حسن(1007ج89)"</f>
        <v>ريسماني حسن(1007ج89)</v>
      </c>
      <c r="V1437" s="1">
        <v>961700202</v>
      </c>
      <c r="W1437" s="1">
        <v>961700202</v>
      </c>
      <c r="X1437" s="1" t="str">
        <f>"1396553913"</f>
        <v>1396553913</v>
      </c>
      <c r="Y1437" s="1" t="str">
        <f>"96/12/23"</f>
        <v>96/12/23</v>
      </c>
      <c r="Z1437" s="1" t="str">
        <f>"287101/710"</f>
        <v>287101/710</v>
      </c>
      <c r="AA1437" s="1" t="str">
        <f>"راه روستائي -روكش"</f>
        <v>راه روستائي -روكش</v>
      </c>
      <c r="AB1437" s="1" t="str">
        <f>"96/11/25"</f>
        <v>96/11/25</v>
      </c>
      <c r="AC1437" s="1" t="str">
        <f>"استان اصفهان"</f>
        <v>استان اصفهان</v>
      </c>
      <c r="AD1437" s="1" t="str">
        <f>"96/12/20"</f>
        <v>96/12/20</v>
      </c>
      <c r="AE1437" s="1" t="str">
        <f>"اختتام"</f>
        <v>اختتام</v>
      </c>
      <c r="AF1437" s="1" t="str">
        <f>""</f>
        <v/>
      </c>
      <c r="AG1437" s="1" t="str">
        <f>""</f>
        <v/>
      </c>
      <c r="AH1437" s="1" t="str">
        <f>""</f>
        <v/>
      </c>
      <c r="AI1437" s="1" t="str">
        <f>""</f>
        <v/>
      </c>
      <c r="AJ1437" s="1" t="str">
        <f>""</f>
        <v/>
      </c>
      <c r="AK1437" s="1" t="str">
        <f>""</f>
        <v/>
      </c>
    </row>
    <row r="1438" spans="1:37">
      <c r="A1438" s="1">
        <v>183000</v>
      </c>
      <c r="B1438" s="1">
        <v>961700246</v>
      </c>
      <c r="C1438" s="1" t="str">
        <f>"تخليه-اصفهان-شرکت افق راه ماندگار"</f>
        <v>تخليه-اصفهان-شرکت افق راه ماندگار</v>
      </c>
      <c r="D1438" s="1">
        <v>15810</v>
      </c>
      <c r="E1438" s="1">
        <v>183000</v>
      </c>
      <c r="F1438" s="1">
        <v>96</v>
      </c>
      <c r="G1438" s="1">
        <v>0</v>
      </c>
      <c r="H1438" s="1" t="str">
        <f>"96/12/26"</f>
        <v>96/12/26</v>
      </c>
      <c r="I1438" s="1" t="str">
        <f>"كيلوگرم"</f>
        <v>كيلوگرم</v>
      </c>
      <c r="J1438" s="1" t="str">
        <f>"0000000092"</f>
        <v>0000000092</v>
      </c>
      <c r="K1438" s="1" t="str">
        <f>"قير  PG64-16"</f>
        <v>قير  PG64-16</v>
      </c>
      <c r="L1438" s="1">
        <v>100</v>
      </c>
      <c r="M1438" s="1" t="str">
        <f>"مخازن قير اصفهان"</f>
        <v>مخازن قير اصفهان</v>
      </c>
      <c r="N1438" s="1">
        <v>8091</v>
      </c>
      <c r="O1438" s="1">
        <v>50039043</v>
      </c>
      <c r="P1438" s="1" t="str">
        <f>"  اداره كل راه وشهرسازي اصفهان"</f>
        <v xml:space="preserve">  اداره كل راه وشهرسازي اصفهان</v>
      </c>
      <c r="Q1438" s="1">
        <v>17</v>
      </c>
      <c r="R1438" s="1" t="str">
        <f>"فروش داخلي تهران - وزارت راه - راه روستايي - روکش"</f>
        <v>فروش داخلي تهران - وزارت راه - راه روستايي - روکش</v>
      </c>
      <c r="S1438" s="1" t="str">
        <f>"قرارداد فروش"</f>
        <v>قرارداد فروش</v>
      </c>
      <c r="T1438" s="1" t="str">
        <f>"ندارد"</f>
        <v>ندارد</v>
      </c>
      <c r="U1438" s="1" t="str">
        <f>"عزيزي صفر(1006ج 89)"</f>
        <v>عزيزي صفر(1006ج 89)</v>
      </c>
      <c r="V1438" s="1">
        <v>961700246</v>
      </c>
      <c r="W1438" s="1">
        <v>961700246</v>
      </c>
      <c r="X1438" s="1" t="str">
        <f>"1396553913"</f>
        <v>1396553913</v>
      </c>
      <c r="Y1438" s="1" t="str">
        <f>"96/12/26"</f>
        <v>96/12/26</v>
      </c>
      <c r="Z1438" s="1" t="str">
        <f>"287087/710"</f>
        <v>287087/710</v>
      </c>
      <c r="AA1438" s="1" t="str">
        <f>"راه روستائي -روكش"</f>
        <v>راه روستائي -روكش</v>
      </c>
      <c r="AB1438" s="1" t="str">
        <f>"96/11/25"</f>
        <v>96/11/25</v>
      </c>
      <c r="AC1438" s="1" t="str">
        <f>"استان اصفهان"</f>
        <v>استان اصفهان</v>
      </c>
      <c r="AD1438" s="1" t="str">
        <f>"96/12/20"</f>
        <v>96/12/20</v>
      </c>
      <c r="AE1438" s="1" t="str">
        <f>"اختتام"</f>
        <v>اختتام</v>
      </c>
      <c r="AF1438" s="1" t="str">
        <f>""</f>
        <v/>
      </c>
      <c r="AG1438" s="1" t="str">
        <f>""</f>
        <v/>
      </c>
      <c r="AH1438" s="1" t="str">
        <f>""</f>
        <v/>
      </c>
      <c r="AI1438" s="1" t="str">
        <f>""</f>
        <v/>
      </c>
      <c r="AJ1438" s="1" t="str">
        <f>""</f>
        <v/>
      </c>
      <c r="AK1438" s="1" t="str">
        <f>""</f>
        <v/>
      </c>
    </row>
    <row r="1439" spans="1:37">
      <c r="A1439" s="1">
        <v>42780</v>
      </c>
      <c r="B1439" s="1">
        <v>962000392</v>
      </c>
      <c r="C1439" s="1" t="str">
        <f>"تخليه چهارمحال بختياري شهرستان لردگان منطقه فلاردكارخانه آسفالت ياسين گنج جانبازي"</f>
        <v>تخليه چهارمحال بختياري شهرستان لردگان منطقه فلاردكارخانه آسفالت ياسين گنج جانبازي</v>
      </c>
      <c r="D1439" s="1">
        <v>12820</v>
      </c>
      <c r="E1439" s="1">
        <v>42780</v>
      </c>
      <c r="F1439" s="1">
        <v>96</v>
      </c>
      <c r="G1439" s="1">
        <v>0</v>
      </c>
      <c r="H1439" s="1" t="str">
        <f>"96/09/19"</f>
        <v>96/09/19</v>
      </c>
      <c r="I1439" s="1" t="str">
        <f>"كيلوگرم"</f>
        <v>كيلوگرم</v>
      </c>
      <c r="J1439" s="1" t="str">
        <f>"1000000002"</f>
        <v>1000000002</v>
      </c>
      <c r="K1439" s="1" t="str">
        <f>"قير 85/100 - فله"</f>
        <v>قير 85/100 - فله</v>
      </c>
      <c r="L1439" s="1">
        <v>100</v>
      </c>
      <c r="M1439" s="1" t="str">
        <f>"مخازن قير اصفهان"</f>
        <v>مخازن قير اصفهان</v>
      </c>
      <c r="N1439" s="1">
        <v>9669</v>
      </c>
      <c r="O1439" s="1">
        <v>50037689</v>
      </c>
      <c r="P1439" s="1" t="str">
        <f>"  شهرداري مال خليفه"</f>
        <v xml:space="preserve">  شهرداري مال خليفه</v>
      </c>
      <c r="Q1439" s="1">
        <v>20</v>
      </c>
      <c r="R1439" s="1" t="str">
        <f>"فروش داخلي - سازمان شهرداري ها و دهياري هاي كشور"</f>
        <v>فروش داخلي - سازمان شهرداري ها و دهياري هاي كشور</v>
      </c>
      <c r="S1439" s="1" t="str">
        <f>"قرارداد فروش"</f>
        <v>قرارداد فروش</v>
      </c>
      <c r="T1439" s="1" t="str">
        <f>"ندارد"</f>
        <v>ندارد</v>
      </c>
      <c r="U1439" s="1" t="str">
        <f>"تعاوني جم گستر (1001 ج 89)"</f>
        <v>تعاوني جم گستر (1001 ج 89)</v>
      </c>
      <c r="V1439" s="1">
        <v>962000392</v>
      </c>
      <c r="W1439" s="1">
        <v>962000392</v>
      </c>
      <c r="X1439" s="1" t="str">
        <f>"1396529715"</f>
        <v>1396529715</v>
      </c>
      <c r="Y1439" s="1" t="str">
        <f>"96/09/19"</f>
        <v>96/09/19</v>
      </c>
      <c r="Z1439" s="1" t="str">
        <f>"38506مرحله دوم"</f>
        <v>38506مرحله دوم</v>
      </c>
      <c r="AA1439" s="1" t="str">
        <f>"شهرداريها"</f>
        <v>شهرداريها</v>
      </c>
      <c r="AB1439" s="1" t="str">
        <f>"96/09/11"</f>
        <v>96/09/11</v>
      </c>
      <c r="AC1439" s="1" t="str">
        <f>"استان چهارمحال بختياري"</f>
        <v>استان چهارمحال بختياري</v>
      </c>
      <c r="AD1439" s="1" t="str">
        <f>"96/09/13"</f>
        <v>96/09/13</v>
      </c>
      <c r="AE1439" s="1" t="str">
        <f>"اختتام"</f>
        <v>اختتام</v>
      </c>
      <c r="AF1439" s="1" t="str">
        <f>""</f>
        <v/>
      </c>
      <c r="AG1439" s="1" t="str">
        <f>""</f>
        <v/>
      </c>
      <c r="AH1439" s="1" t="str">
        <f>""</f>
        <v/>
      </c>
      <c r="AI1439" s="1" t="str">
        <f>""</f>
        <v/>
      </c>
      <c r="AJ1439" s="1" t="str">
        <f>""</f>
        <v/>
      </c>
      <c r="AK1439" s="1" t="str">
        <f>""</f>
        <v/>
      </c>
    </row>
    <row r="1440" spans="1:37">
      <c r="A1440" s="1">
        <v>95000</v>
      </c>
      <c r="B1440" s="1">
        <v>966200012</v>
      </c>
      <c r="C1440" s="1" t="str">
        <f>"تخليه -کيلومتر10جاده شهرضا-اصفهان -جنب امامزاده علي اکبر-کارخانه آسفالت  گلابي"</f>
        <v>تخليه -کيلومتر10جاده شهرضا-اصفهان -جنب امامزاده علي اکبر-کارخانه آسفالت  گلابي</v>
      </c>
      <c r="D1440" s="1">
        <v>8198</v>
      </c>
      <c r="E1440" s="1">
        <v>93980</v>
      </c>
      <c r="F1440" s="1">
        <v>96</v>
      </c>
      <c r="G1440" s="1">
        <v>1020</v>
      </c>
      <c r="H1440" s="1" t="str">
        <f>"96/01/21"</f>
        <v>96/01/21</v>
      </c>
      <c r="I1440" s="1" t="str">
        <f>"كيلوگرم"</f>
        <v>كيلوگرم</v>
      </c>
      <c r="J1440" s="1" t="str">
        <f>"0000000076"</f>
        <v>0000000076</v>
      </c>
      <c r="K1440" s="1" t="str">
        <f>"قير 60/70 - فله"</f>
        <v>قير 60/70 - فله</v>
      </c>
      <c r="L1440" s="1">
        <v>100</v>
      </c>
      <c r="M1440" s="1" t="str">
        <f>"مخازن قير اصفهان"</f>
        <v>مخازن قير اصفهان</v>
      </c>
      <c r="N1440" s="1">
        <v>10271</v>
      </c>
      <c r="O1440" s="1">
        <v>50034472</v>
      </c>
      <c r="P1440" s="1" t="str">
        <f>"  آرياگسترشهرضا"</f>
        <v xml:space="preserve">  آرياگسترشهرضا</v>
      </c>
      <c r="Q1440" s="1">
        <v>62</v>
      </c>
      <c r="R1440" s="1" t="str">
        <f>"فروش داخلي - سازمان بنيادمسكن انقلاب اسلامي"</f>
        <v>فروش داخلي - سازمان بنيادمسكن انقلاب اسلامي</v>
      </c>
      <c r="S1440" s="1" t="str">
        <f>"قرارداد فروش"</f>
        <v>قرارداد فروش</v>
      </c>
      <c r="T1440" s="1" t="str">
        <f>"ندارد"</f>
        <v>ندارد</v>
      </c>
      <c r="U1440" s="1" t="str">
        <f>"علي عابدي ابوالقاسم(1003ج89)"</f>
        <v>علي عابدي ابوالقاسم(1003ج89)</v>
      </c>
      <c r="V1440" s="1">
        <v>966200012</v>
      </c>
      <c r="W1440" s="1">
        <v>966200012</v>
      </c>
      <c r="X1440" s="1" t="str">
        <f>"1396472723"</f>
        <v>1396472723</v>
      </c>
      <c r="Y1440" s="1" t="str">
        <f>"96/01/21"</f>
        <v>96/01/21</v>
      </c>
      <c r="Z1440" s="1" t="str">
        <f>"990/د"</f>
        <v>990/د</v>
      </c>
      <c r="AA1440" s="1" t="str">
        <f>"بنيادمسكن انقلاب اسلامي"</f>
        <v>بنيادمسكن انقلاب اسلامي</v>
      </c>
      <c r="AB1440" s="1" t="str">
        <f>"96/01/19"</f>
        <v>96/01/19</v>
      </c>
      <c r="AC1440" s="1" t="str">
        <f>"استان اصفهان"</f>
        <v>استان اصفهان</v>
      </c>
      <c r="AD1440" s="1" t="str">
        <f>"96/01/20"</f>
        <v>96/01/20</v>
      </c>
      <c r="AE1440" s="1" t="str">
        <f>"اختتام"</f>
        <v>اختتام</v>
      </c>
      <c r="AF1440" s="1" t="str">
        <f>""</f>
        <v/>
      </c>
      <c r="AG1440" s="1" t="str">
        <f>""</f>
        <v/>
      </c>
      <c r="AH1440" s="1" t="str">
        <f>""</f>
        <v/>
      </c>
      <c r="AI1440" s="1" t="str">
        <f>""</f>
        <v/>
      </c>
      <c r="AJ1440" s="1" t="str">
        <f>""</f>
        <v/>
      </c>
      <c r="AK1440" s="1" t="str">
        <f>""</f>
        <v/>
      </c>
    </row>
    <row r="1441" spans="1:37">
      <c r="A1441" s="1">
        <v>3000000</v>
      </c>
      <c r="B1441" s="1">
        <v>961800003</v>
      </c>
      <c r="C1441" s="1" t="str">
        <f>"تخليه -خرم آباد -آزادراه خرم آباد-پل زال"</f>
        <v>تخليه -خرم آباد -آزادراه خرم آباد-پل زال</v>
      </c>
      <c r="D1441" s="1">
        <v>8854</v>
      </c>
      <c r="E1441" s="1">
        <v>2999060</v>
      </c>
      <c r="F1441" s="1">
        <v>96</v>
      </c>
      <c r="G1441" s="1">
        <v>940</v>
      </c>
      <c r="H1441" s="1" t="str">
        <f>"96/03/22"</f>
        <v>96/03/22</v>
      </c>
      <c r="I1441" s="1" t="str">
        <f>"كيلوگرم"</f>
        <v>كيلوگرم</v>
      </c>
      <c r="J1441" s="1" t="str">
        <f>"0000000092"</f>
        <v>0000000092</v>
      </c>
      <c r="K1441" s="1" t="str">
        <f>"قير  PG64-16"</f>
        <v>قير  PG64-16</v>
      </c>
      <c r="L1441" s="1">
        <v>100</v>
      </c>
      <c r="M1441" s="1" t="str">
        <f>"مخازن قير اصفهان"</f>
        <v>مخازن قير اصفهان</v>
      </c>
      <c r="N1441" s="1">
        <v>8798</v>
      </c>
      <c r="O1441" s="1">
        <v>50034988</v>
      </c>
      <c r="P1441" s="1" t="str">
        <f>"  احداث نگهداري وبهره برداري آزادراه خرم آباد-پل زال"</f>
        <v xml:space="preserve">  احداث نگهداري وبهره برداري آزادراه خرم آباد-پل زال</v>
      </c>
      <c r="Q1441" s="1">
        <v>18</v>
      </c>
      <c r="R1441" s="1" t="str">
        <f>"فروش داخلي تهران - وزارت راه - شرکت ساخت و توسعه راهها"</f>
        <v>فروش داخلي تهران - وزارت راه - شرکت ساخت و توسعه راهها</v>
      </c>
      <c r="S1441" s="1" t="str">
        <f>"قرارداد فروش"</f>
        <v>قرارداد فروش</v>
      </c>
      <c r="T1441" s="1" t="str">
        <f>"ندارد"</f>
        <v>ندارد</v>
      </c>
      <c r="U1441" s="1" t="str">
        <f>"فتاح زاده سيداحمد(3843011)"</f>
        <v>فتاح زاده سيداحمد(3843011)</v>
      </c>
      <c r="V1441" s="1">
        <v>961800003</v>
      </c>
      <c r="W1441" s="1">
        <v>961800003</v>
      </c>
      <c r="X1441" s="1" t="str">
        <f>"1396487038"</f>
        <v>1396487038</v>
      </c>
      <c r="Y1441" s="1" t="str">
        <f>"96/03/22"</f>
        <v>96/03/22</v>
      </c>
      <c r="Z1441" s="1" t="str">
        <f>"11872/710"</f>
        <v>11872/710</v>
      </c>
      <c r="AA1441" s="1" t="str">
        <f>"شركت  ساخت وتوسعه راهها"</f>
        <v>شركت  ساخت وتوسعه راهها</v>
      </c>
      <c r="AB1441" s="1" t="str">
        <f>"96/03/17"</f>
        <v>96/03/17</v>
      </c>
      <c r="AC1441" s="1" t="str">
        <f>"لرستان"</f>
        <v>لرستان</v>
      </c>
      <c r="AD1441" s="1" t="str">
        <f>"96/03/22"</f>
        <v>96/03/22</v>
      </c>
      <c r="AE1441" s="1" t="str">
        <f>"اختتام"</f>
        <v>اختتام</v>
      </c>
      <c r="AF1441" s="1" t="str">
        <f>""</f>
        <v/>
      </c>
      <c r="AG1441" s="1" t="str">
        <f>""</f>
        <v/>
      </c>
      <c r="AH1441" s="1" t="str">
        <f>""</f>
        <v/>
      </c>
      <c r="AI1441" s="1" t="str">
        <f>""</f>
        <v/>
      </c>
      <c r="AJ1441" s="1" t="str">
        <f>""</f>
        <v/>
      </c>
      <c r="AK1441" s="1" t="str">
        <f>""</f>
        <v/>
      </c>
    </row>
    <row r="1442" spans="1:37">
      <c r="A1442" s="1">
        <v>150000</v>
      </c>
      <c r="B1442" s="1">
        <v>961900078</v>
      </c>
      <c r="C1442" s="1" t="str">
        <f>"تخليه -اصفهان -كيلومتر5جاده اصفهان -جرقويه -شركت ثمين راه صفاهان"</f>
        <v>تخليه -اصفهان -كيلومتر5جاده اصفهان -جرقويه -شركت ثمين راه صفاهان</v>
      </c>
      <c r="D1442" s="1">
        <v>8904</v>
      </c>
      <c r="E1442" s="1">
        <v>149040</v>
      </c>
      <c r="F1442" s="1">
        <v>96</v>
      </c>
      <c r="G1442" s="1">
        <v>960</v>
      </c>
      <c r="H1442" s="1" t="str">
        <f>"96/04/25"</f>
        <v>96/04/25</v>
      </c>
      <c r="I1442" s="1" t="str">
        <f>"كيلوگرم"</f>
        <v>كيلوگرم</v>
      </c>
      <c r="J1442" s="1" t="str">
        <f>"0000000092"</f>
        <v>0000000092</v>
      </c>
      <c r="K1442" s="1" t="str">
        <f>"قير  PG64-16"</f>
        <v>قير  PG64-16</v>
      </c>
      <c r="L1442" s="1">
        <v>100</v>
      </c>
      <c r="M1442" s="1" t="str">
        <f>"مخازن قير اصفهان"</f>
        <v>مخازن قير اصفهان</v>
      </c>
      <c r="N1442" s="1">
        <v>9345</v>
      </c>
      <c r="O1442" s="1">
        <v>50035212</v>
      </c>
      <c r="P1442" s="1" t="str">
        <f>"  ثمين راه صفاهان"</f>
        <v xml:space="preserve">  ثمين راه صفاهان</v>
      </c>
      <c r="Q1442" s="1">
        <v>19</v>
      </c>
      <c r="R144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442" s="1" t="str">
        <f>"قرارداد فروش"</f>
        <v>قرارداد فروش</v>
      </c>
      <c r="T1442" s="1" t="str">
        <f>"ندارد"</f>
        <v>ندارد</v>
      </c>
      <c r="U1442" s="1" t="str">
        <f>"شهبازي محمدرضا(1029ج89)"</f>
        <v>شهبازي محمدرضا(1029ج89)</v>
      </c>
      <c r="V1442" s="1">
        <v>961900078</v>
      </c>
      <c r="W1442" s="1">
        <v>961900078</v>
      </c>
      <c r="X1442" s="1" t="str">
        <f>"1396496334"</f>
        <v>1396496334</v>
      </c>
      <c r="Y1442" s="1" t="str">
        <f>"96/04/25"</f>
        <v>96/04/25</v>
      </c>
      <c r="Z1442" s="1" t="str">
        <f>"17755/710"</f>
        <v>17755/710</v>
      </c>
      <c r="AA1442" s="1" t="str">
        <f>"سازمان راهداري وحمل نقل جاده اي"</f>
        <v>سازمان راهداري وحمل نقل جاده اي</v>
      </c>
      <c r="AB1442" s="1" t="str">
        <f>"96/04/20"</f>
        <v>96/04/20</v>
      </c>
      <c r="AC1442" s="1" t="str">
        <f>"استان اصفهان"</f>
        <v>استان اصفهان</v>
      </c>
      <c r="AD1442" s="1" t="str">
        <f>"96/04/21"</f>
        <v>96/04/21</v>
      </c>
      <c r="AE1442" s="1" t="str">
        <f>"اختتام"</f>
        <v>اختتام</v>
      </c>
      <c r="AF1442" s="1" t="str">
        <f>""</f>
        <v/>
      </c>
      <c r="AG1442" s="1" t="str">
        <f>""</f>
        <v/>
      </c>
      <c r="AH1442" s="1" t="str">
        <f>""</f>
        <v/>
      </c>
      <c r="AI1442" s="1" t="str">
        <f>""</f>
        <v/>
      </c>
      <c r="AJ1442" s="1" t="str">
        <f>""</f>
        <v/>
      </c>
      <c r="AK1442" s="1" t="str">
        <f>""</f>
        <v/>
      </c>
    </row>
    <row r="1443" spans="1:37">
      <c r="A1443" s="1">
        <v>70000</v>
      </c>
      <c r="B1443" s="1">
        <v>966200531</v>
      </c>
      <c r="C1443" s="1" t="str">
        <f>"تخليه -چهارمحال وبختياري -گردنه رخ -كارخانه آسفالت شركت زرين استحكام"</f>
        <v>تخليه -چهارمحال وبختياري -گردنه رخ -كارخانه آسفالت شركت زرين استحكام</v>
      </c>
      <c r="D1443" s="1">
        <v>12850</v>
      </c>
      <c r="E1443" s="1">
        <v>68040</v>
      </c>
      <c r="F1443" s="1">
        <v>96</v>
      </c>
      <c r="G1443" s="1">
        <v>1960</v>
      </c>
      <c r="H1443" s="1" t="str">
        <f>"96/10/25"</f>
        <v>96/10/25</v>
      </c>
      <c r="I1443" s="1" t="str">
        <f>"كيلوگرم"</f>
        <v>كيلوگرم</v>
      </c>
      <c r="J1443" s="1" t="str">
        <f>"1000000002"</f>
        <v>1000000002</v>
      </c>
      <c r="K1443" s="1" t="str">
        <f>"قير 85/100 - فله"</f>
        <v>قير 85/100 - فله</v>
      </c>
      <c r="L1443" s="1">
        <v>100</v>
      </c>
      <c r="M1443" s="1" t="str">
        <f>"مخازن قير اصفهان"</f>
        <v>مخازن قير اصفهان</v>
      </c>
      <c r="N1443" s="1">
        <v>9777</v>
      </c>
      <c r="O1443" s="1">
        <v>50038174</v>
      </c>
      <c r="P1443" s="1" t="str">
        <f>"  كاويان سازان كوهستان"</f>
        <v xml:space="preserve">  كاويان سازان كوهستان</v>
      </c>
      <c r="Q1443" s="1">
        <v>62</v>
      </c>
      <c r="R1443" s="1" t="str">
        <f>"فروش داخلي - سازمان بنيادمسكن انقلاب اسلامي"</f>
        <v>فروش داخلي - سازمان بنيادمسكن انقلاب اسلامي</v>
      </c>
      <c r="S1443" s="1" t="str">
        <f>"قرارداد فروش"</f>
        <v>قرارداد فروش</v>
      </c>
      <c r="T1443" s="1" t="str">
        <f>"ندارد"</f>
        <v>ندارد</v>
      </c>
      <c r="U1443" s="1" t="str">
        <f>"قره باغي مجيد(1871065)"</f>
        <v>قره باغي مجيد(1871065)</v>
      </c>
      <c r="V1443" s="1">
        <v>966200531</v>
      </c>
      <c r="W1443" s="1">
        <v>966200531</v>
      </c>
      <c r="X1443" s="1" t="str">
        <f>"1396540148"</f>
        <v>1396540148</v>
      </c>
      <c r="Y1443" s="1" t="str">
        <f>"96/10/25"</f>
        <v>96/10/25</v>
      </c>
      <c r="Z1443" s="1" t="str">
        <f>"47457/د"</f>
        <v>47457/د</v>
      </c>
      <c r="AA1443" s="1" t="str">
        <f>"بنيادمسكن انقلاب اسلامي"</f>
        <v>بنيادمسكن انقلاب اسلامي</v>
      </c>
      <c r="AB1443" s="1" t="str">
        <f>"96/10/24"</f>
        <v>96/10/24</v>
      </c>
      <c r="AC1443" s="1" t="str">
        <f>"استان چهارمحال بختياري"</f>
        <v>استان چهارمحال بختياري</v>
      </c>
      <c r="AD1443" s="1" t="str">
        <f>"96/10/25"</f>
        <v>96/10/25</v>
      </c>
      <c r="AE1443" s="1" t="str">
        <f>"اختتام"</f>
        <v>اختتام</v>
      </c>
      <c r="AF1443" s="1" t="str">
        <f>""</f>
        <v/>
      </c>
      <c r="AG1443" s="1" t="str">
        <f>""</f>
        <v/>
      </c>
      <c r="AH1443" s="1" t="str">
        <f>""</f>
        <v/>
      </c>
      <c r="AI1443" s="1" t="str">
        <f>""</f>
        <v/>
      </c>
      <c r="AJ1443" s="1" t="str">
        <f>""</f>
        <v/>
      </c>
      <c r="AK1443" s="1" t="str">
        <f>""</f>
        <v/>
      </c>
    </row>
    <row r="1444" spans="1:37">
      <c r="A1444" s="1">
        <v>101000</v>
      </c>
      <c r="B1444" s="1">
        <v>966200062</v>
      </c>
      <c r="C1444" s="1" t="str">
        <f>"تخليه - آذربايجان شرقي-مراغه-کيلومتر7 جاده مراغه تهران-جاده فرعي علمدار-کارخانه آسفالت شرکت قره قشون"</f>
        <v>تخليه - آذربايجان شرقي-مراغه-کيلومتر7 جاده مراغه تهران-جاده فرعي علمدار-کارخانه آسفالت شرکت قره قشون</v>
      </c>
      <c r="D1444" s="1">
        <v>8918</v>
      </c>
      <c r="E1444" s="1">
        <v>99760</v>
      </c>
      <c r="F1444" s="1">
        <v>96</v>
      </c>
      <c r="G1444" s="1">
        <v>1240</v>
      </c>
      <c r="H1444" s="1" t="str">
        <f>"96/02/13"</f>
        <v>96/02/13</v>
      </c>
      <c r="I1444" s="1" t="str">
        <f>"كيلوگرم"</f>
        <v>كيلوگرم</v>
      </c>
      <c r="J1444" s="1" t="str">
        <f>"1000000002"</f>
        <v>1000000002</v>
      </c>
      <c r="K1444" s="1" t="str">
        <f>"قير 85/100 - فله"</f>
        <v>قير 85/100 - فله</v>
      </c>
      <c r="L1444" s="1">
        <v>100</v>
      </c>
      <c r="M1444" s="1" t="str">
        <f>"مخازن قير اصفهان"</f>
        <v>مخازن قير اصفهان</v>
      </c>
      <c r="N1444" s="1">
        <v>8362</v>
      </c>
      <c r="O1444" s="1">
        <v>50034757</v>
      </c>
      <c r="P1444" s="1" t="str">
        <f>"  قره قشون"</f>
        <v xml:space="preserve">  قره قشون</v>
      </c>
      <c r="Q1444" s="1">
        <v>62</v>
      </c>
      <c r="R1444" s="1" t="str">
        <f>"فروش داخلي - سازمان بنيادمسكن انقلاب اسلامي"</f>
        <v>فروش داخلي - سازمان بنيادمسكن انقلاب اسلامي</v>
      </c>
      <c r="S1444" s="1" t="str">
        <f>"قرارداد فروش"</f>
        <v>قرارداد فروش</v>
      </c>
      <c r="T1444" s="1" t="str">
        <f>"ندارد"</f>
        <v>ندارد</v>
      </c>
      <c r="U1444" s="1" t="str">
        <f>"خليلي مقدم حسين(3843001)"</f>
        <v>خليلي مقدم حسين(3843001)</v>
      </c>
      <c r="V1444" s="1">
        <v>966200062</v>
      </c>
      <c r="W1444" s="1">
        <v>966200062</v>
      </c>
      <c r="X1444" s="1" t="str">
        <f>"1396477994"</f>
        <v>1396477994</v>
      </c>
      <c r="Y1444" s="1" t="str">
        <f>"96/02/13"</f>
        <v>96/02/13</v>
      </c>
      <c r="Z1444" s="1" t="str">
        <f>"4652/د"</f>
        <v>4652/د</v>
      </c>
      <c r="AA1444" s="1" t="str">
        <f>"بنيادمسكن انقلاب اسلامي"</f>
        <v>بنيادمسكن انقلاب اسلامي</v>
      </c>
      <c r="AB1444" s="1" t="str">
        <f>"96/02/11"</f>
        <v>96/02/11</v>
      </c>
      <c r="AC1444" s="1" t="str">
        <f>"استان آذربايجان شرقي"</f>
        <v>استان آذربايجان شرقي</v>
      </c>
      <c r="AD1444" s="1" t="str">
        <f>"96/02/12"</f>
        <v>96/02/12</v>
      </c>
      <c r="AE1444" s="1" t="str">
        <f>"اختتام"</f>
        <v>اختتام</v>
      </c>
      <c r="AF1444" s="1" t="str">
        <f>""</f>
        <v/>
      </c>
      <c r="AG1444" s="1" t="str">
        <f>""</f>
        <v/>
      </c>
      <c r="AH1444" s="1" t="str">
        <f>""</f>
        <v/>
      </c>
      <c r="AI1444" s="1" t="str">
        <f>""</f>
        <v/>
      </c>
      <c r="AJ1444" s="1" t="str">
        <f>""</f>
        <v/>
      </c>
      <c r="AK1444" s="1" t="str">
        <f>""</f>
        <v/>
      </c>
    </row>
    <row r="1445" spans="1:37">
      <c r="A1445" s="1">
        <v>45511</v>
      </c>
      <c r="B1445" s="1">
        <v>962000389</v>
      </c>
      <c r="C1445" s="1" t="str">
        <f>"تخليه -شهركرد-هفشجان سيرك نوآبادكارخانه آسفالت سازمان همياري"</f>
        <v>تخليه -شهركرد-هفشجان سيرك نوآبادكارخانه آسفالت سازمان همياري</v>
      </c>
      <c r="D1445" s="1">
        <v>12820</v>
      </c>
      <c r="E1445" s="1">
        <v>45511</v>
      </c>
      <c r="F1445" s="1">
        <v>96</v>
      </c>
      <c r="G1445" s="1">
        <v>0</v>
      </c>
      <c r="H1445" s="1" t="str">
        <f>"96/09/19"</f>
        <v>96/09/19</v>
      </c>
      <c r="I1445" s="1" t="str">
        <f>"كيلوگرم"</f>
        <v>كيلوگرم</v>
      </c>
      <c r="J1445" s="1" t="str">
        <f>"1000000002"</f>
        <v>1000000002</v>
      </c>
      <c r="K1445" s="1" t="str">
        <f>"قير 85/100 - فله"</f>
        <v>قير 85/100 - فله</v>
      </c>
      <c r="L1445" s="1">
        <v>100</v>
      </c>
      <c r="M1445" s="1" t="str">
        <f>"مخازن قير اصفهان"</f>
        <v>مخازن قير اصفهان</v>
      </c>
      <c r="N1445" s="1">
        <v>9388</v>
      </c>
      <c r="O1445" s="1">
        <v>50037686</v>
      </c>
      <c r="P1445" s="1" t="str">
        <f>"  شهرداري آلوني"</f>
        <v xml:space="preserve">  شهرداري آلوني</v>
      </c>
      <c r="Q1445" s="1">
        <v>20</v>
      </c>
      <c r="R1445" s="1" t="str">
        <f>"فروش داخلي - سازمان شهرداري ها و دهياري هاي كشور"</f>
        <v>فروش داخلي - سازمان شهرداري ها و دهياري هاي كشور</v>
      </c>
      <c r="S1445" s="1" t="str">
        <f>"قرارداد فروش"</f>
        <v>قرارداد فروش</v>
      </c>
      <c r="T1445" s="1" t="str">
        <f>"ندارد"</f>
        <v>ندارد</v>
      </c>
      <c r="U1445" s="1" t="str">
        <f>"تعاوني جم گستر (1001 ج 89)"</f>
        <v>تعاوني جم گستر (1001 ج 89)</v>
      </c>
      <c r="V1445" s="1">
        <v>962000389</v>
      </c>
      <c r="W1445" s="1">
        <v>962000389</v>
      </c>
      <c r="X1445" s="1" t="str">
        <f>"1396529715"</f>
        <v>1396529715</v>
      </c>
      <c r="Y1445" s="1" t="str">
        <f>"96/09/19"</f>
        <v>96/09/19</v>
      </c>
      <c r="Z1445" s="1" t="str">
        <f>"38531مرحله دوم"</f>
        <v>38531مرحله دوم</v>
      </c>
      <c r="AA1445" s="1" t="str">
        <f>"شهرداريها"</f>
        <v>شهرداريها</v>
      </c>
      <c r="AB1445" s="1" t="str">
        <f>"96/09/11"</f>
        <v>96/09/11</v>
      </c>
      <c r="AC1445" s="1" t="str">
        <f>"استان چهارمحال بختياري"</f>
        <v>استان چهارمحال بختياري</v>
      </c>
      <c r="AD1445" s="1" t="str">
        <f>"96/09/13"</f>
        <v>96/09/13</v>
      </c>
      <c r="AE1445" s="1" t="str">
        <f>"اختتام"</f>
        <v>اختتام</v>
      </c>
      <c r="AF1445" s="1" t="str">
        <f>""</f>
        <v/>
      </c>
      <c r="AG1445" s="1" t="str">
        <f>""</f>
        <v/>
      </c>
      <c r="AH1445" s="1" t="str">
        <f>""</f>
        <v/>
      </c>
      <c r="AI1445" s="1" t="str">
        <f>""</f>
        <v/>
      </c>
      <c r="AJ1445" s="1" t="str">
        <f>""</f>
        <v/>
      </c>
      <c r="AK1445" s="1" t="str">
        <f>""</f>
        <v/>
      </c>
    </row>
    <row r="1446" spans="1:37">
      <c r="A1446" s="1">
        <v>125000</v>
      </c>
      <c r="B1446" s="1">
        <v>961700174</v>
      </c>
      <c r="C1446" s="1" t="str">
        <f>"تخليه - کرمان -رودبارجنوب کيلومتر 40 جاده اسلام آباد به سمت زهکلوت كارخانه آسفالت شركت برج راه كهنوج"</f>
        <v>تخليه - کرمان -رودبارجنوب کيلومتر 40 جاده اسلام آباد به سمت زهکلوت كارخانه آسفالت شركت برج راه كهنوج</v>
      </c>
      <c r="D1446" s="1">
        <v>13600</v>
      </c>
      <c r="E1446" s="1">
        <v>123720</v>
      </c>
      <c r="F1446" s="1">
        <v>96</v>
      </c>
      <c r="G1446" s="1">
        <v>1280</v>
      </c>
      <c r="H1446" s="1" t="str">
        <f>"96/12/13"</f>
        <v>96/12/13</v>
      </c>
      <c r="I1446" s="1" t="str">
        <f>"كيلوگرم"</f>
        <v>كيلوگرم</v>
      </c>
      <c r="J1446" s="1" t="str">
        <f>"0000000092"</f>
        <v>0000000092</v>
      </c>
      <c r="K1446" s="1" t="str">
        <f>"قير  PG64-16"</f>
        <v>قير  PG64-16</v>
      </c>
      <c r="L1446" s="1">
        <v>100</v>
      </c>
      <c r="M1446" s="1" t="str">
        <f>"مخازن قير اصفهان"</f>
        <v>مخازن قير اصفهان</v>
      </c>
      <c r="N1446" s="1">
        <v>10351</v>
      </c>
      <c r="O1446" s="1">
        <v>50038732</v>
      </c>
      <c r="P1446" s="1" t="str">
        <f>"   برج راه کهنوج"</f>
        <v xml:space="preserve">   برج راه کهنوج</v>
      </c>
      <c r="Q1446" s="1">
        <v>17</v>
      </c>
      <c r="R1446" s="1" t="str">
        <f>"فروش داخلي تهران - وزارت راه - راه روستايي - روکش"</f>
        <v>فروش داخلي تهران - وزارت راه - راه روستايي - روکش</v>
      </c>
      <c r="S1446" s="1" t="str">
        <f>"قرارداد فروش"</f>
        <v>قرارداد فروش</v>
      </c>
      <c r="T1446" s="1" t="str">
        <f>"ندارد"</f>
        <v>ندارد</v>
      </c>
      <c r="U1446" s="1" t="str">
        <f>"حاصليان ترابرجنوب مرتضي حاصلي (4844006)"</f>
        <v>حاصليان ترابرجنوب مرتضي حاصلي (4844006)</v>
      </c>
      <c r="V1446" s="1">
        <v>961700174</v>
      </c>
      <c r="W1446" s="1">
        <v>961700174</v>
      </c>
      <c r="X1446" s="1" t="str">
        <f>"1396552092"</f>
        <v>1396552092</v>
      </c>
      <c r="Y1446" s="1" t="str">
        <f>"96/12/13"</f>
        <v>96/12/13</v>
      </c>
      <c r="Z1446" s="1" t="str">
        <f>"47422/710"</f>
        <v>47422/710</v>
      </c>
      <c r="AA1446" s="1" t="str">
        <f>"راه روستائي -روكش"</f>
        <v>راه روستائي -روكش</v>
      </c>
      <c r="AB1446" s="1" t="str">
        <f>"96/09/14"</f>
        <v>96/09/14</v>
      </c>
      <c r="AC1446" s="1" t="str">
        <f>"جنوب کرمان"</f>
        <v>جنوب کرمان</v>
      </c>
      <c r="AD1446" s="1" t="str">
        <f>"96/12/13"</f>
        <v>96/12/13</v>
      </c>
      <c r="AE1446" s="1" t="str">
        <f>"اختتام"</f>
        <v>اختتام</v>
      </c>
      <c r="AF1446" s="1" t="str">
        <f>""</f>
        <v/>
      </c>
      <c r="AG1446" s="1" t="str">
        <f>""</f>
        <v/>
      </c>
      <c r="AH1446" s="1" t="str">
        <f>""</f>
        <v/>
      </c>
      <c r="AI1446" s="1" t="str">
        <f>""</f>
        <v/>
      </c>
      <c r="AJ1446" s="1" t="str">
        <f>""</f>
        <v/>
      </c>
      <c r="AK1446" s="1" t="str">
        <f>""</f>
        <v/>
      </c>
    </row>
    <row r="1447" spans="1:37">
      <c r="A1447" s="1">
        <v>1000000</v>
      </c>
      <c r="B1447" s="1">
        <v>961700044</v>
      </c>
      <c r="C1447" s="1" t="str">
        <f>"تخليه -هرمزگان -محوررودان -كهنوج -كارخانه آسفالت شركت پي وپل جنوب"</f>
        <v>تخليه -هرمزگان -محوررودان -كهنوج -كارخانه آسفالت شركت پي وپل جنوب</v>
      </c>
      <c r="D1447" s="1">
        <v>8904</v>
      </c>
      <c r="E1447" s="1">
        <v>1000000</v>
      </c>
      <c r="F1447" s="1">
        <v>96</v>
      </c>
      <c r="G1447" s="1">
        <v>0</v>
      </c>
      <c r="H1447" s="1" t="str">
        <f>"96/05/15"</f>
        <v>96/05/15</v>
      </c>
      <c r="I1447" s="1" t="str">
        <f>"كيلوگرم"</f>
        <v>كيلوگرم</v>
      </c>
      <c r="J1447" s="1" t="str">
        <f>"0000000092"</f>
        <v>0000000092</v>
      </c>
      <c r="K1447" s="1" t="str">
        <f>"قير  PG64-16"</f>
        <v>قير  PG64-16</v>
      </c>
      <c r="L1447" s="1">
        <v>100</v>
      </c>
      <c r="M1447" s="1" t="str">
        <f>"مخازن قير اصفهان"</f>
        <v>مخازن قير اصفهان</v>
      </c>
      <c r="N1447" s="1">
        <v>10547</v>
      </c>
      <c r="O1447" s="1">
        <v>50035522</v>
      </c>
      <c r="P1447" s="1" t="str">
        <f>"  پي و پل جنوب"</f>
        <v xml:space="preserve">  پي و پل جنوب</v>
      </c>
      <c r="Q1447" s="1">
        <v>17</v>
      </c>
      <c r="R1447" s="1" t="str">
        <f>"فروش داخلي تهران - وزارت راه - راه روستايي - روکش"</f>
        <v>فروش داخلي تهران - وزارت راه - راه روستايي - روکش</v>
      </c>
      <c r="S1447" s="1" t="str">
        <f>"قرارداد فروش"</f>
        <v>قرارداد فروش</v>
      </c>
      <c r="T1447" s="1" t="str">
        <f>"ندارد"</f>
        <v>ندارد</v>
      </c>
      <c r="U1447" s="1" t="str">
        <f>"قره باغي مجيد(1871065)"</f>
        <v>قره باغي مجيد(1871065)</v>
      </c>
      <c r="V1447" s="1">
        <v>961700044</v>
      </c>
      <c r="W1447" s="1">
        <v>961700044</v>
      </c>
      <c r="X1447" s="1" t="str">
        <f>"1396502839"</f>
        <v>1396502839</v>
      </c>
      <c r="Y1447" s="1" t="str">
        <f>"96/05/15"</f>
        <v>96/05/15</v>
      </c>
      <c r="Z1447" s="1" t="str">
        <f>"22492/710"</f>
        <v>22492/710</v>
      </c>
      <c r="AA1447" s="1" t="str">
        <f>"راه روستائي -روكش"</f>
        <v>راه روستائي -روكش</v>
      </c>
      <c r="AB1447" s="1" t="str">
        <f>"96/05/11"</f>
        <v>96/05/11</v>
      </c>
      <c r="AC1447" s="1" t="str">
        <f>"استان هرمزگان"</f>
        <v>استان هرمزگان</v>
      </c>
      <c r="AD1447" s="1" t="str">
        <f>"96/05/15"</f>
        <v>96/05/15</v>
      </c>
      <c r="AE1447" s="1" t="str">
        <f>"اختتام"</f>
        <v>اختتام</v>
      </c>
      <c r="AF1447" s="1" t="str">
        <f>""</f>
        <v/>
      </c>
      <c r="AG1447" s="1" t="str">
        <f>""</f>
        <v/>
      </c>
      <c r="AH1447" s="1" t="str">
        <f>""</f>
        <v/>
      </c>
      <c r="AI1447" s="1" t="str">
        <f>""</f>
        <v/>
      </c>
      <c r="AJ1447" s="1" t="str">
        <f>""</f>
        <v/>
      </c>
      <c r="AK1447" s="1" t="str">
        <f>""</f>
        <v/>
      </c>
    </row>
    <row r="1448" spans="1:37">
      <c r="A1448" s="1">
        <v>25000</v>
      </c>
      <c r="B1448" s="1">
        <v>961700113</v>
      </c>
      <c r="C1448" s="1" t="str">
        <f>"تخليه -جنوب كرمان -محوررودان -كهنوج -كارخانه آسفالت شركت پي وپل جنوب"</f>
        <v>تخليه -جنوب كرمان -محوررودان -كهنوج -كارخانه آسفالت شركت پي وپل جنوب</v>
      </c>
      <c r="D1448" s="1">
        <v>9363</v>
      </c>
      <c r="E1448" s="1">
        <v>25000</v>
      </c>
      <c r="F1448" s="1">
        <v>96</v>
      </c>
      <c r="G1448" s="1">
        <v>0</v>
      </c>
      <c r="H1448" s="1" t="str">
        <f>"96/07/17"</f>
        <v>96/07/17</v>
      </c>
      <c r="I1448" s="1" t="str">
        <f>"كيلوگرم"</f>
        <v>كيلوگرم</v>
      </c>
      <c r="J1448" s="1" t="str">
        <f>"0000000092"</f>
        <v>0000000092</v>
      </c>
      <c r="K1448" s="1" t="str">
        <f>"قير  PG64-16"</f>
        <v>قير  PG64-16</v>
      </c>
      <c r="L1448" s="1">
        <v>100</v>
      </c>
      <c r="M1448" s="1" t="str">
        <f>"مخازن قير اصفهان"</f>
        <v>مخازن قير اصفهان</v>
      </c>
      <c r="N1448" s="1">
        <v>10547</v>
      </c>
      <c r="O1448" s="1">
        <v>50036620</v>
      </c>
      <c r="P1448" s="1" t="str">
        <f>"  پي و پل جنوب"</f>
        <v xml:space="preserve">  پي و پل جنوب</v>
      </c>
      <c r="Q1448" s="1">
        <v>17</v>
      </c>
      <c r="R1448" s="1" t="str">
        <f>"فروش داخلي تهران - وزارت راه - راه روستايي - روکش"</f>
        <v>فروش داخلي تهران - وزارت راه - راه روستايي - روکش</v>
      </c>
      <c r="S1448" s="1" t="str">
        <f>"قرارداد فروش"</f>
        <v>قرارداد فروش</v>
      </c>
      <c r="T1448" s="1" t="str">
        <f>"ندارد"</f>
        <v>ندارد</v>
      </c>
      <c r="U1448" s="1" t="str">
        <f>"قره باغي مجيد(1871065)"</f>
        <v>قره باغي مجيد(1871065)</v>
      </c>
      <c r="V1448" s="1">
        <v>961700113</v>
      </c>
      <c r="W1448" s="1">
        <v>961700113</v>
      </c>
      <c r="X1448" s="1" t="str">
        <f>"1396517387"</f>
        <v>1396517387</v>
      </c>
      <c r="Y1448" s="1" t="str">
        <f>"96/07/17"</f>
        <v>96/07/17</v>
      </c>
      <c r="Z1448" s="1" t="str">
        <f>"34798/710"</f>
        <v>34798/710</v>
      </c>
      <c r="AA1448" s="1" t="str">
        <f>"راه روستائي -روكش"</f>
        <v>راه روستائي -روكش</v>
      </c>
      <c r="AB1448" s="1" t="str">
        <f>"96/07/16"</f>
        <v>96/07/16</v>
      </c>
      <c r="AC1448" s="1" t="str">
        <f>"جنوب کرمان"</f>
        <v>جنوب کرمان</v>
      </c>
      <c r="AD1448" s="1" t="str">
        <f>"96/07/17"</f>
        <v>96/07/17</v>
      </c>
      <c r="AE1448" s="1" t="str">
        <f>"اختتام"</f>
        <v>اختتام</v>
      </c>
      <c r="AF1448" s="1" t="str">
        <f>""</f>
        <v/>
      </c>
      <c r="AG1448" s="1" t="str">
        <f>""</f>
        <v/>
      </c>
      <c r="AH1448" s="1" t="str">
        <f>""</f>
        <v/>
      </c>
      <c r="AI1448" s="1" t="str">
        <f>""</f>
        <v/>
      </c>
      <c r="AJ1448" s="1" t="str">
        <f>""</f>
        <v/>
      </c>
      <c r="AK1448" s="1" t="str">
        <f>""</f>
        <v/>
      </c>
    </row>
    <row r="1449" spans="1:37">
      <c r="A1449" s="1">
        <v>1057000</v>
      </c>
      <c r="B1449" s="1">
        <v>961100032</v>
      </c>
      <c r="C1449" s="1" t="str">
        <f>"تخليه كرمان شهرستان بافت كارخانه آسفالت شركت آبادگران رفاه بخش"</f>
        <v>تخليه كرمان شهرستان بافت كارخانه آسفالت شركت آبادگران رفاه بخش</v>
      </c>
      <c r="D1449" s="1">
        <v>8704</v>
      </c>
      <c r="E1449" s="1">
        <v>1056560</v>
      </c>
      <c r="F1449" s="1">
        <v>96</v>
      </c>
      <c r="G1449" s="1">
        <v>440</v>
      </c>
      <c r="H1449" s="1" t="str">
        <f>"96/04/13"</f>
        <v>96/04/13</v>
      </c>
      <c r="I1449" s="1" t="str">
        <f>"كيلوگرم"</f>
        <v>كيلوگرم</v>
      </c>
      <c r="J1449" s="1" t="str">
        <f>"0000000076"</f>
        <v>0000000076</v>
      </c>
      <c r="K1449" s="1" t="str">
        <f>"قير 60/70 - فله"</f>
        <v>قير 60/70 - فله</v>
      </c>
      <c r="L1449" s="1">
        <v>100</v>
      </c>
      <c r="M1449" s="1" t="str">
        <f>"مخازن قير اصفهان"</f>
        <v>مخازن قير اصفهان</v>
      </c>
      <c r="N1449" s="1">
        <v>10272</v>
      </c>
      <c r="O1449" s="1">
        <v>50035089</v>
      </c>
      <c r="P1449" s="1" t="str">
        <f>"  آبادگران رفاه بخش"</f>
        <v xml:space="preserve">  آبادگران رفاه بخش</v>
      </c>
      <c r="Q1449" s="1">
        <v>11</v>
      </c>
      <c r="R1449" s="1" t="str">
        <f>"فروش داخلي تهران - بورس"</f>
        <v>فروش داخلي تهران - بورس</v>
      </c>
      <c r="S1449" s="1" t="str">
        <f>"قرارداد فروش"</f>
        <v>قرارداد فروش</v>
      </c>
      <c r="T1449" s="1" t="str">
        <f>"ندارد"</f>
        <v>ندارد</v>
      </c>
      <c r="U1449" s="1" t="str">
        <f>"خضرائي فريدون(4844003)"</f>
        <v>خضرائي فريدون(4844003)</v>
      </c>
      <c r="V1449" s="1">
        <v>961100032</v>
      </c>
      <c r="W1449" s="1">
        <v>961100032</v>
      </c>
      <c r="X1449" s="1" t="str">
        <f>"1396492345"</f>
        <v>1396492345</v>
      </c>
      <c r="Y1449" s="1" t="str">
        <f>"96/04/13"</f>
        <v>96/04/13</v>
      </c>
      <c r="Z1449" s="1" t="str">
        <f>"96/156/ص"</f>
        <v>96/156/ص</v>
      </c>
      <c r="AA1449" s="1" t="str">
        <f>"راه سازي"</f>
        <v>راه سازي</v>
      </c>
      <c r="AB1449" s="1" t="str">
        <f>"96/02/26"</f>
        <v>96/02/26</v>
      </c>
      <c r="AC1449" s="1" t="str">
        <f>"استان كرمان"</f>
        <v>استان كرمان</v>
      </c>
      <c r="AD1449" s="1" t="str">
        <f>"96/04/11"</f>
        <v>96/04/11</v>
      </c>
      <c r="AE1449" s="1" t="str">
        <f>"اختتام"</f>
        <v>اختتام</v>
      </c>
      <c r="AF1449" s="1" t="str">
        <f>""</f>
        <v/>
      </c>
      <c r="AG1449" s="1" t="str">
        <f>""</f>
        <v/>
      </c>
      <c r="AH1449" s="1" t="str">
        <f>""</f>
        <v/>
      </c>
      <c r="AI1449" s="1" t="str">
        <f>""</f>
        <v/>
      </c>
      <c r="AJ1449" s="1" t="str">
        <f>""</f>
        <v/>
      </c>
      <c r="AK1449" s="1" t="str">
        <f>""</f>
        <v/>
      </c>
    </row>
    <row r="1450" spans="1:37">
      <c r="A1450" s="1">
        <v>70000</v>
      </c>
      <c r="B1450" s="1">
        <v>966200196</v>
      </c>
      <c r="C1450" s="1" t="str">
        <f>"تخليه - اصفهان-داران جاده شهرکرد-کارخانه توليد آسفالت جهاد"</f>
        <v>تخليه - اصفهان-داران جاده شهرکرد-کارخانه توليد آسفالت جهاد</v>
      </c>
      <c r="D1450" s="1">
        <v>8704</v>
      </c>
      <c r="E1450" s="1">
        <v>69340</v>
      </c>
      <c r="F1450" s="1">
        <v>96</v>
      </c>
      <c r="G1450" s="1">
        <v>660</v>
      </c>
      <c r="H1450" s="1" t="str">
        <f>"96/05/25"</f>
        <v>96/05/25</v>
      </c>
      <c r="I1450" s="1" t="str">
        <f>"كيلوگرم"</f>
        <v>كيلوگرم</v>
      </c>
      <c r="J1450" s="1" t="str">
        <f>"0000000076"</f>
        <v>0000000076</v>
      </c>
      <c r="K1450" s="1" t="str">
        <f>"قير 60/70 - فله"</f>
        <v>قير 60/70 - فله</v>
      </c>
      <c r="L1450" s="1">
        <v>100</v>
      </c>
      <c r="M1450" s="1" t="str">
        <f>"مخازن قير اصفهان"</f>
        <v>مخازن قير اصفهان</v>
      </c>
      <c r="N1450" s="1">
        <v>10314</v>
      </c>
      <c r="O1450" s="1">
        <v>50035686</v>
      </c>
      <c r="P1450" s="1" t="str">
        <f>"  محکم بناسازان مشايخ"</f>
        <v xml:space="preserve">  محکم بناسازان مشايخ</v>
      </c>
      <c r="Q1450" s="1">
        <v>62</v>
      </c>
      <c r="R1450" s="1" t="str">
        <f>"فروش داخلي - سازمان بنيادمسكن انقلاب اسلامي"</f>
        <v>فروش داخلي - سازمان بنيادمسكن انقلاب اسلامي</v>
      </c>
      <c r="S1450" s="1" t="str">
        <f>"قرارداد فروش"</f>
        <v>قرارداد فروش</v>
      </c>
      <c r="T1450" s="1" t="str">
        <f>"ندارد"</f>
        <v>ندارد</v>
      </c>
      <c r="U1450" s="1" t="str">
        <f>"سيفي پور عبدالمجيد(1009ج89)"</f>
        <v>سيفي پور عبدالمجيد(1009ج89)</v>
      </c>
      <c r="V1450" s="1">
        <v>966200196</v>
      </c>
      <c r="W1450" s="1">
        <v>966200196</v>
      </c>
      <c r="X1450" s="1" t="str">
        <f>"1396506150"</f>
        <v>1396506150</v>
      </c>
      <c r="Y1450" s="1" t="str">
        <f>"96/05/25"</f>
        <v>96/05/25</v>
      </c>
      <c r="Z1450" s="1" t="str">
        <f>"22115/د"</f>
        <v>22115/د</v>
      </c>
      <c r="AA1450" s="1" t="str">
        <f>"بنيادمسكن انقلاب اسلامي"</f>
        <v>بنيادمسكن انقلاب اسلامي</v>
      </c>
      <c r="AB1450" s="1" t="str">
        <f>"96/05/24"</f>
        <v>96/05/24</v>
      </c>
      <c r="AC1450" s="1" t="str">
        <f>"استان اصفهان"</f>
        <v>استان اصفهان</v>
      </c>
      <c r="AD1450" s="1" t="str">
        <f>"96/05/25"</f>
        <v>96/05/25</v>
      </c>
      <c r="AE1450" s="1" t="str">
        <f>"اختتام"</f>
        <v>اختتام</v>
      </c>
      <c r="AF1450" s="1" t="str">
        <f>""</f>
        <v/>
      </c>
      <c r="AG1450" s="1" t="str">
        <f>""</f>
        <v/>
      </c>
      <c r="AH1450" s="1" t="str">
        <f>""</f>
        <v/>
      </c>
      <c r="AI1450" s="1" t="str">
        <f>""</f>
        <v/>
      </c>
      <c r="AJ1450" s="1" t="str">
        <f>""</f>
        <v/>
      </c>
      <c r="AK1450" s="1" t="str">
        <f>""</f>
        <v/>
      </c>
    </row>
    <row r="1451" spans="1:37">
      <c r="A1451" s="1">
        <v>171000</v>
      </c>
      <c r="B1451" s="1">
        <v>961700125</v>
      </c>
      <c r="C1451" s="1" t="str">
        <f>"تخليه -جنوب كرمان -محوررودان -كهنوج -كارخانه آسفالت شركت پي وپل جنوب"</f>
        <v>تخليه -جنوب كرمان -محوررودان -كهنوج -كارخانه آسفالت شركت پي وپل جنوب</v>
      </c>
      <c r="D1451" s="1">
        <v>9363</v>
      </c>
      <c r="E1451" s="1">
        <v>171000</v>
      </c>
      <c r="F1451" s="1">
        <v>96</v>
      </c>
      <c r="G1451" s="1">
        <v>0</v>
      </c>
      <c r="H1451" s="1" t="str">
        <f>"96/07/17"</f>
        <v>96/07/17</v>
      </c>
      <c r="I1451" s="1" t="str">
        <f>"كيلوگرم"</f>
        <v>كيلوگرم</v>
      </c>
      <c r="J1451" s="1" t="str">
        <f>"0000000092"</f>
        <v>0000000092</v>
      </c>
      <c r="K1451" s="1" t="str">
        <f>"قير  PG64-16"</f>
        <v>قير  PG64-16</v>
      </c>
      <c r="L1451" s="1">
        <v>100</v>
      </c>
      <c r="M1451" s="1" t="str">
        <f>"مخازن قير اصفهان"</f>
        <v>مخازن قير اصفهان</v>
      </c>
      <c r="N1451" s="1">
        <v>10547</v>
      </c>
      <c r="O1451" s="1">
        <v>50036634</v>
      </c>
      <c r="P1451" s="1" t="str">
        <f>"  پي و پل جنوب"</f>
        <v xml:space="preserve">  پي و پل جنوب</v>
      </c>
      <c r="Q1451" s="1">
        <v>17</v>
      </c>
      <c r="R1451" s="1" t="str">
        <f>"فروش داخلي تهران - وزارت راه - راه روستايي - روکش"</f>
        <v>فروش داخلي تهران - وزارت راه - راه روستايي - روکش</v>
      </c>
      <c r="S1451" s="1" t="str">
        <f>"قرارداد فروش"</f>
        <v>قرارداد فروش</v>
      </c>
      <c r="T1451" s="1" t="str">
        <f>"ندارد"</f>
        <v>ندارد</v>
      </c>
      <c r="U1451" s="1" t="str">
        <f>"قره باغي مجيد(1871065)"</f>
        <v>قره باغي مجيد(1871065)</v>
      </c>
      <c r="V1451" s="1">
        <v>961700125</v>
      </c>
      <c r="W1451" s="1">
        <v>961700125</v>
      </c>
      <c r="X1451" s="1" t="str">
        <f>"1396517387"</f>
        <v>1396517387</v>
      </c>
      <c r="Y1451" s="1" t="str">
        <f>"96/07/17"</f>
        <v>96/07/17</v>
      </c>
      <c r="Z1451" s="1" t="str">
        <f>"34624/710"</f>
        <v>34624/710</v>
      </c>
      <c r="AA1451" s="1" t="str">
        <f>"راه روستائي -روكش"</f>
        <v>راه روستائي -روكش</v>
      </c>
      <c r="AB1451" s="1" t="str">
        <f>"96/07/15"</f>
        <v>96/07/15</v>
      </c>
      <c r="AC1451" s="1" t="str">
        <f>"جنوب کرمان"</f>
        <v>جنوب کرمان</v>
      </c>
      <c r="AD1451" s="1" t="str">
        <f>"96/07/17"</f>
        <v>96/07/17</v>
      </c>
      <c r="AE1451" s="1" t="str">
        <f>"اختتام"</f>
        <v>اختتام</v>
      </c>
      <c r="AF1451" s="1" t="str">
        <f>""</f>
        <v/>
      </c>
      <c r="AG1451" s="1" t="str">
        <f>""</f>
        <v/>
      </c>
      <c r="AH1451" s="1" t="str">
        <f>""</f>
        <v/>
      </c>
      <c r="AI1451" s="1" t="str">
        <f>""</f>
        <v/>
      </c>
      <c r="AJ1451" s="1" t="str">
        <f>""</f>
        <v/>
      </c>
      <c r="AK1451" s="1" t="str">
        <f>""</f>
        <v/>
      </c>
    </row>
    <row r="1452" spans="1:37">
      <c r="A1452" s="1">
        <v>1000000</v>
      </c>
      <c r="B1452" s="1">
        <v>961600018</v>
      </c>
      <c r="C1452" s="1" t="str">
        <f>"تخليه -هرمزگان -محوررودان -كهنوج -كارخانه آسفالت شركت پي وپل جنوب"</f>
        <v>تخليه -هرمزگان -محوررودان -كهنوج -كارخانه آسفالت شركت پي وپل جنوب</v>
      </c>
      <c r="D1452" s="1">
        <v>12970</v>
      </c>
      <c r="E1452" s="1">
        <v>999220</v>
      </c>
      <c r="F1452" s="1">
        <v>96</v>
      </c>
      <c r="G1452" s="1">
        <v>780</v>
      </c>
      <c r="H1452" s="1" t="str">
        <f>"96/08/15"</f>
        <v>96/08/15</v>
      </c>
      <c r="I1452" s="1" t="str">
        <f>"كيلوگرم"</f>
        <v>كيلوگرم</v>
      </c>
      <c r="J1452" s="1" t="str">
        <f>"0000000092"</f>
        <v>0000000092</v>
      </c>
      <c r="K1452" s="1" t="str">
        <f>"قير  PG64-16"</f>
        <v>قير  PG64-16</v>
      </c>
      <c r="L1452" s="1">
        <v>100</v>
      </c>
      <c r="M1452" s="1" t="str">
        <f>"مخازن قير اصفهان"</f>
        <v>مخازن قير اصفهان</v>
      </c>
      <c r="N1452" s="1">
        <v>10547</v>
      </c>
      <c r="O1452" s="1">
        <v>50037069</v>
      </c>
      <c r="P1452" s="1" t="str">
        <f>"  پي و پل جنوب"</f>
        <v xml:space="preserve">  پي و پل جنوب</v>
      </c>
      <c r="Q1452" s="1">
        <v>16</v>
      </c>
      <c r="R1452" s="1" t="str">
        <f>"فروش داخلي تهران - وزارت راه - معاونت اقتصاد"</f>
        <v>فروش داخلي تهران - وزارت راه - معاونت اقتصاد</v>
      </c>
      <c r="S1452" s="1" t="str">
        <f>"قرارداد فروش"</f>
        <v>قرارداد فروش</v>
      </c>
      <c r="T1452" s="1" t="str">
        <f>"ندارد"</f>
        <v>ندارد</v>
      </c>
      <c r="U1452" s="1" t="str">
        <f>"قره باغي مجيد(1871065)"</f>
        <v>قره باغي مجيد(1871065)</v>
      </c>
      <c r="V1452" s="1">
        <v>961600018</v>
      </c>
      <c r="W1452" s="1">
        <v>961600018</v>
      </c>
      <c r="X1452" s="1" t="str">
        <f>"1396523773"</f>
        <v>1396523773</v>
      </c>
      <c r="Y1452" s="1" t="str">
        <f>"96/08/15"</f>
        <v>96/08/15</v>
      </c>
      <c r="Z1452" s="1" t="str">
        <f>"40835/710"</f>
        <v>40835/710</v>
      </c>
      <c r="AA1452" s="1" t="str">
        <f>"معاونت اقتصادوزارت راه وشهرسازي"</f>
        <v>معاونت اقتصادوزارت راه وشهرسازي</v>
      </c>
      <c r="AB1452" s="1" t="str">
        <f>"96/08/14"</f>
        <v>96/08/14</v>
      </c>
      <c r="AC1452" s="1" t="str">
        <f>"استان هرمزگان"</f>
        <v>استان هرمزگان</v>
      </c>
      <c r="AD1452" s="1" t="str">
        <f>"96/08/15"</f>
        <v>96/08/15</v>
      </c>
      <c r="AE1452" s="1" t="str">
        <f>"اختتام"</f>
        <v>اختتام</v>
      </c>
      <c r="AF1452" s="1" t="str">
        <f>""</f>
        <v/>
      </c>
      <c r="AG1452" s="1" t="str">
        <f>""</f>
        <v/>
      </c>
      <c r="AH1452" s="1" t="str">
        <f>""</f>
        <v/>
      </c>
      <c r="AI1452" s="1" t="str">
        <f>""</f>
        <v/>
      </c>
      <c r="AJ1452" s="1" t="str">
        <f>""</f>
        <v/>
      </c>
      <c r="AK1452" s="1" t="str">
        <f>""</f>
        <v/>
      </c>
    </row>
    <row r="1453" spans="1:37">
      <c r="A1453" s="1">
        <v>1000000</v>
      </c>
      <c r="B1453" s="1">
        <v>961700194</v>
      </c>
      <c r="C1453" s="1" t="str">
        <f>"تخليه -هرمزگان -محوررودان -كهنوج -كارخانه آسفالت شركت پي وپل جنوب"</f>
        <v>تخليه -هرمزگان -محوررودان -كهنوج -كارخانه آسفالت شركت پي وپل جنوب</v>
      </c>
      <c r="D1453" s="1">
        <v>14000</v>
      </c>
      <c r="E1453" s="1">
        <v>1000000</v>
      </c>
      <c r="F1453" s="1">
        <v>96</v>
      </c>
      <c r="G1453" s="1">
        <v>0</v>
      </c>
      <c r="H1453" s="1" t="str">
        <f>"96/12/23"</f>
        <v>96/12/23</v>
      </c>
      <c r="I1453" s="1" t="str">
        <f>"كيلوگرم"</f>
        <v>كيلوگرم</v>
      </c>
      <c r="J1453" s="1" t="str">
        <f>"0000000092"</f>
        <v>0000000092</v>
      </c>
      <c r="K1453" s="1" t="str">
        <f>"قير  PG64-16"</f>
        <v>قير  PG64-16</v>
      </c>
      <c r="L1453" s="1">
        <v>100</v>
      </c>
      <c r="M1453" s="1" t="str">
        <f>"مخازن قير اصفهان"</f>
        <v>مخازن قير اصفهان</v>
      </c>
      <c r="N1453" s="1">
        <v>10547</v>
      </c>
      <c r="O1453" s="1">
        <v>50038929</v>
      </c>
      <c r="P1453" s="1" t="str">
        <f>"  پي و پل جنوب"</f>
        <v xml:space="preserve">  پي و پل جنوب</v>
      </c>
      <c r="Q1453" s="1">
        <v>17</v>
      </c>
      <c r="R1453" s="1" t="str">
        <f>"فروش داخلي تهران - وزارت راه - راه روستايي - روکش"</f>
        <v>فروش داخلي تهران - وزارت راه - راه روستايي - روکش</v>
      </c>
      <c r="S1453" s="1" t="str">
        <f>"قرارداد فروش"</f>
        <v>قرارداد فروش</v>
      </c>
      <c r="T1453" s="1" t="str">
        <f>"ندارد"</f>
        <v>ندارد</v>
      </c>
      <c r="U1453" s="1" t="str">
        <f>"قره باغي مجيد(1871065)"</f>
        <v>قره باغي مجيد(1871065)</v>
      </c>
      <c r="V1453" s="1">
        <v>961700194</v>
      </c>
      <c r="W1453" s="1">
        <v>961700194</v>
      </c>
      <c r="X1453" s="1" t="str">
        <f>"1396554551"</f>
        <v>1396554551</v>
      </c>
      <c r="Y1453" s="1" t="str">
        <f>"96/12/23"</f>
        <v>96/12/23</v>
      </c>
      <c r="Z1453" s="1" t="str">
        <f>"299151/710"</f>
        <v>299151/710</v>
      </c>
      <c r="AA1453" s="1" t="str">
        <f>"راه روستائي -روكش"</f>
        <v>راه روستائي -روكش</v>
      </c>
      <c r="AB1453" s="1" t="str">
        <f>"96/12/21"</f>
        <v>96/12/21</v>
      </c>
      <c r="AC1453" s="1" t="str">
        <f>"استان هرمزگان"</f>
        <v>استان هرمزگان</v>
      </c>
      <c r="AD1453" s="1" t="str">
        <f>"96/12/22"</f>
        <v>96/12/22</v>
      </c>
      <c r="AE1453" s="1" t="str">
        <f>"اختتام"</f>
        <v>اختتام</v>
      </c>
      <c r="AF1453" s="1" t="str">
        <f>""</f>
        <v/>
      </c>
      <c r="AG1453" s="1" t="str">
        <f>""</f>
        <v/>
      </c>
      <c r="AH1453" s="1" t="str">
        <f>""</f>
        <v/>
      </c>
      <c r="AI1453" s="1" t="str">
        <f>""</f>
        <v/>
      </c>
      <c r="AJ1453" s="1" t="str">
        <f>""</f>
        <v/>
      </c>
      <c r="AK1453" s="1" t="str">
        <f>""</f>
        <v/>
      </c>
    </row>
    <row r="1454" spans="1:37">
      <c r="A1454" s="1">
        <v>300000</v>
      </c>
      <c r="B1454" s="1">
        <v>961700257</v>
      </c>
      <c r="C1454" s="1" t="str">
        <f>"تخليه -لرستان -كيلومتر8جاده خرم آباد-الشتر(تنگ شبيخون )ابتداي جاده پارك جنگلي مخملكوه كارخانه آسفالت مشكين راه رباط"</f>
        <v>تخليه -لرستان -كيلومتر8جاده خرم آباد-الشتر(تنگ شبيخون )ابتداي جاده پارك جنگلي مخملكوه كارخانه آسفالت مشكين راه رباط</v>
      </c>
      <c r="D1454" s="1">
        <v>15810</v>
      </c>
      <c r="E1454" s="1">
        <v>298120</v>
      </c>
      <c r="F1454" s="1">
        <v>96</v>
      </c>
      <c r="G1454" s="1">
        <v>1880</v>
      </c>
      <c r="H1454" s="1" t="str">
        <f>"96/12/26"</f>
        <v>96/12/26</v>
      </c>
      <c r="I1454" s="1" t="str">
        <f>"كيلوگرم"</f>
        <v>كيلوگرم</v>
      </c>
      <c r="J1454" s="1" t="str">
        <f>"0000000092"</f>
        <v>0000000092</v>
      </c>
      <c r="K1454" s="1" t="str">
        <f>"قير  PG64-16"</f>
        <v>قير  PG64-16</v>
      </c>
      <c r="L1454" s="1">
        <v>100</v>
      </c>
      <c r="M1454" s="1" t="str">
        <f>"مخازن قير اصفهان"</f>
        <v>مخازن قير اصفهان</v>
      </c>
      <c r="N1454" s="1">
        <v>10617</v>
      </c>
      <c r="O1454" s="1">
        <v>50039059</v>
      </c>
      <c r="P1454" s="1" t="str">
        <f>"  مشكين راه رباط"</f>
        <v xml:space="preserve">  مشكين راه رباط</v>
      </c>
      <c r="Q1454" s="1">
        <v>17</v>
      </c>
      <c r="R1454" s="1" t="str">
        <f>"فروش داخلي تهران - وزارت راه - راه روستايي - روکش"</f>
        <v>فروش داخلي تهران - وزارت راه - راه روستايي - روکش</v>
      </c>
      <c r="S1454" s="1" t="str">
        <f>"قرارداد فروش"</f>
        <v>قرارداد فروش</v>
      </c>
      <c r="T1454" s="1" t="str">
        <f>"ندارد"</f>
        <v>ندارد</v>
      </c>
      <c r="U1454" s="1" t="str">
        <f>"ريسماني حسن(1007ج89)"</f>
        <v>ريسماني حسن(1007ج89)</v>
      </c>
      <c r="V1454" s="1">
        <v>961700257</v>
      </c>
      <c r="W1454" s="1">
        <v>961700257</v>
      </c>
      <c r="X1454" s="1" t="str">
        <f>"1396555374"</f>
        <v>1396555374</v>
      </c>
      <c r="Y1454" s="1" t="str">
        <f>"96/12/26"</f>
        <v>96/12/26</v>
      </c>
      <c r="Z1454" s="1" t="str">
        <f>"49011/710"</f>
        <v>49011/710</v>
      </c>
      <c r="AA1454" s="1" t="str">
        <f>"راه روستائي -روكش"</f>
        <v>راه روستائي -روكش</v>
      </c>
      <c r="AB1454" s="1" t="str">
        <f>"96/09/25"</f>
        <v>96/09/25</v>
      </c>
      <c r="AC1454" s="1" t="str">
        <f>"لرستان"</f>
        <v>لرستان</v>
      </c>
      <c r="AD1454" s="1" t="str">
        <f>"96/12/26"</f>
        <v>96/12/26</v>
      </c>
      <c r="AE1454" s="1" t="str">
        <f>"اختتام"</f>
        <v>اختتام</v>
      </c>
      <c r="AF1454" s="1" t="str">
        <f>""</f>
        <v/>
      </c>
      <c r="AG1454" s="1" t="str">
        <f>""</f>
        <v/>
      </c>
      <c r="AH1454" s="1" t="str">
        <f>""</f>
        <v/>
      </c>
      <c r="AI1454" s="1" t="str">
        <f>""</f>
        <v/>
      </c>
      <c r="AJ1454" s="1" t="str">
        <f>""</f>
        <v/>
      </c>
      <c r="AK1454" s="1" t="str">
        <f>""</f>
        <v/>
      </c>
    </row>
    <row r="1455" spans="1:37">
      <c r="A1455" s="1">
        <v>45957</v>
      </c>
      <c r="B1455" s="1">
        <v>962000385</v>
      </c>
      <c r="C1455" s="1" t="str">
        <f>"تخليه شهركردهفشجان نوآبادكارخانه آسفالت سازمان همياري شهرداريهاي چهارمحال"</f>
        <v>تخليه شهركردهفشجان نوآبادكارخانه آسفالت سازمان همياري شهرداريهاي چهارمحال</v>
      </c>
      <c r="D1455" s="1">
        <v>12820</v>
      </c>
      <c r="E1455" s="1">
        <v>45957</v>
      </c>
      <c r="F1455" s="1">
        <v>96</v>
      </c>
      <c r="G1455" s="1">
        <v>0</v>
      </c>
      <c r="H1455" s="1" t="str">
        <f>"96/09/19"</f>
        <v>96/09/19</v>
      </c>
      <c r="I1455" s="1" t="str">
        <f>"كيلوگرم"</f>
        <v>كيلوگرم</v>
      </c>
      <c r="J1455" s="1" t="str">
        <f>"1000000002"</f>
        <v>1000000002</v>
      </c>
      <c r="K1455" s="1" t="str">
        <f>"قير 85/100 - فله"</f>
        <v>قير 85/100 - فله</v>
      </c>
      <c r="L1455" s="1">
        <v>100</v>
      </c>
      <c r="M1455" s="1" t="str">
        <f>"مخازن قير اصفهان"</f>
        <v>مخازن قير اصفهان</v>
      </c>
      <c r="N1455" s="1">
        <v>10667</v>
      </c>
      <c r="O1455" s="1">
        <v>50037682</v>
      </c>
      <c r="P1455" s="1" t="str">
        <f>"  شهرداري دستناء"</f>
        <v xml:space="preserve">  شهرداري دستناء</v>
      </c>
      <c r="Q1455" s="1">
        <v>20</v>
      </c>
      <c r="R1455" s="1" t="str">
        <f>"فروش داخلي - سازمان شهرداري ها و دهياري هاي كشور"</f>
        <v>فروش داخلي - سازمان شهرداري ها و دهياري هاي كشور</v>
      </c>
      <c r="S1455" s="1" t="str">
        <f>"قرارداد فروش"</f>
        <v>قرارداد فروش</v>
      </c>
      <c r="T1455" s="1" t="str">
        <f>"ندارد"</f>
        <v>ندارد</v>
      </c>
      <c r="U1455" s="1" t="str">
        <f>"تعاوني جم گستر (1001 ج 89)"</f>
        <v>تعاوني جم گستر (1001 ج 89)</v>
      </c>
      <c r="V1455" s="1">
        <v>962000385</v>
      </c>
      <c r="W1455" s="1">
        <v>962000385</v>
      </c>
      <c r="X1455" s="1" t="str">
        <f>"1396529715"</f>
        <v>1396529715</v>
      </c>
      <c r="Y1455" s="1" t="str">
        <f>"96/09/19"</f>
        <v>96/09/19</v>
      </c>
      <c r="Z1455" s="1" t="str">
        <f>"38538مرحله دوم"</f>
        <v>38538مرحله دوم</v>
      </c>
      <c r="AA1455" s="1" t="str">
        <f>"شهرداريها"</f>
        <v>شهرداريها</v>
      </c>
      <c r="AB1455" s="1" t="str">
        <f>"96/09/11"</f>
        <v>96/09/11</v>
      </c>
      <c r="AC1455" s="1" t="str">
        <f>"استان چهارمحال بختياري"</f>
        <v>استان چهارمحال بختياري</v>
      </c>
      <c r="AD1455" s="1" t="str">
        <f>"96/09/13"</f>
        <v>96/09/13</v>
      </c>
      <c r="AE1455" s="1" t="str">
        <f>"اختتام"</f>
        <v>اختتام</v>
      </c>
      <c r="AF1455" s="1" t="str">
        <f>""</f>
        <v/>
      </c>
      <c r="AG1455" s="1" t="str">
        <f>""</f>
        <v/>
      </c>
      <c r="AH1455" s="1" t="str">
        <f>""</f>
        <v/>
      </c>
      <c r="AI1455" s="1" t="str">
        <f>""</f>
        <v/>
      </c>
      <c r="AJ1455" s="1" t="str">
        <f>""</f>
        <v/>
      </c>
      <c r="AK1455" s="1" t="str">
        <f>""</f>
        <v/>
      </c>
    </row>
    <row r="1456" spans="1:37">
      <c r="A1456" s="1">
        <v>46993</v>
      </c>
      <c r="B1456" s="1">
        <v>962000386</v>
      </c>
      <c r="C1456" s="1" t="str">
        <f>"چهارمحال وبختياري شهركردناغان كارخانه آسفالت اتحادناغان"</f>
        <v>چهارمحال وبختياري شهركردناغان كارخانه آسفالت اتحادناغان</v>
      </c>
      <c r="D1456" s="1">
        <v>12820</v>
      </c>
      <c r="E1456" s="1">
        <v>46993</v>
      </c>
      <c r="F1456" s="1">
        <v>96</v>
      </c>
      <c r="G1456" s="1">
        <v>0</v>
      </c>
      <c r="H1456" s="1" t="str">
        <f>"96/09/19"</f>
        <v>96/09/19</v>
      </c>
      <c r="I1456" s="1" t="str">
        <f>"كيلوگرم"</f>
        <v>كيلوگرم</v>
      </c>
      <c r="J1456" s="1" t="str">
        <f>"1000000002"</f>
        <v>1000000002</v>
      </c>
      <c r="K1456" s="1" t="str">
        <f>"قير 85/100 - فله"</f>
        <v>قير 85/100 - فله</v>
      </c>
      <c r="L1456" s="1">
        <v>100</v>
      </c>
      <c r="M1456" s="1" t="str">
        <f>"مخازن قير اصفهان"</f>
        <v>مخازن قير اصفهان</v>
      </c>
      <c r="N1456" s="1">
        <v>9665</v>
      </c>
      <c r="O1456" s="1">
        <v>50037683</v>
      </c>
      <c r="P1456" s="1" t="str">
        <f>"  شهرداري شلمزار"</f>
        <v xml:space="preserve">  شهرداري شلمزار</v>
      </c>
      <c r="Q1456" s="1">
        <v>20</v>
      </c>
      <c r="R1456" s="1" t="str">
        <f>"فروش داخلي - سازمان شهرداري ها و دهياري هاي كشور"</f>
        <v>فروش داخلي - سازمان شهرداري ها و دهياري هاي كشور</v>
      </c>
      <c r="S1456" s="1" t="str">
        <f>"قرارداد فروش"</f>
        <v>قرارداد فروش</v>
      </c>
      <c r="T1456" s="1" t="str">
        <f>"ندارد"</f>
        <v>ندارد</v>
      </c>
      <c r="U1456" s="1" t="str">
        <f>"تعاوني جم گستر (1001 ج 89)"</f>
        <v>تعاوني جم گستر (1001 ج 89)</v>
      </c>
      <c r="V1456" s="1">
        <v>962000386</v>
      </c>
      <c r="W1456" s="1">
        <v>962000386</v>
      </c>
      <c r="X1456" s="1" t="str">
        <f>"1396529715"</f>
        <v>1396529715</v>
      </c>
      <c r="Y1456" s="1" t="str">
        <f>"96/09/19"</f>
        <v>96/09/19</v>
      </c>
      <c r="Z1456" s="1" t="str">
        <f>"38539مرحله دوم"</f>
        <v>38539مرحله دوم</v>
      </c>
      <c r="AA1456" s="1" t="str">
        <f>"شهرداريها"</f>
        <v>شهرداريها</v>
      </c>
      <c r="AB1456" s="1" t="str">
        <f>"96/09/11"</f>
        <v>96/09/11</v>
      </c>
      <c r="AC1456" s="1" t="str">
        <f>"استان چهارمحال بختياري"</f>
        <v>استان چهارمحال بختياري</v>
      </c>
      <c r="AD1456" s="1" t="str">
        <f>"96/09/13"</f>
        <v>96/09/13</v>
      </c>
      <c r="AE1456" s="1" t="str">
        <f>"تاييدشده"</f>
        <v>تاييدشده</v>
      </c>
      <c r="AF1456" s="1" t="str">
        <f>""</f>
        <v/>
      </c>
      <c r="AG1456" s="1" t="str">
        <f>""</f>
        <v/>
      </c>
      <c r="AH1456" s="1" t="str">
        <f>""</f>
        <v/>
      </c>
      <c r="AI1456" s="1" t="str">
        <f>""</f>
        <v/>
      </c>
      <c r="AJ1456" s="1" t="str">
        <f>""</f>
        <v/>
      </c>
      <c r="AK1456" s="1" t="str">
        <f>""</f>
        <v/>
      </c>
    </row>
    <row r="1457" spans="1:37">
      <c r="A1457" s="1">
        <v>35000</v>
      </c>
      <c r="B1457" s="1">
        <v>966200364</v>
      </c>
      <c r="C1457" s="1" t="str">
        <f>"تخليه-شهرکرد-اردل-ناحيه صنعتي-کارخانه آسفالت دشتاوند دزپارت"</f>
        <v>تخليه-شهرکرد-اردل-ناحيه صنعتي-کارخانه آسفالت دشتاوند دزپارت</v>
      </c>
      <c r="D1457" s="1">
        <v>9416</v>
      </c>
      <c r="E1457" s="1">
        <v>33980</v>
      </c>
      <c r="F1457" s="1">
        <v>96</v>
      </c>
      <c r="G1457" s="1">
        <v>1020</v>
      </c>
      <c r="H1457" s="1" t="str">
        <f>"96/08/09"</f>
        <v>96/08/09</v>
      </c>
      <c r="I1457" s="1" t="str">
        <f>"كيلوگرم"</f>
        <v>كيلوگرم</v>
      </c>
      <c r="J1457" s="1" t="str">
        <f>"1000000002"</f>
        <v>1000000002</v>
      </c>
      <c r="K1457" s="1" t="str">
        <f>"قير 85/100 - فله"</f>
        <v>قير 85/100 - فله</v>
      </c>
      <c r="L1457" s="1">
        <v>100</v>
      </c>
      <c r="M1457" s="1" t="str">
        <f>"مخازن قير اصفهان"</f>
        <v>مخازن قير اصفهان</v>
      </c>
      <c r="N1457" s="1">
        <v>11113</v>
      </c>
      <c r="O1457" s="1">
        <v>50036978</v>
      </c>
      <c r="P1457" s="1" t="str">
        <f>"  فني مهندسي شايگان پارس زاگرس"</f>
        <v xml:space="preserve">  فني مهندسي شايگان پارس زاگرس</v>
      </c>
      <c r="Q1457" s="1">
        <v>62</v>
      </c>
      <c r="R1457" s="1" t="str">
        <f>"فروش داخلي - سازمان بنيادمسكن انقلاب اسلامي"</f>
        <v>فروش داخلي - سازمان بنيادمسكن انقلاب اسلامي</v>
      </c>
      <c r="S1457" s="1" t="str">
        <f>"قرارداد فروش"</f>
        <v>قرارداد فروش</v>
      </c>
      <c r="T1457" s="1" t="str">
        <f>"ندارد"</f>
        <v>ندارد</v>
      </c>
      <c r="U1457" s="1" t="str">
        <f>"قره باغي مجيد(1871065)"</f>
        <v>قره باغي مجيد(1871065)</v>
      </c>
      <c r="V1457" s="1">
        <v>966200364</v>
      </c>
      <c r="W1457" s="1">
        <v>966200364</v>
      </c>
      <c r="X1457" s="1" t="str">
        <f>"1396522409"</f>
        <v>1396522409</v>
      </c>
      <c r="Y1457" s="1" t="str">
        <f>"96/08/09"</f>
        <v>96/08/09</v>
      </c>
      <c r="Z1457" s="1" t="str">
        <f>"35263/د"</f>
        <v>35263/د</v>
      </c>
      <c r="AA1457" s="1" t="str">
        <f>"بنيادمسكن انقلاب اسلامي"</f>
        <v>بنيادمسكن انقلاب اسلامي</v>
      </c>
      <c r="AB1457" s="1" t="str">
        <f>"96/08/08"</f>
        <v>96/08/08</v>
      </c>
      <c r="AC1457" s="1" t="str">
        <f>"استان چهارمحال بختياري"</f>
        <v>استان چهارمحال بختياري</v>
      </c>
      <c r="AD1457" s="1" t="str">
        <f>"96/08/09"</f>
        <v>96/08/09</v>
      </c>
      <c r="AE1457" s="1" t="str">
        <f>"اختتام"</f>
        <v>اختتام</v>
      </c>
      <c r="AF1457" s="1" t="str">
        <f>""</f>
        <v/>
      </c>
      <c r="AG1457" s="1" t="str">
        <f>""</f>
        <v/>
      </c>
      <c r="AH1457" s="1" t="str">
        <f>""</f>
        <v/>
      </c>
      <c r="AI1457" s="1" t="str">
        <f>""</f>
        <v/>
      </c>
      <c r="AJ1457" s="1" t="str">
        <f>""</f>
        <v/>
      </c>
      <c r="AK1457" s="1" t="str">
        <f>""</f>
        <v/>
      </c>
    </row>
    <row r="1458" spans="1:37">
      <c r="A1458" s="1">
        <v>250000</v>
      </c>
      <c r="B1458" s="1">
        <v>961700259</v>
      </c>
      <c r="C1458" s="1" t="str">
        <f>"تخليه -جنوب استان كرمان -جيرفت -دانشگاه آزاد-كمربندي به طرف كهنوج -روبروي مدرسه استثنائي -كارخانه آسفالت نگين صحت جيرفت"</f>
        <v>تخليه -جنوب استان كرمان -جيرفت -دانشگاه آزاد-كمربندي به طرف كهنوج -روبروي مدرسه استثنائي -كارخانه آسفالت نگين صحت جيرفت</v>
      </c>
      <c r="D1458" s="1">
        <v>14000</v>
      </c>
      <c r="E1458" s="1">
        <v>249140</v>
      </c>
      <c r="F1458" s="1">
        <v>96</v>
      </c>
      <c r="G1458" s="1">
        <v>860</v>
      </c>
      <c r="H1458" s="1" t="str">
        <f>"96/12/27"</f>
        <v>96/12/27</v>
      </c>
      <c r="I1458" s="1" t="str">
        <f>"كيلوگرم"</f>
        <v>كيلوگرم</v>
      </c>
      <c r="J1458" s="1" t="str">
        <f>"0000000092"</f>
        <v>0000000092</v>
      </c>
      <c r="K1458" s="1" t="str">
        <f>"قير  PG64-16"</f>
        <v>قير  PG64-16</v>
      </c>
      <c r="L1458" s="1">
        <v>100</v>
      </c>
      <c r="M1458" s="1" t="str">
        <f>"مخازن قير اصفهان"</f>
        <v>مخازن قير اصفهان</v>
      </c>
      <c r="N1458" s="1">
        <v>10717</v>
      </c>
      <c r="O1458" s="1">
        <v>50039138</v>
      </c>
      <c r="P1458" s="1" t="str">
        <f>"  تعاوني نگين صحت جيرفت"</f>
        <v xml:space="preserve">  تعاوني نگين صحت جيرفت</v>
      </c>
      <c r="Q1458" s="1">
        <v>17</v>
      </c>
      <c r="R1458" s="1" t="str">
        <f>"فروش داخلي تهران - وزارت راه - راه روستايي - روکش"</f>
        <v>فروش داخلي تهران - وزارت راه - راه روستايي - روکش</v>
      </c>
      <c r="S1458" s="1" t="str">
        <f>"قرارداد فروش"</f>
        <v>قرارداد فروش</v>
      </c>
      <c r="T1458" s="1" t="str">
        <f>"ندارد"</f>
        <v>ندارد</v>
      </c>
      <c r="U1458" s="1" t="str">
        <f>"كاردان اسپادان راه مصطفي  (1911100)"</f>
        <v>كاردان اسپادان راه مصطفي  (1911100)</v>
      </c>
      <c r="V1458" s="1">
        <v>961700259</v>
      </c>
      <c r="W1458" s="1">
        <v>961700259</v>
      </c>
      <c r="X1458" s="1" t="str">
        <f>"1396555470"</f>
        <v>1396555470</v>
      </c>
      <c r="Y1458" s="1" t="str">
        <f>"96/12/27"</f>
        <v>96/12/27</v>
      </c>
      <c r="Z1458" s="1" t="str">
        <f>"301798/870"</f>
        <v>301798/870</v>
      </c>
      <c r="AA1458" s="1" t="str">
        <f>"راه روستائي -روكش"</f>
        <v>راه روستائي -روكش</v>
      </c>
      <c r="AB1458" s="1" t="str">
        <f>"96/12/27"</f>
        <v>96/12/27</v>
      </c>
      <c r="AC1458" s="1" t="str">
        <f>"جنوب کرمان"</f>
        <v>جنوب کرمان</v>
      </c>
      <c r="AD1458" s="1" t="str">
        <f>"96/12/27"</f>
        <v>96/12/27</v>
      </c>
      <c r="AE1458" s="1" t="str">
        <f>"اختتام"</f>
        <v>اختتام</v>
      </c>
      <c r="AF1458" s="1" t="str">
        <f>""</f>
        <v/>
      </c>
      <c r="AG1458" s="1" t="str">
        <f>""</f>
        <v/>
      </c>
      <c r="AH1458" s="1" t="str">
        <f>""</f>
        <v/>
      </c>
      <c r="AI1458" s="1" t="str">
        <f>""</f>
        <v/>
      </c>
      <c r="AJ1458" s="1" t="str">
        <f>""</f>
        <v/>
      </c>
      <c r="AK1458" s="1" t="str">
        <f>""</f>
        <v/>
      </c>
    </row>
    <row r="1459" spans="1:37">
      <c r="A1459" s="1">
        <v>43137</v>
      </c>
      <c r="B1459" s="1">
        <v>962000357</v>
      </c>
      <c r="C1459" s="1" t="str">
        <f>"تخليه -چهارمحال و بختياري-شهرکرد-هفشجان-نوآباد-کارخانه آسفالت سازمان همياريهاو شهرداريها"</f>
        <v>تخليه -چهارمحال و بختياري-شهرکرد-هفشجان-نوآباد-کارخانه آسفالت سازمان همياريهاو شهرداريها</v>
      </c>
      <c r="D1459" s="1">
        <v>12820</v>
      </c>
      <c r="E1459" s="1">
        <v>43137</v>
      </c>
      <c r="F1459" s="1">
        <v>96</v>
      </c>
      <c r="G1459" s="1">
        <v>0</v>
      </c>
      <c r="H1459" s="1" t="str">
        <f>"96/09/19"</f>
        <v>96/09/19</v>
      </c>
      <c r="I1459" s="1" t="str">
        <f>"كيلوگرم"</f>
        <v>كيلوگرم</v>
      </c>
      <c r="J1459" s="1" t="str">
        <f>"1000000002"</f>
        <v>1000000002</v>
      </c>
      <c r="K1459" s="1" t="str">
        <f>"قير 85/100 - فله"</f>
        <v>قير 85/100 - فله</v>
      </c>
      <c r="L1459" s="1">
        <v>100</v>
      </c>
      <c r="M1459" s="1" t="str">
        <f>"مخازن قير اصفهان"</f>
        <v>مخازن قير اصفهان</v>
      </c>
      <c r="N1459" s="1">
        <v>11155</v>
      </c>
      <c r="O1459" s="1">
        <v>50037651</v>
      </c>
      <c r="P1459" s="1" t="str">
        <f>"  شهرداري دشتك"</f>
        <v xml:space="preserve">  شهرداري دشتك</v>
      </c>
      <c r="Q1459" s="1">
        <v>20</v>
      </c>
      <c r="R1459" s="1" t="str">
        <f>"فروش داخلي - سازمان شهرداري ها و دهياري هاي كشور"</f>
        <v>فروش داخلي - سازمان شهرداري ها و دهياري هاي كشور</v>
      </c>
      <c r="S1459" s="1" t="str">
        <f>"قرارداد فروش"</f>
        <v>قرارداد فروش</v>
      </c>
      <c r="T1459" s="1" t="str">
        <f>"ندارد"</f>
        <v>ندارد</v>
      </c>
      <c r="U1459" s="1" t="str">
        <f>"تعاوني جم گستر (1001 ج 89)"</f>
        <v>تعاوني جم گستر (1001 ج 89)</v>
      </c>
      <c r="V1459" s="1">
        <v>962000357</v>
      </c>
      <c r="W1459" s="1">
        <v>962000357</v>
      </c>
      <c r="X1459" s="1" t="str">
        <f>"1396529715"</f>
        <v>1396529715</v>
      </c>
      <c r="Y1459" s="1" t="str">
        <f>"96/09/18"</f>
        <v>96/09/18</v>
      </c>
      <c r="Z1459" s="1" t="str">
        <f>"38469مرحله دوم"</f>
        <v>38469مرحله دوم</v>
      </c>
      <c r="AA1459" s="1" t="str">
        <f>"شهرداريها"</f>
        <v>شهرداريها</v>
      </c>
      <c r="AB1459" s="1" t="str">
        <f>"96/09/11"</f>
        <v>96/09/11</v>
      </c>
      <c r="AC1459" s="1" t="str">
        <f>"استان چهارمحال بختياري"</f>
        <v>استان چهارمحال بختياري</v>
      </c>
      <c r="AD1459" s="1" t="str">
        <f>"96/09/13"</f>
        <v>96/09/13</v>
      </c>
      <c r="AE1459" s="1" t="str">
        <f>"تاييدشده"</f>
        <v>تاييدشده</v>
      </c>
      <c r="AF1459" s="1" t="str">
        <f>""</f>
        <v/>
      </c>
      <c r="AG1459" s="1" t="str">
        <f>""</f>
        <v/>
      </c>
      <c r="AH1459" s="1" t="str">
        <f>""</f>
        <v/>
      </c>
      <c r="AI1459" s="1" t="str">
        <f>""</f>
        <v/>
      </c>
      <c r="AJ1459" s="1" t="str">
        <f>""</f>
        <v/>
      </c>
      <c r="AK1459" s="1" t="str">
        <f>""</f>
        <v/>
      </c>
    </row>
    <row r="1460" spans="1:37">
      <c r="A1460" s="1">
        <v>42816</v>
      </c>
      <c r="B1460" s="1">
        <v>962000359</v>
      </c>
      <c r="C1460" s="1" t="str">
        <f>"تخليه - چهارمحال و بختياري-اردل-شرکت دشتاوند دزپارت"</f>
        <v>تخليه - چهارمحال و بختياري-اردل-شرکت دشتاوند دزپارت</v>
      </c>
      <c r="D1460" s="1">
        <v>12820</v>
      </c>
      <c r="E1460" s="1">
        <v>42816</v>
      </c>
      <c r="F1460" s="1">
        <v>96</v>
      </c>
      <c r="G1460" s="1">
        <v>0</v>
      </c>
      <c r="H1460" s="1" t="str">
        <f>"96/09/19"</f>
        <v>96/09/19</v>
      </c>
      <c r="I1460" s="1" t="str">
        <f>"كيلوگرم"</f>
        <v>كيلوگرم</v>
      </c>
      <c r="J1460" s="1" t="str">
        <f>"1000000002"</f>
        <v>1000000002</v>
      </c>
      <c r="K1460" s="1" t="str">
        <f>"قير 85/100 - فله"</f>
        <v>قير 85/100 - فله</v>
      </c>
      <c r="L1460" s="1">
        <v>100</v>
      </c>
      <c r="M1460" s="1" t="str">
        <f>"مخازن قير اصفهان"</f>
        <v>مخازن قير اصفهان</v>
      </c>
      <c r="N1460" s="1">
        <v>11156</v>
      </c>
      <c r="O1460" s="1">
        <v>50037654</v>
      </c>
      <c r="P1460" s="1" t="str">
        <f>"  شهرداري كاج"</f>
        <v xml:space="preserve">  شهرداري كاج</v>
      </c>
      <c r="Q1460" s="1">
        <v>20</v>
      </c>
      <c r="R1460" s="1" t="str">
        <f>"فروش داخلي - سازمان شهرداري ها و دهياري هاي كشور"</f>
        <v>فروش داخلي - سازمان شهرداري ها و دهياري هاي كشور</v>
      </c>
      <c r="S1460" s="1" t="str">
        <f>"قرارداد فروش"</f>
        <v>قرارداد فروش</v>
      </c>
      <c r="T1460" s="1" t="str">
        <f>"ندارد"</f>
        <v>ندارد</v>
      </c>
      <c r="U1460" s="1" t="str">
        <f>"تعاوني جم گستر (1001 ج 89)"</f>
        <v>تعاوني جم گستر (1001 ج 89)</v>
      </c>
      <c r="V1460" s="1">
        <v>962000359</v>
      </c>
      <c r="W1460" s="1">
        <v>962000359</v>
      </c>
      <c r="X1460" s="1" t="str">
        <f>"1396529715"</f>
        <v>1396529715</v>
      </c>
      <c r="Y1460" s="1" t="str">
        <f>"96/09/18"</f>
        <v>96/09/18</v>
      </c>
      <c r="Z1460" s="1" t="str">
        <f>"38474مرحله دوم"</f>
        <v>38474مرحله دوم</v>
      </c>
      <c r="AA1460" s="1" t="str">
        <f>"شهرداريها"</f>
        <v>شهرداريها</v>
      </c>
      <c r="AB1460" s="1" t="str">
        <f>"96/09/11"</f>
        <v>96/09/11</v>
      </c>
      <c r="AC1460" s="1" t="str">
        <f>"استان چهارمحال بختياري"</f>
        <v>استان چهارمحال بختياري</v>
      </c>
      <c r="AD1460" s="1" t="str">
        <f>"96/09/13"</f>
        <v>96/09/13</v>
      </c>
      <c r="AE1460" s="1" t="str">
        <f>"اختتام"</f>
        <v>اختتام</v>
      </c>
      <c r="AF1460" s="1" t="str">
        <f>""</f>
        <v/>
      </c>
      <c r="AG1460" s="1" t="str">
        <f>""</f>
        <v/>
      </c>
      <c r="AH1460" s="1" t="str">
        <f>""</f>
        <v/>
      </c>
      <c r="AI1460" s="1" t="str">
        <f>""</f>
        <v/>
      </c>
      <c r="AJ1460" s="1" t="str">
        <f>""</f>
        <v/>
      </c>
      <c r="AK1460" s="1" t="str">
        <f>""</f>
        <v/>
      </c>
    </row>
    <row r="1461" spans="1:37">
      <c r="A1461" s="1">
        <v>35000</v>
      </c>
      <c r="B1461" s="1">
        <v>966200209</v>
      </c>
      <c r="C1461" s="1" t="str">
        <f>"تخليه - چهارمحال- فارسان-چليچه- کارخانه آسفالت احمدي"</f>
        <v>تخليه - چهارمحال- فارسان-چليچه- کارخانه آسفالت احمدي</v>
      </c>
      <c r="D1461" s="1">
        <v>8704</v>
      </c>
      <c r="E1461" s="1">
        <v>34380</v>
      </c>
      <c r="F1461" s="1">
        <v>96</v>
      </c>
      <c r="G1461" s="1">
        <v>620</v>
      </c>
      <c r="H1461" s="1" t="str">
        <f>"96/05/31"</f>
        <v>96/05/31</v>
      </c>
      <c r="I1461" s="1" t="str">
        <f>"كيلوگرم"</f>
        <v>كيلوگرم</v>
      </c>
      <c r="J1461" s="1" t="str">
        <f>"1000000002"</f>
        <v>1000000002</v>
      </c>
      <c r="K1461" s="1" t="str">
        <f>"قير 85/100 - فله"</f>
        <v>قير 85/100 - فله</v>
      </c>
      <c r="L1461" s="1">
        <v>100</v>
      </c>
      <c r="M1461" s="1" t="str">
        <f>"مخازن قير اصفهان"</f>
        <v>مخازن قير اصفهان</v>
      </c>
      <c r="N1461" s="1">
        <v>11193</v>
      </c>
      <c r="O1461" s="1">
        <v>50035777</v>
      </c>
      <c r="P1461" s="1" t="str">
        <f>"  پارسان پي فارسان"</f>
        <v xml:space="preserve">  پارسان پي فارسان</v>
      </c>
      <c r="Q1461" s="1">
        <v>62</v>
      </c>
      <c r="R1461" s="1" t="str">
        <f>"فروش داخلي - سازمان بنيادمسكن انقلاب اسلامي"</f>
        <v>فروش داخلي - سازمان بنيادمسكن انقلاب اسلامي</v>
      </c>
      <c r="S1461" s="1" t="str">
        <f>"قرارداد فروش"</f>
        <v>قرارداد فروش</v>
      </c>
      <c r="T1461" s="1" t="str">
        <f>"ندارد"</f>
        <v>ندارد</v>
      </c>
      <c r="U1461" s="1" t="str">
        <f>"قره باغي مجيد(1871065)"</f>
        <v>قره باغي مجيد(1871065)</v>
      </c>
      <c r="V1461" s="1">
        <v>966200209</v>
      </c>
      <c r="W1461" s="1">
        <v>966200209</v>
      </c>
      <c r="X1461" s="1" t="str">
        <f>"1396507046"</f>
        <v>1396507046</v>
      </c>
      <c r="Y1461" s="1" t="str">
        <f>"96/05/31"</f>
        <v>96/05/31</v>
      </c>
      <c r="Z1461" s="1" t="str">
        <f>"23029/د"</f>
        <v>23029/د</v>
      </c>
      <c r="AA1461" s="1" t="str">
        <f>"بنيادمسكن انقلاب اسلامي"</f>
        <v>بنيادمسكن انقلاب اسلامي</v>
      </c>
      <c r="AB1461" s="1" t="str">
        <f>"96/05/29"</f>
        <v>96/05/29</v>
      </c>
      <c r="AC1461" s="1" t="str">
        <f>"استان چهارمحال بختياري"</f>
        <v>استان چهارمحال بختياري</v>
      </c>
      <c r="AD1461" s="1" t="str">
        <f>"96/05/31"</f>
        <v>96/05/31</v>
      </c>
      <c r="AE1461" s="1" t="str">
        <f>"اختتام"</f>
        <v>اختتام</v>
      </c>
      <c r="AF1461" s="1" t="str">
        <f>""</f>
        <v/>
      </c>
      <c r="AG1461" s="1" t="str">
        <f>""</f>
        <v/>
      </c>
      <c r="AH1461" s="1" t="str">
        <f>""</f>
        <v/>
      </c>
      <c r="AI1461" s="1" t="str">
        <f>""</f>
        <v/>
      </c>
      <c r="AJ1461" s="1" t="str">
        <f>""</f>
        <v/>
      </c>
      <c r="AK1461" s="1" t="str">
        <f>""</f>
        <v/>
      </c>
    </row>
    <row r="1462" spans="1:37">
      <c r="A1462" s="1">
        <v>1000000</v>
      </c>
      <c r="B1462" s="1">
        <v>961700145</v>
      </c>
      <c r="C1462" s="1" t="str">
        <f>"تخليه هرمزگان حاجي آباددوراهي گهكم به سمت داراب كارخانه آسفالت شركت سازه سازان سمنگان"</f>
        <v>تخليه هرمزگان حاجي آباددوراهي گهكم به سمت داراب كارخانه آسفالت شركت سازه سازان سمنگان</v>
      </c>
      <c r="D1462" s="1">
        <v>12970</v>
      </c>
      <c r="E1462" s="1">
        <v>998780</v>
      </c>
      <c r="F1462" s="1">
        <v>96</v>
      </c>
      <c r="G1462" s="1">
        <v>1220</v>
      </c>
      <c r="H1462" s="1" t="str">
        <f>"96/08/06"</f>
        <v>96/08/06</v>
      </c>
      <c r="I1462" s="1" t="str">
        <f>"كيلوگرم"</f>
        <v>كيلوگرم</v>
      </c>
      <c r="J1462" s="1" t="str">
        <f>"0000000092"</f>
        <v>0000000092</v>
      </c>
      <c r="K1462" s="1" t="str">
        <f>"قير  PG64-16"</f>
        <v>قير  PG64-16</v>
      </c>
      <c r="L1462" s="1">
        <v>100</v>
      </c>
      <c r="M1462" s="1" t="str">
        <f>"مخازن قير اصفهان"</f>
        <v>مخازن قير اصفهان</v>
      </c>
      <c r="N1462" s="1">
        <v>11212</v>
      </c>
      <c r="O1462" s="1">
        <v>50036912</v>
      </c>
      <c r="P1462" s="1" t="str">
        <f>"  راهسازي وساختماني سازه سازان سمنگان"</f>
        <v xml:space="preserve">  راهسازي وساختماني سازه سازان سمنگان</v>
      </c>
      <c r="Q1462" s="1">
        <v>17</v>
      </c>
      <c r="R1462" s="1" t="str">
        <f>"فروش داخلي تهران - وزارت راه - راه روستايي - روکش"</f>
        <v>فروش داخلي تهران - وزارت راه - راه روستايي - روکش</v>
      </c>
      <c r="S1462" s="1" t="str">
        <f>"قرارداد فروش"</f>
        <v>قرارداد فروش</v>
      </c>
      <c r="T1462" s="1" t="str">
        <f>"ندارد"</f>
        <v>ندارد</v>
      </c>
      <c r="U1462" s="1" t="str">
        <f>"حاصليان ترابرجنوب مرتضي حاصلي (4844006)"</f>
        <v>حاصليان ترابرجنوب مرتضي حاصلي (4844006)</v>
      </c>
      <c r="V1462" s="1">
        <v>961700145</v>
      </c>
      <c r="W1462" s="1">
        <v>961700145</v>
      </c>
      <c r="X1462" s="1" t="str">
        <f>"1396521787"</f>
        <v>1396521787</v>
      </c>
      <c r="Y1462" s="1" t="str">
        <f>"96/08/06"</f>
        <v>96/08/06</v>
      </c>
      <c r="Z1462" s="1" t="str">
        <f>"38320/710"</f>
        <v>38320/710</v>
      </c>
      <c r="AA1462" s="1" t="str">
        <f>"راه روستائي -روكش"</f>
        <v>راه روستائي -روكش</v>
      </c>
      <c r="AB1462" s="1" t="str">
        <f>"96/08/01"</f>
        <v>96/08/01</v>
      </c>
      <c r="AC1462" s="1" t="str">
        <f>"استان هرمزگان"</f>
        <v>استان هرمزگان</v>
      </c>
      <c r="AD1462" s="1" t="str">
        <f>"96/08/06"</f>
        <v>96/08/06</v>
      </c>
      <c r="AE1462" s="1" t="str">
        <f>"اختتام"</f>
        <v>اختتام</v>
      </c>
      <c r="AF1462" s="1" t="str">
        <f>""</f>
        <v/>
      </c>
      <c r="AG1462" s="1" t="str">
        <f>""</f>
        <v/>
      </c>
      <c r="AH1462" s="1" t="str">
        <f>""</f>
        <v/>
      </c>
      <c r="AI1462" s="1" t="str">
        <f>""</f>
        <v/>
      </c>
      <c r="AJ1462" s="1" t="str">
        <f>""</f>
        <v/>
      </c>
      <c r="AK1462" s="1" t="str">
        <f>""</f>
        <v/>
      </c>
    </row>
    <row r="1463" spans="1:37">
      <c r="A1463" s="1">
        <v>206000</v>
      </c>
      <c r="B1463" s="1">
        <v>961700023</v>
      </c>
      <c r="C1463" s="1" t="str">
        <f>"ايلام كيلومتر5جاده ايلام به مهران كارخانه آسفالت شركت ايلام سدساز"</f>
        <v>ايلام كيلومتر5جاده ايلام به مهران كارخانه آسفالت شركت ايلام سدساز</v>
      </c>
      <c r="D1463" s="1">
        <v>8854</v>
      </c>
      <c r="E1463" s="1">
        <v>205320</v>
      </c>
      <c r="F1463" s="1">
        <v>96</v>
      </c>
      <c r="G1463" s="1">
        <v>680</v>
      </c>
      <c r="H1463" s="1" t="str">
        <f>"96/04/17"</f>
        <v>96/04/17</v>
      </c>
      <c r="I1463" s="1" t="str">
        <f>"كيلوگرم"</f>
        <v>كيلوگرم</v>
      </c>
      <c r="J1463" s="1" t="str">
        <f>"0000000092"</f>
        <v>0000000092</v>
      </c>
      <c r="K1463" s="1" t="str">
        <f>"قير  PG64-16"</f>
        <v>قير  PG64-16</v>
      </c>
      <c r="L1463" s="1">
        <v>100</v>
      </c>
      <c r="M1463" s="1" t="str">
        <f>"مخازن قير اصفهان"</f>
        <v>مخازن قير اصفهان</v>
      </c>
      <c r="N1463" s="1">
        <v>11372</v>
      </c>
      <c r="O1463" s="1">
        <v>50035119</v>
      </c>
      <c r="P1463" s="1" t="str">
        <f>"  ايلام سد ساز"</f>
        <v xml:space="preserve">  ايلام سد ساز</v>
      </c>
      <c r="Q1463" s="1">
        <v>17</v>
      </c>
      <c r="R1463" s="1" t="str">
        <f>"فروش داخلي تهران - وزارت راه - راه روستايي - روکش"</f>
        <v>فروش داخلي تهران - وزارت راه - راه روستايي - روکش</v>
      </c>
      <c r="S1463" s="1" t="str">
        <f>"قرارداد فروش"</f>
        <v>قرارداد فروش</v>
      </c>
      <c r="T1463" s="1" t="str">
        <f>"ندارد"</f>
        <v>ندارد</v>
      </c>
      <c r="U1463" s="1" t="str">
        <f>"عظيمي محمد(2842015)"</f>
        <v>عظيمي محمد(2842015)</v>
      </c>
      <c r="V1463" s="1">
        <v>961700023</v>
      </c>
      <c r="W1463" s="1">
        <v>961700023</v>
      </c>
      <c r="X1463" s="1" t="str">
        <f>"1396494231"</f>
        <v>1396494231</v>
      </c>
      <c r="Y1463" s="1" t="str">
        <f>"96/04/17"</f>
        <v>96/04/17</v>
      </c>
      <c r="Z1463" s="1" t="str">
        <f>"16359/710"</f>
        <v>16359/710</v>
      </c>
      <c r="AA1463" s="1" t="str">
        <f>"راه روستائي -روكش"</f>
        <v>راه روستائي -روكش</v>
      </c>
      <c r="AB1463" s="1" t="str">
        <f>"96/04/12"</f>
        <v>96/04/12</v>
      </c>
      <c r="AC1463" s="1" t="str">
        <f>"استان ايلام"</f>
        <v>استان ايلام</v>
      </c>
      <c r="AD1463" s="1" t="str">
        <f>"96/04/17"</f>
        <v>96/04/17</v>
      </c>
      <c r="AE1463" s="1" t="str">
        <f>"اختتام"</f>
        <v>اختتام</v>
      </c>
      <c r="AF1463" s="1" t="str">
        <f>""</f>
        <v/>
      </c>
      <c r="AG1463" s="1" t="str">
        <f>""</f>
        <v/>
      </c>
      <c r="AH1463" s="1" t="str">
        <f>""</f>
        <v/>
      </c>
      <c r="AI1463" s="1" t="str">
        <f>""</f>
        <v/>
      </c>
      <c r="AJ1463" s="1" t="str">
        <f>""</f>
        <v/>
      </c>
      <c r="AK1463" s="1" t="str">
        <f>""</f>
        <v/>
      </c>
    </row>
    <row r="1464" spans="1:37">
      <c r="A1464" s="1">
        <v>312000</v>
      </c>
      <c r="B1464" s="1">
        <v>961700061</v>
      </c>
      <c r="C1464" s="1" t="str">
        <f>"تخليه - خراسان رضوي-شهرداري جغتاي"</f>
        <v>تخليه - خراسان رضوي-شهرداري جغتاي</v>
      </c>
      <c r="D1464" s="1">
        <v>9204</v>
      </c>
      <c r="E1464" s="1">
        <v>311760</v>
      </c>
      <c r="F1464" s="1">
        <v>96</v>
      </c>
      <c r="G1464" s="1">
        <v>240</v>
      </c>
      <c r="H1464" s="1" t="str">
        <f>"96/05/24"</f>
        <v>96/05/24</v>
      </c>
      <c r="I1464" s="1" t="str">
        <f>"كيلوگرم"</f>
        <v>كيلوگرم</v>
      </c>
      <c r="J1464" s="1" t="str">
        <f>"0000000092"</f>
        <v>0000000092</v>
      </c>
      <c r="K1464" s="1" t="str">
        <f>"قير  PG64-16"</f>
        <v>قير  PG64-16</v>
      </c>
      <c r="L1464" s="1">
        <v>100</v>
      </c>
      <c r="M1464" s="1" t="str">
        <f>"مخازن قير اصفهان"</f>
        <v>مخازن قير اصفهان</v>
      </c>
      <c r="N1464" s="1">
        <v>11392</v>
      </c>
      <c r="O1464" s="1">
        <v>50035667</v>
      </c>
      <c r="P1464" s="1" t="str">
        <f>"  پارس عهد ماندگار"</f>
        <v xml:space="preserve">  پارس عهد ماندگار</v>
      </c>
      <c r="Q1464" s="1">
        <v>17</v>
      </c>
      <c r="R1464" s="1" t="str">
        <f>"فروش داخلي تهران - وزارت راه - راه روستايي - روکش"</f>
        <v>فروش داخلي تهران - وزارت راه - راه روستايي - روکش</v>
      </c>
      <c r="S1464" s="1" t="str">
        <f>"قرارداد فروش"</f>
        <v>قرارداد فروش</v>
      </c>
      <c r="T1464" s="1" t="str">
        <f>"ندارد"</f>
        <v>ندارد</v>
      </c>
      <c r="U1464" s="1" t="str">
        <f>"مظلوم فريبرز(1008ج89)"</f>
        <v>مظلوم فريبرز(1008ج89)</v>
      </c>
      <c r="V1464" s="1">
        <v>961700061</v>
      </c>
      <c r="W1464" s="1">
        <v>961700061</v>
      </c>
      <c r="X1464" s="1" t="str">
        <f>"1396505524"</f>
        <v>1396505524</v>
      </c>
      <c r="Y1464" s="1" t="str">
        <f>"96/05/24"</f>
        <v>96/05/24</v>
      </c>
      <c r="Z1464" s="1" t="str">
        <f>"21885/710"</f>
        <v>21885/710</v>
      </c>
      <c r="AA1464" s="1" t="str">
        <f>"راه روستائي -روكش"</f>
        <v>راه روستائي -روكش</v>
      </c>
      <c r="AB1464" s="1" t="str">
        <f>"96/05/08"</f>
        <v>96/05/08</v>
      </c>
      <c r="AC1464" s="1" t="str">
        <f>"خراسان رضوي"</f>
        <v>خراسان رضوي</v>
      </c>
      <c r="AD1464" s="1" t="str">
        <f>"96/05/24"</f>
        <v>96/05/24</v>
      </c>
      <c r="AE1464" s="1" t="str">
        <f>"اختتام"</f>
        <v>اختتام</v>
      </c>
      <c r="AF1464" s="1" t="str">
        <f>""</f>
        <v/>
      </c>
      <c r="AG1464" s="1" t="str">
        <f>""</f>
        <v/>
      </c>
      <c r="AH1464" s="1" t="str">
        <f>""</f>
        <v/>
      </c>
      <c r="AI1464" s="1" t="str">
        <f>""</f>
        <v/>
      </c>
      <c r="AJ1464" s="1" t="str">
        <f>""</f>
        <v/>
      </c>
      <c r="AK1464" s="1" t="str">
        <f>""</f>
        <v/>
      </c>
    </row>
    <row r="1465" spans="1:37">
      <c r="A1465" s="1">
        <v>24000</v>
      </c>
      <c r="B1465" s="1">
        <v>966200344</v>
      </c>
      <c r="C1465" s="1" t="str">
        <f>"تخليه ايلام سرابله سه راهي كارزان كارخانه آسفالت شركت خردادراه سازايلام"</f>
        <v>تخليه ايلام سرابله سه راهي كارزان كارخانه آسفالت شركت خردادراه سازايلام</v>
      </c>
      <c r="D1465" s="1">
        <v>9363</v>
      </c>
      <c r="E1465" s="1">
        <v>23060</v>
      </c>
      <c r="F1465" s="1">
        <v>96</v>
      </c>
      <c r="G1465" s="1">
        <v>940</v>
      </c>
      <c r="H1465" s="1" t="str">
        <f>"96/07/25"</f>
        <v>96/07/25</v>
      </c>
      <c r="I1465" s="1" t="str">
        <f>"كيلوگرم"</f>
        <v>كيلوگرم</v>
      </c>
      <c r="J1465" s="1" t="str">
        <f>"0000000092"</f>
        <v>0000000092</v>
      </c>
      <c r="K1465" s="1" t="str">
        <f>"قير  PG64-16"</f>
        <v>قير  PG64-16</v>
      </c>
      <c r="L1465" s="1">
        <v>100</v>
      </c>
      <c r="M1465" s="1" t="str">
        <f>"مخازن قير اصفهان"</f>
        <v>مخازن قير اصفهان</v>
      </c>
      <c r="N1465" s="1">
        <v>11481</v>
      </c>
      <c r="O1465" s="1">
        <v>50036794</v>
      </c>
      <c r="P1465" s="1" t="str">
        <f>"  فلك افرازمانشت"</f>
        <v xml:space="preserve">  فلك افرازمانشت</v>
      </c>
      <c r="Q1465" s="1">
        <v>62</v>
      </c>
      <c r="R1465" s="1" t="str">
        <f>"فروش داخلي - سازمان بنيادمسكن انقلاب اسلامي"</f>
        <v>فروش داخلي - سازمان بنيادمسكن انقلاب اسلامي</v>
      </c>
      <c r="S1465" s="1" t="str">
        <f>"قرارداد فروش"</f>
        <v>قرارداد فروش</v>
      </c>
      <c r="T1465" s="1" t="str">
        <f>"ندارد"</f>
        <v>ندارد</v>
      </c>
      <c r="U1465" s="1" t="str">
        <f>"عظيمي محمد(2842015)"</f>
        <v>عظيمي محمد(2842015)</v>
      </c>
      <c r="V1465" s="1">
        <v>966200344</v>
      </c>
      <c r="W1465" s="1">
        <v>966200344</v>
      </c>
      <c r="X1465" s="1" t="str">
        <f>"1396519155"</f>
        <v>1396519155</v>
      </c>
      <c r="Y1465" s="1" t="str">
        <f>"96/07/25"</f>
        <v>96/07/25</v>
      </c>
      <c r="Z1465" s="1" t="str">
        <f>"33085/د"</f>
        <v>33085/د</v>
      </c>
      <c r="AA1465" s="1" t="str">
        <f>"بنيادمسكن انقلاب اسلامي"</f>
        <v>بنيادمسكن انقلاب اسلامي</v>
      </c>
      <c r="AB1465" s="1" t="str">
        <f>"96/07/24"</f>
        <v>96/07/24</v>
      </c>
      <c r="AC1465" s="1" t="str">
        <f>"استان ايلام"</f>
        <v>استان ايلام</v>
      </c>
      <c r="AD1465" s="1" t="str">
        <f>"96/07/25"</f>
        <v>96/07/25</v>
      </c>
      <c r="AE1465" s="1" t="str">
        <f>"اختتام"</f>
        <v>اختتام</v>
      </c>
      <c r="AF1465" s="1" t="str">
        <f>""</f>
        <v/>
      </c>
      <c r="AG1465" s="1" t="str">
        <f>""</f>
        <v/>
      </c>
      <c r="AH1465" s="1" t="str">
        <f>""</f>
        <v/>
      </c>
      <c r="AI1465" s="1" t="str">
        <f>""</f>
        <v/>
      </c>
      <c r="AJ1465" s="1" t="str">
        <f>""</f>
        <v/>
      </c>
      <c r="AK1465" s="1" t="str">
        <f>""</f>
        <v/>
      </c>
    </row>
    <row r="1466" spans="1:37">
      <c r="A1466" s="1">
        <v>500000</v>
      </c>
      <c r="B1466" s="1">
        <v>961900199</v>
      </c>
      <c r="C1466" s="1" t="str">
        <f>"تخليه ايرانشهرشهرستان چابهاركارخانه آسفالت اسپادانا"</f>
        <v>تخليه ايرانشهرشهرستان چابهاركارخانه آسفالت اسپادانا</v>
      </c>
      <c r="D1466" s="1">
        <v>13100</v>
      </c>
      <c r="E1466" s="1">
        <v>486660</v>
      </c>
      <c r="F1466" s="1">
        <v>96</v>
      </c>
      <c r="G1466" s="1">
        <v>13340</v>
      </c>
      <c r="H1466" s="1" t="str">
        <f>"96/12/19"</f>
        <v>96/12/19</v>
      </c>
      <c r="I1466" s="1" t="str">
        <f>"كيلوگرم"</f>
        <v>كيلوگرم</v>
      </c>
      <c r="J1466" s="1" t="str">
        <f>"0000000092"</f>
        <v>0000000092</v>
      </c>
      <c r="K1466" s="1" t="str">
        <f>"قير  PG64-16"</f>
        <v>قير  PG64-16</v>
      </c>
      <c r="L1466" s="1">
        <v>100</v>
      </c>
      <c r="M1466" s="1" t="str">
        <f>"مخازن قير اصفهان"</f>
        <v>مخازن قير اصفهان</v>
      </c>
      <c r="N1466" s="1">
        <v>11498</v>
      </c>
      <c r="O1466" s="1">
        <v>50038871</v>
      </c>
      <c r="P1466" s="1" t="str">
        <f>"  مهندسي راه وآب و فاضلاب رهاب ايرانشهر"</f>
        <v xml:space="preserve">  مهندسي راه وآب و فاضلاب رهاب ايرانشهر</v>
      </c>
      <c r="Q1466" s="1">
        <v>19</v>
      </c>
      <c r="R146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466" s="1" t="str">
        <f>"قرارداد فروش"</f>
        <v>قرارداد فروش</v>
      </c>
      <c r="T1466" s="1" t="str">
        <f>"ندارد"</f>
        <v>ندارد</v>
      </c>
      <c r="U1466" s="1" t="str">
        <f>"راه وساختماني سنگ وكوه(5859000)"</f>
        <v>راه وساختماني سنگ وكوه(5859000)</v>
      </c>
      <c r="V1466" s="1">
        <v>961900199</v>
      </c>
      <c r="W1466" s="1">
        <v>961900199</v>
      </c>
      <c r="X1466" s="1" t="str">
        <f>"1396529175"</f>
        <v>1396529175</v>
      </c>
      <c r="Y1466" s="1" t="str">
        <f>"96/12/19"</f>
        <v>96/12/19</v>
      </c>
      <c r="Z1466" s="1" t="str">
        <f>"43654/710"</f>
        <v>43654/710</v>
      </c>
      <c r="AA1466" s="1" t="str">
        <f>"سازمان راهداري وحمل نقل جاده اي"</f>
        <v>سازمان راهداري وحمل نقل جاده اي</v>
      </c>
      <c r="AB1466" s="1" t="str">
        <f>"96/08/24"</f>
        <v>96/08/24</v>
      </c>
      <c r="AC1466" s="1" t="str">
        <f>"ايرانشهر"</f>
        <v>ايرانشهر</v>
      </c>
      <c r="AD1466" s="1" t="str">
        <f>"96/09/08"</f>
        <v>96/09/08</v>
      </c>
      <c r="AE1466" s="1" t="str">
        <f>"اختتام"</f>
        <v>اختتام</v>
      </c>
      <c r="AF1466" s="1" t="str">
        <f>""</f>
        <v/>
      </c>
      <c r="AG1466" s="1" t="str">
        <f>""</f>
        <v/>
      </c>
      <c r="AH1466" s="1" t="str">
        <f>""</f>
        <v/>
      </c>
      <c r="AI1466" s="1" t="str">
        <f>""</f>
        <v/>
      </c>
      <c r="AJ1466" s="1" t="str">
        <f>""</f>
        <v/>
      </c>
      <c r="AK1466" s="1" t="str">
        <f>""</f>
        <v/>
      </c>
    </row>
    <row r="1467" spans="1:37">
      <c r="A1467" s="1">
        <v>500000</v>
      </c>
      <c r="B1467" s="1">
        <v>961900194</v>
      </c>
      <c r="C1467" s="1" t="str">
        <f>"تخليه اصفهان آزادراه اصفهان كاشان راهداري كيلومتر205كارخانه آسفالت شركت سان آرا"</f>
        <v>تخليه اصفهان آزادراه اصفهان كاشان راهداري كيلومتر205كارخانه آسفالت شركت سان آرا</v>
      </c>
      <c r="D1467" s="1">
        <v>13100</v>
      </c>
      <c r="E1467" s="1">
        <v>500000</v>
      </c>
      <c r="F1467" s="1">
        <v>96</v>
      </c>
      <c r="G1467" s="1">
        <v>0</v>
      </c>
      <c r="H1467" s="1" t="str">
        <f>"96/12/16"</f>
        <v>96/12/16</v>
      </c>
      <c r="I1467" s="1" t="str">
        <f>"كيلوگرم"</f>
        <v>كيلوگرم</v>
      </c>
      <c r="J1467" s="1" t="str">
        <f>"0000000092"</f>
        <v>0000000092</v>
      </c>
      <c r="K1467" s="1" t="str">
        <f>"قير  PG64-16"</f>
        <v>قير  PG64-16</v>
      </c>
      <c r="L1467" s="1">
        <v>100</v>
      </c>
      <c r="M1467" s="1" t="str">
        <f>"مخازن قير اصفهان"</f>
        <v>مخازن قير اصفهان</v>
      </c>
      <c r="N1467" s="1">
        <v>11524</v>
      </c>
      <c r="O1467" s="1">
        <v>50038902</v>
      </c>
      <c r="P1467" s="1" t="str">
        <f>"  اداره كل راهداري وحمل ونقل جاده اي استان اصفهان"</f>
        <v xml:space="preserve">  اداره كل راهداري وحمل ونقل جاده اي استان اصفهان</v>
      </c>
      <c r="Q1467" s="1">
        <v>19</v>
      </c>
      <c r="R146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467" s="1" t="str">
        <f>"قرارداد فروش"</f>
        <v>قرارداد فروش</v>
      </c>
      <c r="T1467" s="1" t="str">
        <f>"ندارد"</f>
        <v>ندارد</v>
      </c>
      <c r="U1467" s="1" t="str">
        <f>"سيفي پور عبدالمجيد(1009ج89)"</f>
        <v>سيفي پور عبدالمجيد(1009ج89)</v>
      </c>
      <c r="V1467" s="1">
        <v>961900194</v>
      </c>
      <c r="W1467" s="1">
        <v>961900194</v>
      </c>
      <c r="X1467" s="1" t="str">
        <f>"1396553443"</f>
        <v>1396553443</v>
      </c>
      <c r="Y1467" s="1" t="str">
        <f>"96/12/16"</f>
        <v>96/12/16</v>
      </c>
      <c r="Z1467" s="1" t="str">
        <f>"56871/710"</f>
        <v>56871/710</v>
      </c>
      <c r="AA1467" s="1" t="str">
        <f>"سازمان راهداري وحمل نقل جاده اي"</f>
        <v>سازمان راهداري وحمل نقل جاده اي</v>
      </c>
      <c r="AB1467" s="1" t="str">
        <f>"96/11/02"</f>
        <v>96/11/02</v>
      </c>
      <c r="AC1467" s="1" t="str">
        <f>"استان اصفهان"</f>
        <v>استان اصفهان</v>
      </c>
      <c r="AD1467" s="1" t="str">
        <f>"96/12/16"</f>
        <v>96/12/16</v>
      </c>
      <c r="AE1467" s="1" t="str">
        <f>"اختتام"</f>
        <v>اختتام</v>
      </c>
      <c r="AF1467" s="1" t="str">
        <f>""</f>
        <v/>
      </c>
      <c r="AG1467" s="1" t="str">
        <f>""</f>
        <v/>
      </c>
      <c r="AH1467" s="1" t="str">
        <f>""</f>
        <v/>
      </c>
      <c r="AI1467" s="1" t="str">
        <f>""</f>
        <v/>
      </c>
      <c r="AJ1467" s="1" t="str">
        <f>""</f>
        <v/>
      </c>
      <c r="AK1467" s="1" t="str">
        <f>""</f>
        <v/>
      </c>
    </row>
    <row r="1468" spans="1:37">
      <c r="A1468" s="1">
        <v>50000</v>
      </c>
      <c r="B1468" s="1">
        <v>961100089</v>
      </c>
      <c r="C1468" s="1" t="str">
        <f>"تخليه -اصفهان - گلپايگان - كيلومتر 5 جاده خوانسار"</f>
        <v>تخليه -اصفهان - گلپايگان - كيلومتر 5 جاده خوانسار</v>
      </c>
      <c r="D1468" s="1">
        <v>9416</v>
      </c>
      <c r="E1468" s="1">
        <v>50000</v>
      </c>
      <c r="F1468" s="1">
        <v>96</v>
      </c>
      <c r="G1468" s="1">
        <v>0</v>
      </c>
      <c r="H1468" s="1" t="str">
        <f>"96/08/15"</f>
        <v>96/08/15</v>
      </c>
      <c r="I1468" s="1" t="str">
        <f>"كيلوگرم"</f>
        <v>كيلوگرم</v>
      </c>
      <c r="J1468" s="1" t="str">
        <f>"1000000002"</f>
        <v>1000000002</v>
      </c>
      <c r="K1468" s="1" t="str">
        <f>"قير 85/100 - فله"</f>
        <v>قير 85/100 - فله</v>
      </c>
      <c r="L1468" s="1">
        <v>100</v>
      </c>
      <c r="M1468" s="1" t="str">
        <f>"مخازن قير اصفهان"</f>
        <v>مخازن قير اصفهان</v>
      </c>
      <c r="N1468" s="1">
        <v>9043</v>
      </c>
      <c r="O1468" s="1">
        <v>50037068</v>
      </c>
      <c r="P1468" s="1" t="str">
        <f>"  مهندسي صنعت راه گلپايگان"</f>
        <v xml:space="preserve">  مهندسي صنعت راه گلپايگان</v>
      </c>
      <c r="Q1468" s="1">
        <v>11</v>
      </c>
      <c r="R1468" s="1" t="str">
        <f>"فروش داخلي تهران - بورس"</f>
        <v>فروش داخلي تهران - بورس</v>
      </c>
      <c r="S1468" s="1" t="str">
        <f>"قرارداد فروش"</f>
        <v>قرارداد فروش</v>
      </c>
      <c r="T1468" s="1" t="str">
        <f>"ندارد"</f>
        <v>ندارد</v>
      </c>
      <c r="U1468" s="1" t="str">
        <f>"شهبازي محمدرضا(1029ج89)"</f>
        <v>شهبازي محمدرضا(1029ج89)</v>
      </c>
      <c r="V1468" s="1">
        <v>961100089</v>
      </c>
      <c r="W1468" s="1">
        <v>961100089</v>
      </c>
      <c r="X1468" s="1" t="str">
        <f>"1396523522"</f>
        <v>1396523522</v>
      </c>
      <c r="Y1468" s="1" t="str">
        <f>"96/08/14"</f>
        <v>96/08/14</v>
      </c>
      <c r="Z1468" s="1" t="str">
        <f>"96-36536"</f>
        <v>96-36536</v>
      </c>
      <c r="AA1468" s="1" t="str">
        <f>"راه سازي"</f>
        <v>راه سازي</v>
      </c>
      <c r="AB1468" s="1" t="str">
        <f>"96/08/14"</f>
        <v>96/08/14</v>
      </c>
      <c r="AC1468" s="1" t="str">
        <f>"استان اصفهان"</f>
        <v>استان اصفهان</v>
      </c>
      <c r="AD1468" s="1" t="str">
        <f>"96/08/13"</f>
        <v>96/08/13</v>
      </c>
      <c r="AE1468" s="1" t="str">
        <f>"اختتام"</f>
        <v>اختتام</v>
      </c>
      <c r="AF1468" s="1" t="str">
        <f>""</f>
        <v/>
      </c>
      <c r="AG1468" s="1" t="str">
        <f>""</f>
        <v/>
      </c>
      <c r="AH1468" s="1" t="str">
        <f>""</f>
        <v/>
      </c>
      <c r="AI1468" s="1" t="str">
        <f>""</f>
        <v/>
      </c>
      <c r="AJ1468" s="1" t="str">
        <f>""</f>
        <v/>
      </c>
      <c r="AK1468" s="1" t="str">
        <f>""</f>
        <v/>
      </c>
    </row>
    <row r="1469" spans="1:37">
      <c r="A1469" s="1">
        <v>117806</v>
      </c>
      <c r="B1469" s="1">
        <v>962000121</v>
      </c>
      <c r="C1469" s="1" t="str">
        <f>"تخليه - چهارمحال و بختياري-سه راهي جاده فارسان-جونقان-جنب کارخانه گچ-کارخانه احمديه چليچه"</f>
        <v>تخليه - چهارمحال و بختياري-سه راهي جاده فارسان-جونقان-جنب کارخانه گچ-کارخانه احمديه چليچه</v>
      </c>
      <c r="D1469" s="1">
        <v>9113</v>
      </c>
      <c r="E1469" s="1">
        <v>117806</v>
      </c>
      <c r="F1469" s="1">
        <v>96</v>
      </c>
      <c r="G1469" s="1">
        <v>0</v>
      </c>
      <c r="H1469" s="1" t="str">
        <f>"96/07/03"</f>
        <v>96/07/03</v>
      </c>
      <c r="I1469" s="1" t="str">
        <f>"كيلوگرم"</f>
        <v>كيلوگرم</v>
      </c>
      <c r="J1469" s="1" t="str">
        <f>"1000000002"</f>
        <v>1000000002</v>
      </c>
      <c r="K1469" s="1" t="str">
        <f>"قير 85/100 - فله"</f>
        <v>قير 85/100 - فله</v>
      </c>
      <c r="L1469" s="1">
        <v>100</v>
      </c>
      <c r="M1469" s="1" t="str">
        <f>"مخازن قير اصفهان"</f>
        <v>مخازن قير اصفهان</v>
      </c>
      <c r="N1469" s="1">
        <v>9364</v>
      </c>
      <c r="O1469" s="1">
        <v>50036303</v>
      </c>
      <c r="P1469" s="1" t="str">
        <f>"  شهرداري چلگرد"</f>
        <v xml:space="preserve">  شهرداري چلگرد</v>
      </c>
      <c r="Q1469" s="1">
        <v>20</v>
      </c>
      <c r="R1469" s="1" t="str">
        <f>"فروش داخلي - سازمان شهرداري ها و دهياري هاي كشور"</f>
        <v>فروش داخلي - سازمان شهرداري ها و دهياري هاي كشور</v>
      </c>
      <c r="S1469" s="1" t="str">
        <f>"قرارداد فروش"</f>
        <v>قرارداد فروش</v>
      </c>
      <c r="T1469" s="1" t="str">
        <f>"ندارد"</f>
        <v>ندارد</v>
      </c>
      <c r="U1469" s="1" t="str">
        <f>"تعاوني جم گستر (1001 ج 89)"</f>
        <v>تعاوني جم گستر (1001 ج 89)</v>
      </c>
      <c r="V1469" s="1">
        <v>962000121</v>
      </c>
      <c r="W1469" s="1">
        <v>962000121</v>
      </c>
      <c r="X1469" s="1" t="str">
        <f>"1396514468"</f>
        <v>1396514468</v>
      </c>
      <c r="Y1469" s="1" t="str">
        <f>"96/07/03"</f>
        <v>96/07/03</v>
      </c>
      <c r="Z1469" s="1" t="str">
        <f>"26604مرحله اول"</f>
        <v>26604مرحله اول</v>
      </c>
      <c r="AA1469" s="1" t="str">
        <f>"شهرداريها"</f>
        <v>شهرداريها</v>
      </c>
      <c r="AB1469" s="1" t="str">
        <f>"96/06/29"</f>
        <v>96/06/29</v>
      </c>
      <c r="AC1469" s="1" t="str">
        <f>"استان چهارمحال بختياري"</f>
        <v>استان چهارمحال بختياري</v>
      </c>
      <c r="AD1469" s="1" t="str">
        <f>"96/07/03"</f>
        <v>96/07/03</v>
      </c>
      <c r="AE1469" s="1" t="str">
        <f>"اختتام"</f>
        <v>اختتام</v>
      </c>
      <c r="AF1469" s="1" t="str">
        <f>""</f>
        <v/>
      </c>
      <c r="AG1469" s="1" t="str">
        <f>""</f>
        <v/>
      </c>
      <c r="AH1469" s="1" t="str">
        <f>""</f>
        <v/>
      </c>
      <c r="AI1469" s="1" t="str">
        <f>""</f>
        <v/>
      </c>
      <c r="AJ1469" s="1" t="str">
        <f>""</f>
        <v/>
      </c>
      <c r="AK1469" s="1" t="str">
        <f>""</f>
        <v/>
      </c>
    </row>
    <row r="1470" spans="1:37">
      <c r="A1470" s="1">
        <v>291000</v>
      </c>
      <c r="B1470" s="1">
        <v>966200188</v>
      </c>
      <c r="C1470" s="1" t="str">
        <f>"تخليه - زنجان - کيلومتر 10جاده ترانزيتي زنجان ميانه دست چپ کارخانه آسفالت شرکت زنجان ره ساز"</f>
        <v>تخليه - زنجان - کيلومتر 10جاده ترانزيتي زنجان ميانه دست چپ کارخانه آسفالت شرکت زنجان ره ساز</v>
      </c>
      <c r="D1470" s="1">
        <v>8704</v>
      </c>
      <c r="E1470" s="1">
        <v>290260</v>
      </c>
      <c r="F1470" s="1">
        <v>96</v>
      </c>
      <c r="G1470" s="1">
        <v>740</v>
      </c>
      <c r="H1470" s="1" t="str">
        <f>"96/05/25"</f>
        <v>96/05/25</v>
      </c>
      <c r="I1470" s="1" t="str">
        <f>"كيلوگرم"</f>
        <v>كيلوگرم</v>
      </c>
      <c r="J1470" s="1" t="str">
        <f>"1000000002"</f>
        <v>1000000002</v>
      </c>
      <c r="K1470" s="1" t="str">
        <f>"قير 85/100 - فله"</f>
        <v>قير 85/100 - فله</v>
      </c>
      <c r="L1470" s="1">
        <v>100</v>
      </c>
      <c r="M1470" s="1" t="str">
        <f>"مخازن قير اصفهان"</f>
        <v>مخازن قير اصفهان</v>
      </c>
      <c r="N1470" s="1">
        <v>11237</v>
      </c>
      <c r="O1470" s="1">
        <v>50035677</v>
      </c>
      <c r="P1470" s="1" t="str">
        <f>"  بنياد مسکن انقلاب اسلامي زنجان"</f>
        <v xml:space="preserve">  بنياد مسکن انقلاب اسلامي زنجان</v>
      </c>
      <c r="Q1470" s="1">
        <v>62</v>
      </c>
      <c r="R1470" s="1" t="str">
        <f>"فروش داخلي - سازمان بنيادمسكن انقلاب اسلامي"</f>
        <v>فروش داخلي - سازمان بنيادمسكن انقلاب اسلامي</v>
      </c>
      <c r="S1470" s="1" t="str">
        <f>"قرارداد فروش"</f>
        <v>قرارداد فروش</v>
      </c>
      <c r="T1470" s="1" t="str">
        <f>"ندارد"</f>
        <v>ندارد</v>
      </c>
      <c r="U1470" s="1" t="str">
        <f>"فتاح زاده سيداحمد(3843011)"</f>
        <v>فتاح زاده سيداحمد(3843011)</v>
      </c>
      <c r="V1470" s="1">
        <v>966200188</v>
      </c>
      <c r="W1470" s="1">
        <v>966200188</v>
      </c>
      <c r="X1470" s="1" t="str">
        <f>"1396506172"</f>
        <v>1396506172</v>
      </c>
      <c r="Y1470" s="1" t="str">
        <f>"96/05/25"</f>
        <v>96/05/25</v>
      </c>
      <c r="Z1470" s="1" t="str">
        <f>"22062/د"</f>
        <v>22062/د</v>
      </c>
      <c r="AA1470" s="1" t="str">
        <f>"بنيادمسكن انقلاب اسلامي"</f>
        <v>بنيادمسكن انقلاب اسلامي</v>
      </c>
      <c r="AB1470" s="1" t="str">
        <f>"96/05/24"</f>
        <v>96/05/24</v>
      </c>
      <c r="AC1470" s="1" t="str">
        <f>"استان زنجان"</f>
        <v>استان زنجان</v>
      </c>
      <c r="AD1470" s="1" t="str">
        <f>"96/05/25"</f>
        <v>96/05/25</v>
      </c>
      <c r="AE1470" s="1" t="str">
        <f>"اختتام"</f>
        <v>اختتام</v>
      </c>
      <c r="AF1470" s="1" t="str">
        <f>""</f>
        <v/>
      </c>
      <c r="AG1470" s="1" t="str">
        <f>""</f>
        <v/>
      </c>
      <c r="AH1470" s="1" t="str">
        <f>""</f>
        <v/>
      </c>
      <c r="AI1470" s="1" t="str">
        <f>""</f>
        <v/>
      </c>
      <c r="AJ1470" s="1" t="str">
        <f>""</f>
        <v/>
      </c>
      <c r="AK1470" s="1" t="str">
        <f>""</f>
        <v/>
      </c>
    </row>
    <row r="1471" spans="1:37">
      <c r="A1471" s="1">
        <v>945000</v>
      </c>
      <c r="B1471" s="1">
        <v>966200338</v>
      </c>
      <c r="C1471" s="1" t="str">
        <f>"تخليه - زنجان - کيلومتر 9 جاده ترانزيت ابهر قزوين کارخانه آسفالت نورين ابهر (شرکت زنجان سازگان)"</f>
        <v>تخليه - زنجان - کيلومتر 9 جاده ترانزيت ابهر قزوين کارخانه آسفالت نورين ابهر (شرکت زنجان سازگان)</v>
      </c>
      <c r="D1471" s="1">
        <v>9113</v>
      </c>
      <c r="E1471" s="1">
        <v>944160</v>
      </c>
      <c r="F1471" s="1">
        <v>96</v>
      </c>
      <c r="G1471" s="1">
        <v>840</v>
      </c>
      <c r="H1471" s="1" t="str">
        <f>"96/07/25"</f>
        <v>96/07/25</v>
      </c>
      <c r="I1471" s="1" t="str">
        <f>"كيلوگرم"</f>
        <v>كيلوگرم</v>
      </c>
      <c r="J1471" s="1" t="str">
        <f>"1000000002"</f>
        <v>1000000002</v>
      </c>
      <c r="K1471" s="1" t="str">
        <f>"قير 85/100 - فله"</f>
        <v>قير 85/100 - فله</v>
      </c>
      <c r="L1471" s="1">
        <v>100</v>
      </c>
      <c r="M1471" s="1" t="str">
        <f>"مخازن قير اصفهان"</f>
        <v>مخازن قير اصفهان</v>
      </c>
      <c r="N1471" s="1">
        <v>11237</v>
      </c>
      <c r="O1471" s="1">
        <v>50036784</v>
      </c>
      <c r="P1471" s="1" t="str">
        <f>"  بنياد مسکن انقلاب اسلامي زنجان"</f>
        <v xml:space="preserve">  بنياد مسکن انقلاب اسلامي زنجان</v>
      </c>
      <c r="Q1471" s="1">
        <v>62</v>
      </c>
      <c r="R1471" s="1" t="str">
        <f>"فروش داخلي - سازمان بنيادمسكن انقلاب اسلامي"</f>
        <v>فروش داخلي - سازمان بنيادمسكن انقلاب اسلامي</v>
      </c>
      <c r="S1471" s="1" t="str">
        <f>"قرارداد فروش"</f>
        <v>قرارداد فروش</v>
      </c>
      <c r="T1471" s="1" t="str">
        <f>"ندارد"</f>
        <v>ندارد</v>
      </c>
      <c r="U1471" s="1" t="str">
        <f>"فتاح زاده سيداحمد(3843011)"</f>
        <v>فتاح زاده سيداحمد(3843011)</v>
      </c>
      <c r="V1471" s="1">
        <v>966200338</v>
      </c>
      <c r="W1471" s="1">
        <v>966200338</v>
      </c>
      <c r="X1471" s="1" t="str">
        <f>"1396519153"</f>
        <v>1396519153</v>
      </c>
      <c r="Y1471" s="1" t="str">
        <f>"96/07/25"</f>
        <v>96/07/25</v>
      </c>
      <c r="Z1471" s="1" t="str">
        <f>"33081/د"</f>
        <v>33081/د</v>
      </c>
      <c r="AA1471" s="1" t="str">
        <f>"بنيادمسكن انقلاب اسلامي"</f>
        <v>بنيادمسكن انقلاب اسلامي</v>
      </c>
      <c r="AB1471" s="1" t="str">
        <f>"96/07/24"</f>
        <v>96/07/24</v>
      </c>
      <c r="AC1471" s="1" t="str">
        <f>"استان زنجان"</f>
        <v>استان زنجان</v>
      </c>
      <c r="AD1471" s="1" t="str">
        <f>"96/07/25"</f>
        <v>96/07/25</v>
      </c>
      <c r="AE1471" s="1" t="str">
        <f>"اختتام"</f>
        <v>اختتام</v>
      </c>
      <c r="AF1471" s="1" t="str">
        <f>""</f>
        <v/>
      </c>
      <c r="AG1471" s="1" t="str">
        <f>""</f>
        <v/>
      </c>
      <c r="AH1471" s="1" t="str">
        <f>""</f>
        <v/>
      </c>
      <c r="AI1471" s="1" t="str">
        <f>""</f>
        <v/>
      </c>
      <c r="AJ1471" s="1" t="str">
        <f>""</f>
        <v/>
      </c>
      <c r="AK1471" s="1" t="str">
        <f>""</f>
        <v/>
      </c>
    </row>
    <row r="1472" spans="1:37">
      <c r="A1472" s="1">
        <v>261000</v>
      </c>
      <c r="B1472" s="1">
        <v>966200679</v>
      </c>
      <c r="C1472" s="1" t="str">
        <f>"تخليه - زنجان - کيلومتر 10جاده ترانزيتي زنجان ميانه دست چپ کارخانه آسفالت شرکت زنجان ره ساز"</f>
        <v>تخليه - زنجان - کيلومتر 10جاده ترانزيتي زنجان ميانه دست چپ کارخانه آسفالت شرکت زنجان ره ساز</v>
      </c>
      <c r="D1472" s="1">
        <v>13350</v>
      </c>
      <c r="E1472" s="1">
        <v>259260</v>
      </c>
      <c r="F1472" s="1">
        <v>96</v>
      </c>
      <c r="G1472" s="1">
        <v>1740</v>
      </c>
      <c r="H1472" s="1" t="str">
        <f>"96/12/19"</f>
        <v>96/12/19</v>
      </c>
      <c r="I1472" s="1" t="str">
        <f>"كيلوگرم"</f>
        <v>كيلوگرم</v>
      </c>
      <c r="J1472" s="1" t="str">
        <f>"1000000002"</f>
        <v>1000000002</v>
      </c>
      <c r="K1472" s="1" t="str">
        <f>"قير 85/100 - فله"</f>
        <v>قير 85/100 - فله</v>
      </c>
      <c r="L1472" s="1">
        <v>100</v>
      </c>
      <c r="M1472" s="1" t="str">
        <f>"مخازن قير اصفهان"</f>
        <v>مخازن قير اصفهان</v>
      </c>
      <c r="N1472" s="1">
        <v>11237</v>
      </c>
      <c r="O1472" s="1">
        <v>50038844</v>
      </c>
      <c r="P1472" s="1" t="str">
        <f>"  بنياد مسکن انقلاب اسلامي زنجان"</f>
        <v xml:space="preserve">  بنياد مسکن انقلاب اسلامي زنجان</v>
      </c>
      <c r="Q1472" s="1">
        <v>62</v>
      </c>
      <c r="R1472" s="1" t="str">
        <f>"فروش داخلي - سازمان بنيادمسكن انقلاب اسلامي"</f>
        <v>فروش داخلي - سازمان بنيادمسكن انقلاب اسلامي</v>
      </c>
      <c r="S1472" s="1" t="str">
        <f>"قرارداد فروش"</f>
        <v>قرارداد فروش</v>
      </c>
      <c r="T1472" s="1" t="str">
        <f>"ندارد"</f>
        <v>ندارد</v>
      </c>
      <c r="U1472" s="1" t="str">
        <f>"فتاح زاده سيداحمد(3843011)"</f>
        <v>فتاح زاده سيداحمد(3843011)</v>
      </c>
      <c r="V1472" s="1">
        <v>966200679</v>
      </c>
      <c r="W1472" s="1">
        <v>966200679</v>
      </c>
      <c r="X1472" s="1" t="str">
        <f>"1396553738"</f>
        <v>1396553738</v>
      </c>
      <c r="Y1472" s="1" t="str">
        <f>"96/12/19"</f>
        <v>96/12/19</v>
      </c>
      <c r="Z1472" s="1" t="str">
        <f>"57553/د"</f>
        <v>57553/د</v>
      </c>
      <c r="AA1472" s="1" t="str">
        <f>"بنيادمسكن انقلاب اسلامي"</f>
        <v>بنيادمسكن انقلاب اسلامي</v>
      </c>
      <c r="AB1472" s="1" t="str">
        <f>"96/12/16"</f>
        <v>96/12/16</v>
      </c>
      <c r="AC1472" s="1" t="str">
        <f>"استان زنجان"</f>
        <v>استان زنجان</v>
      </c>
      <c r="AD1472" s="1" t="str">
        <f>"96/12/19"</f>
        <v>96/12/19</v>
      </c>
      <c r="AE1472" s="1" t="str">
        <f>"اختتام"</f>
        <v>اختتام</v>
      </c>
      <c r="AF1472" s="1" t="str">
        <f>""</f>
        <v/>
      </c>
      <c r="AG1472" s="1" t="str">
        <f>""</f>
        <v/>
      </c>
      <c r="AH1472" s="1" t="str">
        <f>""</f>
        <v/>
      </c>
      <c r="AI1472" s="1" t="str">
        <f>""</f>
        <v/>
      </c>
      <c r="AJ1472" s="1" t="str">
        <f>""</f>
        <v/>
      </c>
      <c r="AK1472" s="1" t="str">
        <f>""</f>
        <v/>
      </c>
    </row>
    <row r="1473" spans="1:37">
      <c r="A1473" s="1">
        <v>275000</v>
      </c>
      <c r="B1473" s="1">
        <v>966200078</v>
      </c>
      <c r="C1473" s="1" t="str">
        <f>"تخليه - آذربايجان شرقي-شبستر-کيلومتر 8 جاده تسوج-کارخانه آسفالت قره کهريز"</f>
        <v>تخليه - آذربايجان شرقي-شبستر-کيلومتر 8 جاده تسوج-کارخانه آسفالت قره کهريز</v>
      </c>
      <c r="D1473" s="1">
        <v>8918</v>
      </c>
      <c r="E1473" s="1">
        <v>273900</v>
      </c>
      <c r="F1473" s="1">
        <v>96</v>
      </c>
      <c r="G1473" s="1">
        <v>1100</v>
      </c>
      <c r="H1473" s="1" t="str">
        <f>"96/02/26"</f>
        <v>96/02/26</v>
      </c>
      <c r="I1473" s="1" t="str">
        <f>"كيلوگرم"</f>
        <v>كيلوگرم</v>
      </c>
      <c r="J1473" s="1" t="str">
        <f>"1000000002"</f>
        <v>1000000002</v>
      </c>
      <c r="K1473" s="1" t="str">
        <f>"قير 85/100 - فله"</f>
        <v>قير 85/100 - فله</v>
      </c>
      <c r="L1473" s="1">
        <v>100</v>
      </c>
      <c r="M1473" s="1" t="str">
        <f>"مخازن قير اصفهان"</f>
        <v>مخازن قير اصفهان</v>
      </c>
      <c r="N1473" s="1">
        <v>11348</v>
      </c>
      <c r="O1473" s="1">
        <v>50034845</v>
      </c>
      <c r="P1473" s="1" t="str">
        <f>"  آذربتن يکانيان"</f>
        <v xml:space="preserve">  آذربتن يکانيان</v>
      </c>
      <c r="Q1473" s="1">
        <v>62</v>
      </c>
      <c r="R1473" s="1" t="str">
        <f>"فروش داخلي - سازمان بنيادمسكن انقلاب اسلامي"</f>
        <v>فروش داخلي - سازمان بنيادمسكن انقلاب اسلامي</v>
      </c>
      <c r="S1473" s="1" t="str">
        <f>"قرارداد فروش"</f>
        <v>قرارداد فروش</v>
      </c>
      <c r="T1473" s="1" t="str">
        <f>"ندارد"</f>
        <v>ندارد</v>
      </c>
      <c r="U1473" s="1" t="str">
        <f>". پيمانكاري قائمي (3903031)"</f>
        <v>. پيمانكاري قائمي (3903031)</v>
      </c>
      <c r="V1473" s="1">
        <v>966200078</v>
      </c>
      <c r="W1473" s="1">
        <v>966200078</v>
      </c>
      <c r="X1473" s="1" t="str">
        <f>"1396481181"</f>
        <v>1396481181</v>
      </c>
      <c r="Y1473" s="1" t="str">
        <f>"96/02/26"</f>
        <v>96/02/26</v>
      </c>
      <c r="Z1473" s="1" t="str">
        <f>"6819/د"</f>
        <v>6819/د</v>
      </c>
      <c r="AA1473" s="1" t="str">
        <f>"بنيادمسكن انقلاب اسلامي"</f>
        <v>بنيادمسكن انقلاب اسلامي</v>
      </c>
      <c r="AB1473" s="1" t="str">
        <f>"96/02/25"</f>
        <v>96/02/25</v>
      </c>
      <c r="AC1473" s="1" t="str">
        <f>"استان آذربايجان شرقي"</f>
        <v>استان آذربايجان شرقي</v>
      </c>
      <c r="AD1473" s="1" t="str">
        <f>"96/02/26"</f>
        <v>96/02/26</v>
      </c>
      <c r="AE1473" s="1" t="str">
        <f>"اختتام"</f>
        <v>اختتام</v>
      </c>
      <c r="AF1473" s="1" t="str">
        <f>""</f>
        <v/>
      </c>
      <c r="AG1473" s="1" t="str">
        <f>""</f>
        <v/>
      </c>
      <c r="AH1473" s="1" t="str">
        <f>""</f>
        <v/>
      </c>
      <c r="AI1473" s="1" t="str">
        <f>""</f>
        <v/>
      </c>
      <c r="AJ1473" s="1" t="str">
        <f>""</f>
        <v/>
      </c>
      <c r="AK1473" s="1" t="str">
        <f>""</f>
        <v/>
      </c>
    </row>
    <row r="1474" spans="1:37">
      <c r="A1474" s="1">
        <v>53000</v>
      </c>
      <c r="B1474" s="1">
        <v>966200149</v>
      </c>
      <c r="C1474" s="1" t="str">
        <f>"تخليه - چهارمحال و بختياري-لردگان-جاده خوزستان-شرکت لردگان آسفالت"</f>
        <v>تخليه - چهارمحال و بختياري-لردگان-جاده خوزستان-شرکت لردگان آسفالت</v>
      </c>
      <c r="D1474" s="1">
        <v>8704</v>
      </c>
      <c r="E1474" s="1">
        <v>52540</v>
      </c>
      <c r="F1474" s="1">
        <v>96</v>
      </c>
      <c r="G1474" s="1">
        <v>460</v>
      </c>
      <c r="H1474" s="1" t="str">
        <f>"96/04/31"</f>
        <v>96/04/31</v>
      </c>
      <c r="I1474" s="1" t="str">
        <f>"كيلوگرم"</f>
        <v>كيلوگرم</v>
      </c>
      <c r="J1474" s="1" t="str">
        <f>"1000000002"</f>
        <v>1000000002</v>
      </c>
      <c r="K1474" s="1" t="str">
        <f>"قير 85/100 - فله"</f>
        <v>قير 85/100 - فله</v>
      </c>
      <c r="L1474" s="1">
        <v>100</v>
      </c>
      <c r="M1474" s="1" t="str">
        <f>"مخازن قير اصفهان"</f>
        <v>مخازن قير اصفهان</v>
      </c>
      <c r="N1474" s="1">
        <v>11378</v>
      </c>
      <c r="O1474" s="1">
        <v>50035294</v>
      </c>
      <c r="P1474" s="1" t="str">
        <f>"  دقيق سازان بختياري"</f>
        <v xml:space="preserve">  دقيق سازان بختياري</v>
      </c>
      <c r="Q1474" s="1">
        <v>62</v>
      </c>
      <c r="R1474" s="1" t="str">
        <f>"فروش داخلي - سازمان بنيادمسكن انقلاب اسلامي"</f>
        <v>فروش داخلي - سازمان بنيادمسكن انقلاب اسلامي</v>
      </c>
      <c r="S1474" s="1" t="str">
        <f>"قرارداد فروش"</f>
        <v>قرارداد فروش</v>
      </c>
      <c r="T1474" s="1" t="str">
        <f>"ندارد"</f>
        <v>ندارد</v>
      </c>
      <c r="U1474" s="1" t="str">
        <f>"قره باغي مجيد(1871065)"</f>
        <v>قره باغي مجيد(1871065)</v>
      </c>
      <c r="V1474" s="1">
        <v>966200149</v>
      </c>
      <c r="W1474" s="1">
        <v>966200149</v>
      </c>
      <c r="X1474" s="1" t="str">
        <f>"1396498687"</f>
        <v>1396498687</v>
      </c>
      <c r="Y1474" s="1" t="str">
        <f>"96/04/31"</f>
        <v>96/04/31</v>
      </c>
      <c r="Z1474" s="1" t="str">
        <f>"16909/د"</f>
        <v>16909/د</v>
      </c>
      <c r="AA1474" s="1" t="str">
        <f>"بنيادمسكن انقلاب اسلامي"</f>
        <v>بنيادمسكن انقلاب اسلامي</v>
      </c>
      <c r="AB1474" s="1" t="str">
        <f>"96/04/26"</f>
        <v>96/04/26</v>
      </c>
      <c r="AC1474" s="1" t="str">
        <f>"استان چهارمحال بختياري"</f>
        <v>استان چهارمحال بختياري</v>
      </c>
      <c r="AD1474" s="1" t="str">
        <f>"96/04/31"</f>
        <v>96/04/31</v>
      </c>
      <c r="AE1474" s="1" t="str">
        <f>"اختتام"</f>
        <v>اختتام</v>
      </c>
      <c r="AF1474" s="1" t="str">
        <f>""</f>
        <v/>
      </c>
      <c r="AG1474" s="1" t="str">
        <f>""</f>
        <v/>
      </c>
      <c r="AH1474" s="1" t="str">
        <f>""</f>
        <v/>
      </c>
      <c r="AI1474" s="1" t="str">
        <f>""</f>
        <v/>
      </c>
      <c r="AJ1474" s="1" t="str">
        <f>""</f>
        <v/>
      </c>
      <c r="AK1474" s="1" t="str">
        <f>""</f>
        <v/>
      </c>
    </row>
    <row r="1475" spans="1:37">
      <c r="A1475" s="1">
        <v>35000</v>
      </c>
      <c r="B1475" s="1">
        <v>966200302</v>
      </c>
      <c r="C1475" s="1" t="str">
        <f>"تخليه - چهارمحال و بختياري-جنب تونل گردنه رخ شهرکرد-کارخانه آسفالت زرين استحکام"</f>
        <v>تخليه - چهارمحال و بختياري-جنب تونل گردنه رخ شهرکرد-کارخانه آسفالت زرين استحکام</v>
      </c>
      <c r="D1475" s="1">
        <v>9113</v>
      </c>
      <c r="E1475" s="1">
        <v>35000</v>
      </c>
      <c r="F1475" s="1">
        <v>96</v>
      </c>
      <c r="G1475" s="1">
        <v>0</v>
      </c>
      <c r="H1475" s="1" t="str">
        <f>"96/07/15"</f>
        <v>96/07/15</v>
      </c>
      <c r="I1475" s="1" t="str">
        <f>"كيلوگرم"</f>
        <v>كيلوگرم</v>
      </c>
      <c r="J1475" s="1" t="str">
        <f>"1000000002"</f>
        <v>1000000002</v>
      </c>
      <c r="K1475" s="1" t="str">
        <f>"قير 85/100 - فله"</f>
        <v>قير 85/100 - فله</v>
      </c>
      <c r="L1475" s="1">
        <v>100</v>
      </c>
      <c r="M1475" s="1" t="str">
        <f>"مخازن قير اصفهان"</f>
        <v>مخازن قير اصفهان</v>
      </c>
      <c r="N1475" s="1">
        <v>11470</v>
      </c>
      <c r="O1475" s="1">
        <v>50036570</v>
      </c>
      <c r="P1475" s="1" t="str">
        <f>"  چشمه سيب سفيدکوه"</f>
        <v xml:space="preserve">  چشمه سيب سفيدکوه</v>
      </c>
      <c r="Q1475" s="1">
        <v>62</v>
      </c>
      <c r="R1475" s="1" t="str">
        <f>"فروش داخلي - سازمان بنيادمسكن انقلاب اسلامي"</f>
        <v>فروش داخلي - سازمان بنيادمسكن انقلاب اسلامي</v>
      </c>
      <c r="S1475" s="1" t="str">
        <f>"قرارداد فروش"</f>
        <v>قرارداد فروش</v>
      </c>
      <c r="T1475" s="1" t="str">
        <f>"ندارد"</f>
        <v>ندارد</v>
      </c>
      <c r="U1475" s="1" t="str">
        <f>"قره باغي مجيد(1871065)"</f>
        <v>قره باغي مجيد(1871065)</v>
      </c>
      <c r="V1475" s="1">
        <v>966200302</v>
      </c>
      <c r="W1475" s="1">
        <v>966200302</v>
      </c>
      <c r="X1475" s="1" t="str">
        <f>"1396516998"</f>
        <v>1396516998</v>
      </c>
      <c r="Y1475" s="1" t="str">
        <f>"96/07/15"</f>
        <v>96/07/15</v>
      </c>
      <c r="Z1475" s="1" t="str">
        <f>"30887/د"</f>
        <v>30887/د</v>
      </c>
      <c r="AA1475" s="1" t="str">
        <f>"بنيادمسكن انقلاب اسلامي"</f>
        <v>بنيادمسكن انقلاب اسلامي</v>
      </c>
      <c r="AB1475" s="1" t="str">
        <f>"96/07/12"</f>
        <v>96/07/12</v>
      </c>
      <c r="AC1475" s="1" t="str">
        <f>"استان چهارمحال بختياري"</f>
        <v>استان چهارمحال بختياري</v>
      </c>
      <c r="AD1475" s="1" t="str">
        <f>"96/07/15"</f>
        <v>96/07/15</v>
      </c>
      <c r="AE1475" s="1" t="str">
        <f>"اختتام"</f>
        <v>اختتام</v>
      </c>
      <c r="AF1475" s="1" t="str">
        <f>""</f>
        <v/>
      </c>
      <c r="AG1475" s="1" t="str">
        <f>""</f>
        <v/>
      </c>
      <c r="AH1475" s="1" t="str">
        <f>""</f>
        <v/>
      </c>
      <c r="AI1475" s="1" t="str">
        <f>""</f>
        <v/>
      </c>
      <c r="AJ1475" s="1" t="str">
        <f>""</f>
        <v/>
      </c>
      <c r="AK1475" s="1" t="str">
        <f>""</f>
        <v/>
      </c>
    </row>
    <row r="1476" spans="1:37">
      <c r="A1476" s="1">
        <v>45404</v>
      </c>
      <c r="B1476" s="1">
        <v>962000369</v>
      </c>
      <c r="C1476" s="1" t="str">
        <f>"تخليه -چهارمحال بختياري -شهركرد-سازمان همياري شهرداريهاي چهارمحال وبختياري"</f>
        <v>تخليه -چهارمحال بختياري -شهركرد-سازمان همياري شهرداريهاي چهارمحال وبختياري</v>
      </c>
      <c r="D1476" s="1">
        <v>12820</v>
      </c>
      <c r="E1476" s="1">
        <v>45404</v>
      </c>
      <c r="F1476" s="1">
        <v>96</v>
      </c>
      <c r="G1476" s="1">
        <v>0</v>
      </c>
      <c r="H1476" s="1" t="str">
        <f>"96/09/19"</f>
        <v>96/09/19</v>
      </c>
      <c r="I1476" s="1" t="str">
        <f>"كيلوگرم"</f>
        <v>كيلوگرم</v>
      </c>
      <c r="J1476" s="1" t="str">
        <f>"1000000002"</f>
        <v>1000000002</v>
      </c>
      <c r="K1476" s="1" t="str">
        <f>"قير 85/100 - فله"</f>
        <v>قير 85/100 - فله</v>
      </c>
      <c r="L1476" s="1">
        <v>100</v>
      </c>
      <c r="M1476" s="1" t="str">
        <f>"مخازن قير اصفهان"</f>
        <v>مخازن قير اصفهان</v>
      </c>
      <c r="N1476" s="1">
        <v>10794</v>
      </c>
      <c r="O1476" s="1">
        <v>50037666</v>
      </c>
      <c r="P1476" s="1" t="str">
        <f>"  شهرداري طاقانك"</f>
        <v xml:space="preserve">  شهرداري طاقانك</v>
      </c>
      <c r="Q1476" s="1">
        <v>20</v>
      </c>
      <c r="R1476" s="1" t="str">
        <f>"فروش داخلي - سازمان شهرداري ها و دهياري هاي كشور"</f>
        <v>فروش داخلي - سازمان شهرداري ها و دهياري هاي كشور</v>
      </c>
      <c r="S1476" s="1" t="str">
        <f>"قرارداد فروش"</f>
        <v>قرارداد فروش</v>
      </c>
      <c r="T1476" s="1" t="str">
        <f>"ندارد"</f>
        <v>ندارد</v>
      </c>
      <c r="U1476" s="1" t="str">
        <f>"تعاوني جم گستر (1001 ج 89)"</f>
        <v>تعاوني جم گستر (1001 ج 89)</v>
      </c>
      <c r="V1476" s="1">
        <v>962000369</v>
      </c>
      <c r="W1476" s="1">
        <v>962000369</v>
      </c>
      <c r="X1476" s="1" t="str">
        <f>"1396529715"</f>
        <v>1396529715</v>
      </c>
      <c r="Y1476" s="1" t="str">
        <f>"96/09/19"</f>
        <v>96/09/19</v>
      </c>
      <c r="Z1476" s="1" t="str">
        <f>"38495مرحله دوم"</f>
        <v>38495مرحله دوم</v>
      </c>
      <c r="AA1476" s="1" t="str">
        <f>"شهرداريها"</f>
        <v>شهرداريها</v>
      </c>
      <c r="AB1476" s="1" t="str">
        <f>"96/09/11"</f>
        <v>96/09/11</v>
      </c>
      <c r="AC1476" s="1" t="str">
        <f>"استان چهارمحال بختياري"</f>
        <v>استان چهارمحال بختياري</v>
      </c>
      <c r="AD1476" s="1" t="str">
        <f>"96/09/13"</f>
        <v>96/09/13</v>
      </c>
      <c r="AE1476" s="1" t="str">
        <f>"اختتام"</f>
        <v>اختتام</v>
      </c>
      <c r="AF1476" s="1" t="str">
        <f>""</f>
        <v/>
      </c>
      <c r="AG1476" s="1" t="str">
        <f>""</f>
        <v/>
      </c>
      <c r="AH1476" s="1" t="str">
        <f>""</f>
        <v/>
      </c>
      <c r="AI1476" s="1" t="str">
        <f>""</f>
        <v/>
      </c>
      <c r="AJ1476" s="1" t="str">
        <f>""</f>
        <v/>
      </c>
      <c r="AK1476" s="1" t="str">
        <f>""</f>
        <v/>
      </c>
    </row>
    <row r="1477" spans="1:37">
      <c r="A1477" s="1">
        <v>740000</v>
      </c>
      <c r="B1477" s="1">
        <v>966200069</v>
      </c>
      <c r="C1477" s="1" t="str">
        <f>"تخليه -گيلان -رضوانشهر-پونل -كارگاه شهيدتفويضي"</f>
        <v>تخليه -گيلان -رضوانشهر-پونل -كارگاه شهيدتفويضي</v>
      </c>
      <c r="D1477" s="1">
        <v>9068</v>
      </c>
      <c r="E1477" s="1">
        <v>740000</v>
      </c>
      <c r="F1477" s="1">
        <v>96</v>
      </c>
      <c r="G1477" s="1">
        <v>0</v>
      </c>
      <c r="H1477" s="1" t="str">
        <f>"96/02/23"</f>
        <v>96/02/23</v>
      </c>
      <c r="I1477" s="1" t="str">
        <f>"كيلوگرم"</f>
        <v>كيلوگرم</v>
      </c>
      <c r="J1477" s="1" t="str">
        <f>"0000000093"</f>
        <v>0000000093</v>
      </c>
      <c r="K1477" s="1" t="str">
        <f>"قير  PG64-10"</f>
        <v>قير  PG64-10</v>
      </c>
      <c r="L1477" s="1">
        <v>100</v>
      </c>
      <c r="M1477" s="1" t="str">
        <f>"مخازن قير اصفهان"</f>
        <v>مخازن قير اصفهان</v>
      </c>
      <c r="N1477" s="1">
        <v>8024</v>
      </c>
      <c r="O1477" s="1">
        <v>50034832</v>
      </c>
      <c r="P1477" s="1" t="str">
        <f>"  راه آوران كوشش"</f>
        <v xml:space="preserve">  راه آوران كوشش</v>
      </c>
      <c r="Q1477" s="1">
        <v>62</v>
      </c>
      <c r="R1477" s="1" t="str">
        <f>"فروش داخلي - سازمان بنيادمسكن انقلاب اسلامي"</f>
        <v>فروش داخلي - سازمان بنيادمسكن انقلاب اسلامي</v>
      </c>
      <c r="S1477" s="1" t="str">
        <f>"قرارداد فروش"</f>
        <v>قرارداد فروش</v>
      </c>
      <c r="T1477" s="1" t="str">
        <f>"ندارد"</f>
        <v>ندارد</v>
      </c>
      <c r="U1477" s="1" t="str">
        <f>"خليل الهي حسن(1841005)"</f>
        <v>خليل الهي حسن(1841005)</v>
      </c>
      <c r="V1477" s="1">
        <v>966200069</v>
      </c>
      <c r="W1477" s="1">
        <v>966200069</v>
      </c>
      <c r="X1477" s="1" t="str">
        <f>"1396480497"</f>
        <v>1396480497</v>
      </c>
      <c r="Y1477" s="1" t="str">
        <f>"96/02/23"</f>
        <v>96/02/23</v>
      </c>
      <c r="Z1477" s="1" t="str">
        <f>"5844/د"</f>
        <v>5844/د</v>
      </c>
      <c r="AA1477" s="1" t="str">
        <f>"بنيادمسكن انقلاب اسلامي"</f>
        <v>بنيادمسكن انقلاب اسلامي</v>
      </c>
      <c r="AB1477" s="1" t="str">
        <f>"96/02/19"</f>
        <v>96/02/19</v>
      </c>
      <c r="AC1477" s="1" t="str">
        <f>"استان گيلان"</f>
        <v>استان گيلان</v>
      </c>
      <c r="AD1477" s="1" t="str">
        <f>"96/02/23"</f>
        <v>96/02/23</v>
      </c>
      <c r="AE1477" s="1" t="str">
        <f>"اختتام"</f>
        <v>اختتام</v>
      </c>
      <c r="AF1477" s="1" t="str">
        <f>""</f>
        <v/>
      </c>
      <c r="AG1477" s="1" t="str">
        <f>""</f>
        <v/>
      </c>
      <c r="AH1477" s="1" t="str">
        <f>""</f>
        <v/>
      </c>
      <c r="AI1477" s="1" t="str">
        <f>""</f>
        <v/>
      </c>
      <c r="AJ1477" s="1" t="str">
        <f>""</f>
        <v/>
      </c>
      <c r="AK1477" s="1" t="str">
        <f>""</f>
        <v/>
      </c>
    </row>
    <row r="1478" spans="1:37">
      <c r="A1478" s="1">
        <v>450000</v>
      </c>
      <c r="B1478" s="1">
        <v>961800051</v>
      </c>
      <c r="C1478" s="1" t="str">
        <f>"تخليه - کرمان جنوب-کارخانه آسفالت تعاوني نگين صحت جيرفت"</f>
        <v>تخليه - کرمان جنوب-کارخانه آسفالت تعاوني نگين صحت جيرفت</v>
      </c>
      <c r="D1478" s="1">
        <v>9363</v>
      </c>
      <c r="E1478" s="1">
        <v>449420</v>
      </c>
      <c r="F1478" s="1">
        <v>96</v>
      </c>
      <c r="G1478" s="1">
        <v>580</v>
      </c>
      <c r="H1478" s="1" t="str">
        <f>"96/07/05"</f>
        <v>96/07/05</v>
      </c>
      <c r="I1478" s="1" t="str">
        <f>"كيلوگرم"</f>
        <v>كيلوگرم</v>
      </c>
      <c r="J1478" s="1" t="str">
        <f>"0000000093"</f>
        <v>0000000093</v>
      </c>
      <c r="K1478" s="1" t="str">
        <f>"قير  PG64-10"</f>
        <v>قير  PG64-10</v>
      </c>
      <c r="L1478" s="1">
        <v>100</v>
      </c>
      <c r="M1478" s="1" t="str">
        <f>"مخازن قير اصفهان"</f>
        <v>مخازن قير اصفهان</v>
      </c>
      <c r="N1478" s="1">
        <v>8332</v>
      </c>
      <c r="O1478" s="1">
        <v>50036307</v>
      </c>
      <c r="P1478" s="1" t="str">
        <f>"  چندآشيان"</f>
        <v xml:space="preserve">  چندآشيان</v>
      </c>
      <c r="Q1478" s="1">
        <v>18</v>
      </c>
      <c r="R1478" s="1" t="str">
        <f>"فروش داخلي تهران - وزارت راه - شرکت ساخت و توسعه راهها"</f>
        <v>فروش داخلي تهران - وزارت راه - شرکت ساخت و توسعه راهها</v>
      </c>
      <c r="S1478" s="1" t="str">
        <f>"قرارداد فروش"</f>
        <v>قرارداد فروش</v>
      </c>
      <c r="T1478" s="1" t="str">
        <f>"ندارد"</f>
        <v>ندارد</v>
      </c>
      <c r="U1478" s="1" t="str">
        <f>"دشت بشي پودنگ وبرادران رضا(4844014)"</f>
        <v>دشت بشي پودنگ وبرادران رضا(4844014)</v>
      </c>
      <c r="V1478" s="1">
        <v>961800051</v>
      </c>
      <c r="W1478" s="1">
        <v>961800051</v>
      </c>
      <c r="X1478" s="1" t="str">
        <f>"1396514462"</f>
        <v>1396514462</v>
      </c>
      <c r="Y1478" s="1" t="str">
        <f>"96/07/04"</f>
        <v>96/07/04</v>
      </c>
      <c r="Z1478" s="1" t="str">
        <f>"31957/710"</f>
        <v>31957/710</v>
      </c>
      <c r="AA1478" s="1" t="str">
        <f>"شركت  ساخت وتوسعه راهها"</f>
        <v>شركت  ساخت وتوسعه راهها</v>
      </c>
      <c r="AB1478" s="1" t="str">
        <f>"96/06/28"</f>
        <v>96/06/28</v>
      </c>
      <c r="AC1478" s="1" t="str">
        <f>"جنوب کرمان"</f>
        <v>جنوب کرمان</v>
      </c>
      <c r="AD1478" s="1" t="str">
        <f>"96/07/03"</f>
        <v>96/07/03</v>
      </c>
      <c r="AE1478" s="1" t="str">
        <f>"اختتام"</f>
        <v>اختتام</v>
      </c>
      <c r="AF1478" s="1" t="str">
        <f>""</f>
        <v/>
      </c>
      <c r="AG1478" s="1" t="str">
        <f>""</f>
        <v/>
      </c>
      <c r="AH1478" s="1" t="str">
        <f>""</f>
        <v/>
      </c>
      <c r="AI1478" s="1" t="str">
        <f>""</f>
        <v/>
      </c>
      <c r="AJ1478" s="1" t="str">
        <f>""</f>
        <v/>
      </c>
      <c r="AK1478" s="1" t="str">
        <f>""</f>
        <v/>
      </c>
    </row>
    <row r="1479" spans="1:37">
      <c r="A1479" s="1">
        <v>252000</v>
      </c>
      <c r="B1479" s="1">
        <v>966200262</v>
      </c>
      <c r="C1479" s="1" t="str">
        <f>"تخليه -سيستان وبلوچستان -هامون شهرمحمدآباد-كيلومتر5روستاي شهرك مير-كارخانه آسفالت برادران طباطبائي"</f>
        <v>تخليه -سيستان وبلوچستان -هامون شهرمحمدآباد-كيلومتر5روستاي شهرك مير-كارخانه آسفالت برادران طباطبائي</v>
      </c>
      <c r="D1479" s="1">
        <v>9113</v>
      </c>
      <c r="E1479" s="1">
        <v>252000</v>
      </c>
      <c r="F1479" s="1">
        <v>96</v>
      </c>
      <c r="G1479" s="1">
        <v>0</v>
      </c>
      <c r="H1479" s="1" t="str">
        <f>"96/07/05"</f>
        <v>96/07/05</v>
      </c>
      <c r="I1479" s="1" t="str">
        <f>"كيلوگرم"</f>
        <v>كيلوگرم</v>
      </c>
      <c r="J1479" s="1" t="str">
        <f>"0000000076"</f>
        <v>0000000076</v>
      </c>
      <c r="K1479" s="1" t="str">
        <f>"قير 60/70 - فله"</f>
        <v>قير 60/70 - فله</v>
      </c>
      <c r="L1479" s="1">
        <v>100</v>
      </c>
      <c r="M1479" s="1" t="str">
        <f>"مخازن قير اصفهان"</f>
        <v>مخازن قير اصفهان</v>
      </c>
      <c r="N1479" s="1">
        <v>10421</v>
      </c>
      <c r="O1479" s="1">
        <v>50036299</v>
      </c>
      <c r="P1479" s="1" t="str">
        <f>"  تعاوني راه وساختمان  3136سيستان سازه زابل"</f>
        <v xml:space="preserve">  تعاوني راه وساختمان  3136سيستان سازه زابل</v>
      </c>
      <c r="Q1479" s="1">
        <v>62</v>
      </c>
      <c r="R1479" s="1" t="str">
        <f>"فروش داخلي - سازمان بنيادمسكن انقلاب اسلامي"</f>
        <v>فروش داخلي - سازمان بنيادمسكن انقلاب اسلامي</v>
      </c>
      <c r="S1479" s="1" t="str">
        <f>"قرارداد فروش"</f>
        <v>قرارداد فروش</v>
      </c>
      <c r="T1479" s="1" t="str">
        <f>"ندارد"</f>
        <v>ندارد</v>
      </c>
      <c r="U1479" s="1" t="str">
        <f>"قانعي محمدرضا(1011ج89)"</f>
        <v>قانعي محمدرضا(1011ج89)</v>
      </c>
      <c r="V1479" s="1">
        <v>966200262</v>
      </c>
      <c r="W1479" s="1">
        <v>966200262</v>
      </c>
      <c r="X1479" s="1" t="str">
        <f>"1396514733"</f>
        <v>1396514733</v>
      </c>
      <c r="Y1479" s="1" t="str">
        <f>"96/07/05"</f>
        <v>96/07/05</v>
      </c>
      <c r="Z1479" s="1" t="str">
        <f>"29255/د"</f>
        <v>29255/د</v>
      </c>
      <c r="AA1479" s="1" t="str">
        <f>"بنيادمسكن انقلاب اسلامي"</f>
        <v>بنيادمسكن انقلاب اسلامي</v>
      </c>
      <c r="AB1479" s="1" t="str">
        <f>"96/07/02"</f>
        <v>96/07/02</v>
      </c>
      <c r="AC1479" s="1" t="str">
        <f>"استان سيستان بلوچستان"</f>
        <v>استان سيستان بلوچستان</v>
      </c>
      <c r="AD1479" s="1" t="str">
        <f>"96/07/04"</f>
        <v>96/07/04</v>
      </c>
      <c r="AE1479" s="1" t="str">
        <f>"اختتام"</f>
        <v>اختتام</v>
      </c>
      <c r="AF1479" s="1" t="str">
        <f>""</f>
        <v/>
      </c>
      <c r="AG1479" s="1" t="str">
        <f>""</f>
        <v/>
      </c>
      <c r="AH1479" s="1" t="str">
        <f>""</f>
        <v/>
      </c>
      <c r="AI1479" s="1" t="str">
        <f>""</f>
        <v/>
      </c>
      <c r="AJ1479" s="1" t="str">
        <f>""</f>
        <v/>
      </c>
      <c r="AK1479" s="1" t="str">
        <f>""</f>
        <v/>
      </c>
    </row>
    <row r="1480" spans="1:37">
      <c r="A1480" s="1">
        <v>45154</v>
      </c>
      <c r="B1480" s="1">
        <v>962000367</v>
      </c>
      <c r="C1480" s="1" t="str">
        <f>"تخليه چهارمحال وبختياري شهركردسامان كارخانه آسفالت نسيم سامان"</f>
        <v>تخليه چهارمحال وبختياري شهركردسامان كارخانه آسفالت نسيم سامان</v>
      </c>
      <c r="D1480" s="1">
        <v>12820</v>
      </c>
      <c r="E1480" s="1">
        <v>45154</v>
      </c>
      <c r="F1480" s="1">
        <v>96</v>
      </c>
      <c r="G1480" s="1">
        <v>0</v>
      </c>
      <c r="H1480" s="1" t="str">
        <f>"96/09/19"</f>
        <v>96/09/19</v>
      </c>
      <c r="I1480" s="1" t="str">
        <f>"كيلوگرم"</f>
        <v>كيلوگرم</v>
      </c>
      <c r="J1480" s="1" t="str">
        <f>"1000000002"</f>
        <v>1000000002</v>
      </c>
      <c r="K1480" s="1" t="str">
        <f>"قير 85/100 - فله"</f>
        <v>قير 85/100 - فله</v>
      </c>
      <c r="L1480" s="1">
        <v>100</v>
      </c>
      <c r="M1480" s="1" t="str">
        <f>"مخازن قير اصفهان"</f>
        <v>مخازن قير اصفهان</v>
      </c>
      <c r="N1480" s="1">
        <v>9387</v>
      </c>
      <c r="O1480" s="1">
        <v>50037664</v>
      </c>
      <c r="P1480" s="1" t="str">
        <f>"  شهرداري سودجان"</f>
        <v xml:space="preserve">  شهرداري سودجان</v>
      </c>
      <c r="Q1480" s="1">
        <v>20</v>
      </c>
      <c r="R1480" s="1" t="str">
        <f>"فروش داخلي - سازمان شهرداري ها و دهياري هاي كشور"</f>
        <v>فروش داخلي - سازمان شهرداري ها و دهياري هاي كشور</v>
      </c>
      <c r="S1480" s="1" t="str">
        <f>"قرارداد فروش"</f>
        <v>قرارداد فروش</v>
      </c>
      <c r="T1480" s="1" t="str">
        <f>"ندارد"</f>
        <v>ندارد</v>
      </c>
      <c r="U1480" s="1" t="str">
        <f>"تعاوني جم گستر (1001 ج 89)"</f>
        <v>تعاوني جم گستر (1001 ج 89)</v>
      </c>
      <c r="V1480" s="1">
        <v>962000367</v>
      </c>
      <c r="W1480" s="1">
        <v>962000367</v>
      </c>
      <c r="X1480" s="1" t="str">
        <f>"1396529715"</f>
        <v>1396529715</v>
      </c>
      <c r="Y1480" s="1" t="str">
        <f>"96/09/19"</f>
        <v>96/09/19</v>
      </c>
      <c r="Z1480" s="1" t="str">
        <f>"38492مرحله دوم"</f>
        <v>38492مرحله دوم</v>
      </c>
      <c r="AA1480" s="1" t="str">
        <f>"شهرداريها"</f>
        <v>شهرداريها</v>
      </c>
      <c r="AB1480" s="1" t="str">
        <f>"96/09/11"</f>
        <v>96/09/11</v>
      </c>
      <c r="AC1480" s="1" t="str">
        <f>"استان چهارمحال بختياري"</f>
        <v>استان چهارمحال بختياري</v>
      </c>
      <c r="AD1480" s="1" t="str">
        <f>"96/09/13"</f>
        <v>96/09/13</v>
      </c>
      <c r="AE1480" s="1" t="str">
        <f>"اختتام"</f>
        <v>اختتام</v>
      </c>
      <c r="AF1480" s="1" t="str">
        <f>""</f>
        <v/>
      </c>
      <c r="AG1480" s="1" t="str">
        <f>""</f>
        <v/>
      </c>
      <c r="AH1480" s="1" t="str">
        <f>""</f>
        <v/>
      </c>
      <c r="AI1480" s="1" t="str">
        <f>""</f>
        <v/>
      </c>
      <c r="AJ1480" s="1" t="str">
        <f>""</f>
        <v/>
      </c>
      <c r="AK1480" s="1" t="str">
        <f>""</f>
        <v/>
      </c>
    </row>
    <row r="1481" spans="1:37">
      <c r="A1481" s="1">
        <v>80000</v>
      </c>
      <c r="B1481" s="1">
        <v>966200283</v>
      </c>
      <c r="C1481" s="1" t="str">
        <f>"تخليه- گيلان-رضوانشهر-سه راهي پونل به ارده-کيلومتر 8 روستاي دوران-کارخانه آسفالت شرکت ايمن بنا"</f>
        <v>تخليه- گيلان-رضوانشهر-سه راهي پونل به ارده-کيلومتر 8 روستاي دوران-کارخانه آسفالت شرکت ايمن بنا</v>
      </c>
      <c r="D1481" s="1">
        <v>9363</v>
      </c>
      <c r="E1481" s="1">
        <v>80000</v>
      </c>
      <c r="F1481" s="1">
        <v>96</v>
      </c>
      <c r="G1481" s="1">
        <v>0</v>
      </c>
      <c r="H1481" s="1" t="str">
        <f>"96/07/11"</f>
        <v>96/07/11</v>
      </c>
      <c r="I1481" s="1" t="str">
        <f>"كيلوگرم"</f>
        <v>كيلوگرم</v>
      </c>
      <c r="J1481" s="1" t="str">
        <f>"0000000093"</f>
        <v>0000000093</v>
      </c>
      <c r="K1481" s="1" t="str">
        <f>"قير  PG64-10"</f>
        <v>قير  PG64-10</v>
      </c>
      <c r="L1481" s="1">
        <v>100</v>
      </c>
      <c r="M1481" s="1" t="str">
        <f>"مخازن قير اصفهان"</f>
        <v>مخازن قير اصفهان</v>
      </c>
      <c r="N1481" s="1">
        <v>8789</v>
      </c>
      <c r="O1481" s="1">
        <v>50036504</v>
      </c>
      <c r="P1481" s="1" t="str">
        <f>"  ايمن بنا"</f>
        <v xml:space="preserve">  ايمن بنا</v>
      </c>
      <c r="Q1481" s="1">
        <v>62</v>
      </c>
      <c r="R1481" s="1" t="str">
        <f>"فروش داخلي - سازمان بنيادمسكن انقلاب اسلامي"</f>
        <v>فروش داخلي - سازمان بنيادمسكن انقلاب اسلامي</v>
      </c>
      <c r="S1481" s="1" t="str">
        <f>"قرارداد فروش"</f>
        <v>قرارداد فروش</v>
      </c>
      <c r="T1481" s="1" t="str">
        <f>"ندارد"</f>
        <v>ندارد</v>
      </c>
      <c r="U1481" s="1" t="str">
        <f>"خليل الهي حسن(1841005)"</f>
        <v>خليل الهي حسن(1841005)</v>
      </c>
      <c r="V1481" s="1">
        <v>966200283</v>
      </c>
      <c r="W1481" s="1">
        <v>966200283</v>
      </c>
      <c r="X1481" s="1" t="str">
        <f>"1396515926"</f>
        <v>1396515926</v>
      </c>
      <c r="Y1481" s="1" t="str">
        <f>"96/07/11"</f>
        <v>96/07/11</v>
      </c>
      <c r="Z1481" s="1" t="str">
        <f>"30186/د"</f>
        <v>30186/د</v>
      </c>
      <c r="AA1481" s="1" t="str">
        <f>"بنيادمسكن انقلاب اسلامي"</f>
        <v>بنيادمسكن انقلاب اسلامي</v>
      </c>
      <c r="AB1481" s="1" t="str">
        <f>"96/07/10"</f>
        <v>96/07/10</v>
      </c>
      <c r="AC1481" s="1" t="str">
        <f>"استان گيلان"</f>
        <v>استان گيلان</v>
      </c>
      <c r="AD1481" s="1" t="str">
        <f>"96/07/11"</f>
        <v>96/07/11</v>
      </c>
      <c r="AE1481" s="1" t="str">
        <f>"اختتام"</f>
        <v>اختتام</v>
      </c>
      <c r="AF1481" s="1" t="str">
        <f>""</f>
        <v/>
      </c>
      <c r="AG1481" s="1" t="str">
        <f>""</f>
        <v/>
      </c>
      <c r="AH1481" s="1" t="str">
        <f>""</f>
        <v/>
      </c>
      <c r="AI1481" s="1" t="str">
        <f>""</f>
        <v/>
      </c>
      <c r="AJ1481" s="1" t="str">
        <f>""</f>
        <v/>
      </c>
      <c r="AK1481" s="1" t="str">
        <f>""</f>
        <v/>
      </c>
    </row>
    <row r="1482" spans="1:37">
      <c r="A1482" s="1">
        <v>222000</v>
      </c>
      <c r="B1482" s="1">
        <v>961700140</v>
      </c>
      <c r="C1482" s="1" t="str">
        <f>"تخليه فارس شيرازقيركارزين كارخانه آسفالت رمضاني"</f>
        <v>تخليه فارس شيرازقيركارزين كارخانه آسفالت رمضاني</v>
      </c>
      <c r="D1482" s="1">
        <v>9716</v>
      </c>
      <c r="E1482" s="1">
        <v>220620</v>
      </c>
      <c r="F1482" s="1">
        <v>96</v>
      </c>
      <c r="G1482" s="1">
        <v>1380</v>
      </c>
      <c r="H1482" s="1" t="str">
        <f>"96/07/26"</f>
        <v>96/07/26</v>
      </c>
      <c r="I1482" s="1" t="str">
        <f>"كيلوگرم"</f>
        <v>كيلوگرم</v>
      </c>
      <c r="J1482" s="1" t="str">
        <f>"0000000093"</f>
        <v>0000000093</v>
      </c>
      <c r="K1482" s="1" t="str">
        <f>"قير  PG64-10"</f>
        <v>قير  PG64-10</v>
      </c>
      <c r="L1482" s="1">
        <v>100</v>
      </c>
      <c r="M1482" s="1" t="str">
        <f>"مخازن قير اصفهان"</f>
        <v>مخازن قير اصفهان</v>
      </c>
      <c r="N1482" s="1">
        <v>10345</v>
      </c>
      <c r="O1482" s="1">
        <v>50036814</v>
      </c>
      <c r="P1482" s="1" t="str">
        <f>"  شهاب ساخت اصفهان"</f>
        <v xml:space="preserve">  شهاب ساخت اصفهان</v>
      </c>
      <c r="Q1482" s="1">
        <v>17</v>
      </c>
      <c r="R1482" s="1" t="str">
        <f>"فروش داخلي تهران - وزارت راه - راه روستايي - روکش"</f>
        <v>فروش داخلي تهران - وزارت راه - راه روستايي - روکش</v>
      </c>
      <c r="S1482" s="1" t="str">
        <f>"قرارداد فروش"</f>
        <v>قرارداد فروش</v>
      </c>
      <c r="T1482" s="1" t="str">
        <f>"ندارد"</f>
        <v>ندارد</v>
      </c>
      <c r="U1482" s="1" t="str">
        <f>"اژدري مسعود(4844011)"</f>
        <v>اژدري مسعود(4844011)</v>
      </c>
      <c r="V1482" s="1">
        <v>961700140</v>
      </c>
      <c r="W1482" s="1">
        <v>961700140</v>
      </c>
      <c r="X1482" s="1" t="str">
        <f>"1396519916"</f>
        <v>1396519916</v>
      </c>
      <c r="Y1482" s="1" t="str">
        <f>"96/07/26"</f>
        <v>96/07/26</v>
      </c>
      <c r="Z1482" s="1" t="str">
        <f>"29797/710"</f>
        <v>29797/710</v>
      </c>
      <c r="AA1482" s="1" t="str">
        <f>"راه روستائي -روكش"</f>
        <v>راه روستائي -روكش</v>
      </c>
      <c r="AB1482" s="1" t="str">
        <f>"96/06/15"</f>
        <v>96/06/15</v>
      </c>
      <c r="AC1482" s="1" t="str">
        <f>"استان فارس"</f>
        <v>استان فارس</v>
      </c>
      <c r="AD1482" s="1" t="str">
        <f>"96/07/26"</f>
        <v>96/07/26</v>
      </c>
      <c r="AE1482" s="1" t="str">
        <f>"اختتام"</f>
        <v>اختتام</v>
      </c>
      <c r="AF1482" s="1" t="str">
        <f>""</f>
        <v/>
      </c>
      <c r="AG1482" s="1" t="str">
        <f>""</f>
        <v/>
      </c>
      <c r="AH1482" s="1" t="str">
        <f>""</f>
        <v/>
      </c>
      <c r="AI1482" s="1" t="str">
        <f>""</f>
        <v/>
      </c>
      <c r="AJ1482" s="1" t="str">
        <f>""</f>
        <v/>
      </c>
      <c r="AK1482" s="1" t="str">
        <f>""</f>
        <v/>
      </c>
    </row>
    <row r="1483" spans="1:37">
      <c r="A1483" s="1">
        <v>165000</v>
      </c>
      <c r="B1483" s="1">
        <v>966200070</v>
      </c>
      <c r="C1483" s="1" t="str">
        <f>"تخليه -گيلان -نرسيده به پليس راه رشت آستارا-جنب هواشناسي آستارا-کارخانه آسفالت شرکت ساختکارآفرين"</f>
        <v>تخليه -گيلان -نرسيده به پليس راه رشت آستارا-جنب هواشناسي آستارا-کارخانه آسفالت شرکت ساختکارآفرين</v>
      </c>
      <c r="D1483" s="1">
        <v>9068</v>
      </c>
      <c r="E1483" s="1">
        <v>164000</v>
      </c>
      <c r="F1483" s="1">
        <v>96</v>
      </c>
      <c r="G1483" s="1">
        <v>1000</v>
      </c>
      <c r="H1483" s="1" t="str">
        <f>"96/02/23"</f>
        <v>96/02/23</v>
      </c>
      <c r="I1483" s="1" t="str">
        <f>"كيلوگرم"</f>
        <v>كيلوگرم</v>
      </c>
      <c r="J1483" s="1" t="str">
        <f>"0000000093"</f>
        <v>0000000093</v>
      </c>
      <c r="K1483" s="1" t="str">
        <f>"قير  PG64-10"</f>
        <v>قير  PG64-10</v>
      </c>
      <c r="L1483" s="1">
        <v>100</v>
      </c>
      <c r="M1483" s="1" t="str">
        <f>"مخازن قير اصفهان"</f>
        <v>مخازن قير اصفهان</v>
      </c>
      <c r="N1483" s="1">
        <v>10375</v>
      </c>
      <c r="O1483" s="1">
        <v>50034833</v>
      </c>
      <c r="P1483" s="1" t="str">
        <f>"  ساختکارآفرين"</f>
        <v xml:space="preserve">  ساختکارآفرين</v>
      </c>
      <c r="Q1483" s="1">
        <v>62</v>
      </c>
      <c r="R1483" s="1" t="str">
        <f>"فروش داخلي - سازمان بنيادمسكن انقلاب اسلامي"</f>
        <v>فروش داخلي - سازمان بنيادمسكن انقلاب اسلامي</v>
      </c>
      <c r="S1483" s="1" t="str">
        <f>"قرارداد فروش"</f>
        <v>قرارداد فروش</v>
      </c>
      <c r="T1483" s="1" t="str">
        <f>"ندارد"</f>
        <v>ندارد</v>
      </c>
      <c r="U1483" s="1" t="str">
        <f>"خليل الهي حسن(1841005)"</f>
        <v>خليل الهي حسن(1841005)</v>
      </c>
      <c r="V1483" s="1">
        <v>966200070</v>
      </c>
      <c r="W1483" s="1">
        <v>966200070</v>
      </c>
      <c r="X1483" s="1" t="str">
        <f>"1396480497"</f>
        <v>1396480497</v>
      </c>
      <c r="Y1483" s="1" t="str">
        <f>"96/02/23"</f>
        <v>96/02/23</v>
      </c>
      <c r="Z1483" s="1" t="str">
        <f>"5847/د"</f>
        <v>5847/د</v>
      </c>
      <c r="AA1483" s="1" t="str">
        <f>"بنيادمسكن انقلاب اسلامي"</f>
        <v>بنيادمسكن انقلاب اسلامي</v>
      </c>
      <c r="AB1483" s="1" t="str">
        <f>"96/02/19"</f>
        <v>96/02/19</v>
      </c>
      <c r="AC1483" s="1" t="str">
        <f>"استان گيلان"</f>
        <v>استان گيلان</v>
      </c>
      <c r="AD1483" s="1" t="str">
        <f>"96/02/23"</f>
        <v>96/02/23</v>
      </c>
      <c r="AE1483" s="1" t="str">
        <f>"اختتام"</f>
        <v>اختتام</v>
      </c>
      <c r="AF1483" s="1" t="str">
        <f>""</f>
        <v/>
      </c>
      <c r="AG1483" s="1" t="str">
        <f>""</f>
        <v/>
      </c>
      <c r="AH1483" s="1" t="str">
        <f>""</f>
        <v/>
      </c>
      <c r="AI1483" s="1" t="str">
        <f>""</f>
        <v/>
      </c>
      <c r="AJ1483" s="1" t="str">
        <f>""</f>
        <v/>
      </c>
      <c r="AK1483" s="1" t="str">
        <f>""</f>
        <v/>
      </c>
    </row>
    <row r="1484" spans="1:37">
      <c r="A1484" s="1">
        <v>544000</v>
      </c>
      <c r="B1484" s="1">
        <v>966200271</v>
      </c>
      <c r="C1484" s="1" t="str">
        <f>"تخليه -گيلان -نرسيده به پليس راه رشت آستارا-جنب هواشناسي آستارا-کارخانه آسفالت شرکت ساختکارآفرين"</f>
        <v>تخليه -گيلان -نرسيده به پليس راه رشت آستارا-جنب هواشناسي آستارا-کارخانه آسفالت شرکت ساختکارآفرين</v>
      </c>
      <c r="D1484" s="1">
        <v>9363</v>
      </c>
      <c r="E1484" s="1">
        <v>544000</v>
      </c>
      <c r="F1484" s="1">
        <v>96</v>
      </c>
      <c r="G1484" s="1">
        <v>0</v>
      </c>
      <c r="H1484" s="1" t="str">
        <f>"96/07/10"</f>
        <v>96/07/10</v>
      </c>
      <c r="I1484" s="1" t="str">
        <f>"كيلوگرم"</f>
        <v>كيلوگرم</v>
      </c>
      <c r="J1484" s="1" t="str">
        <f>"0000000093"</f>
        <v>0000000093</v>
      </c>
      <c r="K1484" s="1" t="str">
        <f>"قير  PG64-10"</f>
        <v>قير  PG64-10</v>
      </c>
      <c r="L1484" s="1">
        <v>100</v>
      </c>
      <c r="M1484" s="1" t="str">
        <f>"مخازن قير اصفهان"</f>
        <v>مخازن قير اصفهان</v>
      </c>
      <c r="N1484" s="1">
        <v>10375</v>
      </c>
      <c r="O1484" s="1">
        <v>50036476</v>
      </c>
      <c r="P1484" s="1" t="str">
        <f>"  ساختکارآفرين"</f>
        <v xml:space="preserve">  ساختکارآفرين</v>
      </c>
      <c r="Q1484" s="1">
        <v>62</v>
      </c>
      <c r="R1484" s="1" t="str">
        <f>"فروش داخلي - سازمان بنيادمسكن انقلاب اسلامي"</f>
        <v>فروش داخلي - سازمان بنيادمسكن انقلاب اسلامي</v>
      </c>
      <c r="S1484" s="1" t="str">
        <f>"قرارداد فروش"</f>
        <v>قرارداد فروش</v>
      </c>
      <c r="T1484" s="1" t="str">
        <f>"ندارد"</f>
        <v>ندارد</v>
      </c>
      <c r="U1484" s="1" t="str">
        <f>"خليل الهي حسن(1841005)"</f>
        <v>خليل الهي حسن(1841005)</v>
      </c>
      <c r="V1484" s="1">
        <v>966200271</v>
      </c>
      <c r="W1484" s="1">
        <v>966200271</v>
      </c>
      <c r="X1484" s="1" t="str">
        <f>"1396515522"</f>
        <v>1396515522</v>
      </c>
      <c r="Y1484" s="1" t="str">
        <f>"96/07/10"</f>
        <v>96/07/10</v>
      </c>
      <c r="Z1484" s="1" t="str">
        <f>"29635/د"</f>
        <v>29635/د</v>
      </c>
      <c r="AA1484" s="1" t="str">
        <f>"بنيادمسكن انقلاب اسلامي"</f>
        <v>بنيادمسكن انقلاب اسلامي</v>
      </c>
      <c r="AB1484" s="1" t="str">
        <f>"96/07/04"</f>
        <v>96/07/04</v>
      </c>
      <c r="AC1484" s="1" t="str">
        <f>"استان گيلان"</f>
        <v>استان گيلان</v>
      </c>
      <c r="AD1484" s="1" t="str">
        <f>"96/07/05"</f>
        <v>96/07/05</v>
      </c>
      <c r="AE1484" s="1" t="str">
        <f>"اختتام"</f>
        <v>اختتام</v>
      </c>
      <c r="AF1484" s="1" t="str">
        <f>""</f>
        <v/>
      </c>
      <c r="AG1484" s="1" t="str">
        <f>""</f>
        <v/>
      </c>
      <c r="AH1484" s="1" t="str">
        <f>""</f>
        <v/>
      </c>
      <c r="AI1484" s="1" t="str">
        <f>""</f>
        <v/>
      </c>
      <c r="AJ1484" s="1" t="str">
        <f>""</f>
        <v/>
      </c>
      <c r="AK1484" s="1" t="str">
        <f>""</f>
        <v/>
      </c>
    </row>
    <row r="1485" spans="1:37">
      <c r="A1485" s="1">
        <v>91000</v>
      </c>
      <c r="B1485" s="1">
        <v>966200309</v>
      </c>
      <c r="C1485" s="1" t="str">
        <f>"تخليه - چهارمحال و بختياري - اردل-کارخانه آسفالت شرکت دشتاوند دزپارت"</f>
        <v>تخليه - چهارمحال و بختياري - اردل-کارخانه آسفالت شرکت دشتاوند دزپارت</v>
      </c>
      <c r="D1485" s="1">
        <v>9113</v>
      </c>
      <c r="E1485" s="1">
        <v>90660</v>
      </c>
      <c r="F1485" s="1">
        <v>96</v>
      </c>
      <c r="G1485" s="1">
        <v>340</v>
      </c>
      <c r="H1485" s="1" t="str">
        <f>"96/07/18"</f>
        <v>96/07/18</v>
      </c>
      <c r="I1485" s="1" t="str">
        <f>"كيلوگرم"</f>
        <v>كيلوگرم</v>
      </c>
      <c r="J1485" s="1" t="str">
        <f>"1000000002"</f>
        <v>1000000002</v>
      </c>
      <c r="K1485" s="1" t="str">
        <f>"قير 85/100 - فله"</f>
        <v>قير 85/100 - فله</v>
      </c>
      <c r="L1485" s="1">
        <v>100</v>
      </c>
      <c r="M1485" s="1" t="str">
        <f>"مخازن قير اصفهان"</f>
        <v>مخازن قير اصفهان</v>
      </c>
      <c r="N1485" s="1">
        <v>11112</v>
      </c>
      <c r="O1485" s="1">
        <v>50036664</v>
      </c>
      <c r="P1485" s="1" t="str">
        <f>"  ژرف کار پارس زاگرس"</f>
        <v xml:space="preserve">  ژرف کار پارس زاگرس</v>
      </c>
      <c r="Q1485" s="1">
        <v>62</v>
      </c>
      <c r="R1485" s="1" t="str">
        <f>"فروش داخلي - سازمان بنيادمسكن انقلاب اسلامي"</f>
        <v>فروش داخلي - سازمان بنيادمسكن انقلاب اسلامي</v>
      </c>
      <c r="S1485" s="1" t="str">
        <f>"قرارداد فروش"</f>
        <v>قرارداد فروش</v>
      </c>
      <c r="T1485" s="1" t="str">
        <f>"ندارد"</f>
        <v>ندارد</v>
      </c>
      <c r="U1485" s="1" t="str">
        <f>"قره باغي مجيد(1871065)"</f>
        <v>قره باغي مجيد(1871065)</v>
      </c>
      <c r="V1485" s="1">
        <v>966200309</v>
      </c>
      <c r="W1485" s="1">
        <v>966200309</v>
      </c>
      <c r="X1485" s="1" t="str">
        <f>"1396517670"</f>
        <v>1396517670</v>
      </c>
      <c r="Y1485" s="1" t="str">
        <f>"96/07/18"</f>
        <v>96/07/18</v>
      </c>
      <c r="Z1485" s="1" t="str">
        <f>"31770/د"</f>
        <v>31770/د</v>
      </c>
      <c r="AA1485" s="1" t="str">
        <f>"بنيادمسكن انقلاب اسلامي"</f>
        <v>بنيادمسكن انقلاب اسلامي</v>
      </c>
      <c r="AB1485" s="1" t="str">
        <f>"96/07/17"</f>
        <v>96/07/17</v>
      </c>
      <c r="AC1485" s="1" t="str">
        <f>"استان چهارمحال بختياري"</f>
        <v>استان چهارمحال بختياري</v>
      </c>
      <c r="AD1485" s="1" t="str">
        <f>"96/07/18"</f>
        <v>96/07/18</v>
      </c>
      <c r="AE1485" s="1" t="str">
        <f>"اختتام"</f>
        <v>اختتام</v>
      </c>
      <c r="AF1485" s="1" t="str">
        <f>""</f>
        <v/>
      </c>
      <c r="AG1485" s="1" t="str">
        <f>""</f>
        <v/>
      </c>
      <c r="AH1485" s="1" t="str">
        <f>""</f>
        <v/>
      </c>
      <c r="AI1485" s="1" t="str">
        <f>""</f>
        <v/>
      </c>
      <c r="AJ1485" s="1" t="str">
        <f>""</f>
        <v/>
      </c>
      <c r="AK1485" s="1" t="str">
        <f>""</f>
        <v/>
      </c>
    </row>
    <row r="1486" spans="1:37">
      <c r="A1486" s="1">
        <v>351000</v>
      </c>
      <c r="B1486" s="1">
        <v>966200355</v>
      </c>
      <c r="C1486" s="1" t="str">
        <f>"تخليه - چهارمحال و بختياري - اردل-کارخانه آسفالت شرکت دشتاوند دزپارت"</f>
        <v>تخليه - چهارمحال و بختياري - اردل-کارخانه آسفالت شرکت دشتاوند دزپارت</v>
      </c>
      <c r="D1486" s="1">
        <v>9416</v>
      </c>
      <c r="E1486" s="1">
        <v>350520</v>
      </c>
      <c r="F1486" s="1">
        <v>96</v>
      </c>
      <c r="G1486" s="1">
        <v>480</v>
      </c>
      <c r="H1486" s="1" t="str">
        <f>"96/08/06"</f>
        <v>96/08/06</v>
      </c>
      <c r="I1486" s="1" t="str">
        <f>"كيلوگرم"</f>
        <v>كيلوگرم</v>
      </c>
      <c r="J1486" s="1" t="str">
        <f>"1000000002"</f>
        <v>1000000002</v>
      </c>
      <c r="K1486" s="1" t="str">
        <f>"قير 85/100 - فله"</f>
        <v>قير 85/100 - فله</v>
      </c>
      <c r="L1486" s="1">
        <v>100</v>
      </c>
      <c r="M1486" s="1" t="str">
        <f>"مخازن قير اصفهان"</f>
        <v>مخازن قير اصفهان</v>
      </c>
      <c r="N1486" s="1">
        <v>11112</v>
      </c>
      <c r="O1486" s="1">
        <v>50036925</v>
      </c>
      <c r="P1486" s="1" t="str">
        <f>"  ژرف کار پارس زاگرس"</f>
        <v xml:space="preserve">  ژرف کار پارس زاگرس</v>
      </c>
      <c r="Q1486" s="1">
        <v>62</v>
      </c>
      <c r="R1486" s="1" t="str">
        <f>"فروش داخلي - سازمان بنيادمسكن انقلاب اسلامي"</f>
        <v>فروش داخلي - سازمان بنيادمسكن انقلاب اسلامي</v>
      </c>
      <c r="S1486" s="1" t="str">
        <f>"قرارداد فروش"</f>
        <v>قرارداد فروش</v>
      </c>
      <c r="T1486" s="1" t="str">
        <f>"ندارد"</f>
        <v>ندارد</v>
      </c>
      <c r="U1486" s="1" t="str">
        <f>"قره باغي مجيد(1871065)"</f>
        <v>قره باغي مجيد(1871065)</v>
      </c>
      <c r="V1486" s="1">
        <v>966200355</v>
      </c>
      <c r="W1486" s="1">
        <v>966200355</v>
      </c>
      <c r="X1486" s="1" t="str">
        <f>"1396521778"</f>
        <v>1396521778</v>
      </c>
      <c r="Y1486" s="1" t="str">
        <f>"96/08/06"</f>
        <v>96/08/06</v>
      </c>
      <c r="Z1486" s="1" t="str">
        <f>"34705/د"</f>
        <v>34705/د</v>
      </c>
      <c r="AA1486" s="1" t="str">
        <f>"بنيادمسكن انقلاب اسلامي"</f>
        <v>بنيادمسكن انقلاب اسلامي</v>
      </c>
      <c r="AB1486" s="1" t="str">
        <f>"96/08/03"</f>
        <v>96/08/03</v>
      </c>
      <c r="AC1486" s="1" t="str">
        <f>"استان چهارمحال بختياري"</f>
        <v>استان چهارمحال بختياري</v>
      </c>
      <c r="AD1486" s="1" t="str">
        <f>"96/08/06"</f>
        <v>96/08/06</v>
      </c>
      <c r="AE1486" s="1" t="str">
        <f>"اختتام"</f>
        <v>اختتام</v>
      </c>
      <c r="AF1486" s="1" t="str">
        <f>""</f>
        <v/>
      </c>
      <c r="AG1486" s="1" t="str">
        <f>""</f>
        <v/>
      </c>
      <c r="AH1486" s="1" t="str">
        <f>""</f>
        <v/>
      </c>
      <c r="AI1486" s="1" t="str">
        <f>""</f>
        <v/>
      </c>
      <c r="AJ1486" s="1" t="str">
        <f>""</f>
        <v/>
      </c>
      <c r="AK1486" s="1" t="str">
        <f>""</f>
        <v/>
      </c>
    </row>
    <row r="1487" spans="1:37">
      <c r="A1487" s="1">
        <v>48313</v>
      </c>
      <c r="B1487" s="1">
        <v>962000388</v>
      </c>
      <c r="C1487" s="1" t="str">
        <f>"تخليه چهارمحال وبختياري ناغان شركت آسفالت اتحادكاران ناغان"</f>
        <v>تخليه چهارمحال وبختياري ناغان شركت آسفالت اتحادكاران ناغان</v>
      </c>
      <c r="D1487" s="1">
        <v>12820</v>
      </c>
      <c r="E1487" s="1">
        <v>48313</v>
      </c>
      <c r="F1487" s="1">
        <v>96</v>
      </c>
      <c r="G1487" s="1">
        <v>0</v>
      </c>
      <c r="H1487" s="1" t="str">
        <f>"96/09/19"</f>
        <v>96/09/19</v>
      </c>
      <c r="I1487" s="1" t="str">
        <f>"كيلوگرم"</f>
        <v>كيلوگرم</v>
      </c>
      <c r="J1487" s="1" t="str">
        <f>"1000000002"</f>
        <v>1000000002</v>
      </c>
      <c r="K1487" s="1" t="str">
        <f>"قير 85/100 - فله"</f>
        <v>قير 85/100 - فله</v>
      </c>
      <c r="L1487" s="1">
        <v>100</v>
      </c>
      <c r="M1487" s="1" t="str">
        <f>"مخازن قير اصفهان"</f>
        <v>مخازن قير اصفهان</v>
      </c>
      <c r="N1487" s="1">
        <v>11152</v>
      </c>
      <c r="O1487" s="1">
        <v>50037685</v>
      </c>
      <c r="P1487" s="1" t="str">
        <f>"  شهرداري ناغان"</f>
        <v xml:space="preserve">  شهرداري ناغان</v>
      </c>
      <c r="Q1487" s="1">
        <v>20</v>
      </c>
      <c r="R1487" s="1" t="str">
        <f>"فروش داخلي - سازمان شهرداري ها و دهياري هاي كشور"</f>
        <v>فروش داخلي - سازمان شهرداري ها و دهياري هاي كشور</v>
      </c>
      <c r="S1487" s="1" t="str">
        <f>"قرارداد فروش"</f>
        <v>قرارداد فروش</v>
      </c>
      <c r="T1487" s="1" t="str">
        <f>"ندارد"</f>
        <v>ندارد</v>
      </c>
      <c r="U1487" s="1" t="str">
        <f>"تعاوني جم گستر (1001 ج 89)"</f>
        <v>تعاوني جم گستر (1001 ج 89)</v>
      </c>
      <c r="V1487" s="1">
        <v>962000388</v>
      </c>
      <c r="W1487" s="1">
        <v>962000388</v>
      </c>
      <c r="X1487" s="1" t="str">
        <f>"1396529715"</f>
        <v>1396529715</v>
      </c>
      <c r="Y1487" s="1" t="str">
        <f>"96/09/19"</f>
        <v>96/09/19</v>
      </c>
      <c r="Z1487" s="1" t="str">
        <f>"38510مرحله دوم"</f>
        <v>38510مرحله دوم</v>
      </c>
      <c r="AA1487" s="1" t="str">
        <f>"شهرداريها"</f>
        <v>شهرداريها</v>
      </c>
      <c r="AB1487" s="1" t="str">
        <f>"96/09/11"</f>
        <v>96/09/11</v>
      </c>
      <c r="AC1487" s="1" t="str">
        <f>"استان چهارمحال بختياري"</f>
        <v>استان چهارمحال بختياري</v>
      </c>
      <c r="AD1487" s="1" t="str">
        <f>"96/09/13"</f>
        <v>96/09/13</v>
      </c>
      <c r="AE1487" s="1" t="str">
        <f>"اختتام"</f>
        <v>اختتام</v>
      </c>
      <c r="AF1487" s="1" t="str">
        <f>""</f>
        <v/>
      </c>
      <c r="AG1487" s="1" t="str">
        <f>""</f>
        <v/>
      </c>
      <c r="AH1487" s="1" t="str">
        <f>""</f>
        <v/>
      </c>
      <c r="AI1487" s="1" t="str">
        <f>""</f>
        <v/>
      </c>
      <c r="AJ1487" s="1" t="str">
        <f>""</f>
        <v/>
      </c>
      <c r="AK1487" s="1" t="str">
        <f>""</f>
        <v/>
      </c>
    </row>
    <row r="1488" spans="1:37">
      <c r="A1488" s="1">
        <v>99000</v>
      </c>
      <c r="B1488" s="1">
        <v>966200519</v>
      </c>
      <c r="C1488" s="1" t="str">
        <f>"تخليه -گيلان -جاده تهران -جنب پايانه باربري -كارخانه آسفالت شهيدباهنر-شرکت سبک بناء گيل"</f>
        <v>تخليه -گيلان -جاده تهران -جنب پايانه باربري -كارخانه آسفالت شهيدباهنر-شرکت سبک بناء گيل</v>
      </c>
      <c r="D1488" s="1">
        <v>13100</v>
      </c>
      <c r="E1488" s="1">
        <v>98020</v>
      </c>
      <c r="F1488" s="1">
        <v>96</v>
      </c>
      <c r="G1488" s="1">
        <v>980</v>
      </c>
      <c r="H1488" s="1" t="str">
        <f>"96/10/20"</f>
        <v>96/10/20</v>
      </c>
      <c r="I1488" s="1" t="str">
        <f>"كيلوگرم"</f>
        <v>كيلوگرم</v>
      </c>
      <c r="J1488" s="1" t="str">
        <f>"0000000093"</f>
        <v>0000000093</v>
      </c>
      <c r="K1488" s="1" t="str">
        <f>"قير  PG64-10"</f>
        <v>قير  PG64-10</v>
      </c>
      <c r="L1488" s="1">
        <v>100</v>
      </c>
      <c r="M1488" s="1" t="str">
        <f>"مخازن قير اصفهان"</f>
        <v>مخازن قير اصفهان</v>
      </c>
      <c r="N1488" s="1">
        <v>10573</v>
      </c>
      <c r="O1488" s="1">
        <v>50038122</v>
      </c>
      <c r="P1488" s="1" t="str">
        <f>"  سبك بناء گيل"</f>
        <v xml:space="preserve">  سبك بناء گيل</v>
      </c>
      <c r="Q1488" s="1">
        <v>62</v>
      </c>
      <c r="R1488" s="1" t="str">
        <f>"فروش داخلي - سازمان بنيادمسكن انقلاب اسلامي"</f>
        <v>فروش داخلي - سازمان بنيادمسكن انقلاب اسلامي</v>
      </c>
      <c r="S1488" s="1" t="str">
        <f>"قرارداد فروش"</f>
        <v>قرارداد فروش</v>
      </c>
      <c r="T1488" s="1" t="str">
        <f>"ندارد"</f>
        <v>ندارد</v>
      </c>
      <c r="U1488" s="1" t="str">
        <f>"قراباغي علي اشرف(1901091)"</f>
        <v>قراباغي علي اشرف(1901091)</v>
      </c>
      <c r="V1488" s="1">
        <v>966200519</v>
      </c>
      <c r="W1488" s="1">
        <v>966200519</v>
      </c>
      <c r="X1488" s="1" t="str">
        <f>"1396539512"</f>
        <v>1396539512</v>
      </c>
      <c r="Y1488" s="1" t="str">
        <f>"96/10/20"</f>
        <v>96/10/20</v>
      </c>
      <c r="Z1488" s="1" t="str">
        <f>"46698/د"</f>
        <v>46698/د</v>
      </c>
      <c r="AA1488" s="1" t="str">
        <f>"بنيادمسكن انقلاب اسلامي"</f>
        <v>بنيادمسكن انقلاب اسلامي</v>
      </c>
      <c r="AB1488" s="1" t="str">
        <f>"96/10/19"</f>
        <v>96/10/19</v>
      </c>
      <c r="AC1488" s="1" t="str">
        <f>"استان گيلان"</f>
        <v>استان گيلان</v>
      </c>
      <c r="AD1488" s="1" t="str">
        <f>"96/10/20"</f>
        <v>96/10/20</v>
      </c>
      <c r="AE1488" s="1" t="str">
        <f>"اختتام"</f>
        <v>اختتام</v>
      </c>
      <c r="AF1488" s="1" t="str">
        <f>""</f>
        <v/>
      </c>
      <c r="AG1488" s="1" t="str">
        <f>""</f>
        <v/>
      </c>
      <c r="AH1488" s="1" t="str">
        <f>""</f>
        <v/>
      </c>
      <c r="AI1488" s="1" t="str">
        <f>""</f>
        <v/>
      </c>
      <c r="AJ1488" s="1" t="str">
        <f>""</f>
        <v/>
      </c>
      <c r="AK1488" s="1" t="str">
        <f>""</f>
        <v/>
      </c>
    </row>
    <row r="1489" spans="1:37">
      <c r="A1489" s="1">
        <v>309000</v>
      </c>
      <c r="B1489" s="1">
        <v>966200546</v>
      </c>
      <c r="C1489" s="1" t="str">
        <f>"تخليه -گيلان -جاده تهران -جنب پايانه باربري -كارخانه آسفالت شهيدباهنر-شرکت سبک بناء گيل"</f>
        <v>تخليه -گيلان -جاده تهران -جنب پايانه باربري -كارخانه آسفالت شهيدباهنر-شرکت سبک بناء گيل</v>
      </c>
      <c r="D1489" s="1">
        <v>13450</v>
      </c>
      <c r="E1489" s="1">
        <v>308700</v>
      </c>
      <c r="F1489" s="1">
        <v>96</v>
      </c>
      <c r="G1489" s="1">
        <v>300</v>
      </c>
      <c r="H1489" s="1" t="str">
        <f>"96/11/04"</f>
        <v>96/11/04</v>
      </c>
      <c r="I1489" s="1" t="str">
        <f>"كيلوگرم"</f>
        <v>كيلوگرم</v>
      </c>
      <c r="J1489" s="1" t="str">
        <f>"0000000093"</f>
        <v>0000000093</v>
      </c>
      <c r="K1489" s="1" t="str">
        <f>"قير  PG64-10"</f>
        <v>قير  PG64-10</v>
      </c>
      <c r="L1489" s="1">
        <v>100</v>
      </c>
      <c r="M1489" s="1" t="str">
        <f>"مخازن قير اصفهان"</f>
        <v>مخازن قير اصفهان</v>
      </c>
      <c r="N1489" s="1">
        <v>10573</v>
      </c>
      <c r="O1489" s="1">
        <v>50038280</v>
      </c>
      <c r="P1489" s="1" t="str">
        <f>"  سبك بناء گيل"</f>
        <v xml:space="preserve">  سبك بناء گيل</v>
      </c>
      <c r="Q1489" s="1">
        <v>62</v>
      </c>
      <c r="R1489" s="1" t="str">
        <f>"فروش داخلي - سازمان بنيادمسكن انقلاب اسلامي"</f>
        <v>فروش داخلي - سازمان بنيادمسكن انقلاب اسلامي</v>
      </c>
      <c r="S1489" s="1" t="str">
        <f>"قرارداد فروش"</f>
        <v>قرارداد فروش</v>
      </c>
      <c r="T1489" s="1" t="str">
        <f>"ندارد"</f>
        <v>ندارد</v>
      </c>
      <c r="U1489" s="1" t="str">
        <f>"قراباغي علي اشرف(1901091)"</f>
        <v>قراباغي علي اشرف(1901091)</v>
      </c>
      <c r="V1489" s="1">
        <v>966200546</v>
      </c>
      <c r="W1489" s="1">
        <v>966200546</v>
      </c>
      <c r="X1489" s="1" t="str">
        <f>"1396543190"</f>
        <v>1396543190</v>
      </c>
      <c r="Y1489" s="1" t="str">
        <f>"96/11/04"</f>
        <v>96/11/04</v>
      </c>
      <c r="Z1489" s="1" t="str">
        <f>"49231/د"</f>
        <v>49231/د</v>
      </c>
      <c r="AA1489" s="1" t="str">
        <f>"بنيادمسكن انقلاب اسلامي"</f>
        <v>بنيادمسكن انقلاب اسلامي</v>
      </c>
      <c r="AB1489" s="1" t="str">
        <f>"96/11/03"</f>
        <v>96/11/03</v>
      </c>
      <c r="AC1489" s="1" t="str">
        <f>"استان گيلان"</f>
        <v>استان گيلان</v>
      </c>
      <c r="AD1489" s="1" t="str">
        <f>"96/11/04"</f>
        <v>96/11/04</v>
      </c>
      <c r="AE1489" s="1" t="str">
        <f>"اختتام"</f>
        <v>اختتام</v>
      </c>
      <c r="AF1489" s="1" t="str">
        <f>""</f>
        <v/>
      </c>
      <c r="AG1489" s="1" t="str">
        <f>""</f>
        <v/>
      </c>
      <c r="AH1489" s="1" t="str">
        <f>""</f>
        <v/>
      </c>
      <c r="AI1489" s="1" t="str">
        <f>""</f>
        <v/>
      </c>
      <c r="AJ1489" s="1" t="str">
        <f>""</f>
        <v/>
      </c>
      <c r="AK1489" s="1" t="str">
        <f>""</f>
        <v/>
      </c>
    </row>
    <row r="1490" spans="1:37">
      <c r="A1490" s="1">
        <v>430000</v>
      </c>
      <c r="B1490" s="1">
        <v>966200162</v>
      </c>
      <c r="C1490" s="1" t="str">
        <f>"تخليه - گيلان -سياهکل-مالفجان-کارخانه آسفالت آقاي سرايي"</f>
        <v>تخليه - گيلان -سياهکل-مالفجان-کارخانه آسفالت آقاي سرايي</v>
      </c>
      <c r="D1490" s="1">
        <v>8904</v>
      </c>
      <c r="E1490" s="1">
        <v>429000</v>
      </c>
      <c r="F1490" s="1">
        <v>96</v>
      </c>
      <c r="G1490" s="1">
        <v>1000</v>
      </c>
      <c r="H1490" s="1" t="str">
        <f>"96/05/08"</f>
        <v>96/05/08</v>
      </c>
      <c r="I1490" s="1" t="str">
        <f>"كيلوگرم"</f>
        <v>كيلوگرم</v>
      </c>
      <c r="J1490" s="1" t="str">
        <f>"0000000093"</f>
        <v>0000000093</v>
      </c>
      <c r="K1490" s="1" t="str">
        <f>"قير  PG64-10"</f>
        <v>قير  PG64-10</v>
      </c>
      <c r="L1490" s="1">
        <v>100</v>
      </c>
      <c r="M1490" s="1" t="str">
        <f>"مخازن قير اصفهان"</f>
        <v>مخازن قير اصفهان</v>
      </c>
      <c r="N1490" s="1">
        <v>10622</v>
      </c>
      <c r="O1490" s="1">
        <v>50035401</v>
      </c>
      <c r="P1490" s="1" t="str">
        <f>"  برج سازان كوچان"</f>
        <v xml:space="preserve">  برج سازان كوچان</v>
      </c>
      <c r="Q1490" s="1">
        <v>62</v>
      </c>
      <c r="R1490" s="1" t="str">
        <f>"فروش داخلي - سازمان بنيادمسكن انقلاب اسلامي"</f>
        <v>فروش داخلي - سازمان بنيادمسكن انقلاب اسلامي</v>
      </c>
      <c r="S1490" s="1" t="str">
        <f>"قرارداد فروش"</f>
        <v>قرارداد فروش</v>
      </c>
      <c r="T1490" s="1" t="str">
        <f>"ندارد"</f>
        <v>ندارد</v>
      </c>
      <c r="U1490" s="1" t="str">
        <f>"حاجيلوئي علي اصغر(2842019)"</f>
        <v>حاجيلوئي علي اصغر(2842019)</v>
      </c>
      <c r="V1490" s="1">
        <v>966200162</v>
      </c>
      <c r="W1490" s="1">
        <v>966200162</v>
      </c>
      <c r="X1490" s="1" t="str">
        <f>"1396500986"</f>
        <v>1396500986</v>
      </c>
      <c r="Y1490" s="1" t="str">
        <f>"96/05/08"</f>
        <v>96/05/08</v>
      </c>
      <c r="Z1490" s="1" t="str">
        <f>"18718/د"</f>
        <v>18718/د</v>
      </c>
      <c r="AA1490" s="1" t="str">
        <f>"بنيادمسكن انقلاب اسلامي"</f>
        <v>بنيادمسكن انقلاب اسلامي</v>
      </c>
      <c r="AB1490" s="1" t="str">
        <f>"96/05/07"</f>
        <v>96/05/07</v>
      </c>
      <c r="AC1490" s="1" t="str">
        <f>"استان گيلان"</f>
        <v>استان گيلان</v>
      </c>
      <c r="AD1490" s="1" t="str">
        <f>"96/05/08"</f>
        <v>96/05/08</v>
      </c>
      <c r="AE1490" s="1" t="str">
        <f>"اختتام"</f>
        <v>اختتام</v>
      </c>
      <c r="AF1490" s="1" t="str">
        <f>""</f>
        <v/>
      </c>
      <c r="AG1490" s="1" t="str">
        <f>""</f>
        <v/>
      </c>
      <c r="AH1490" s="1" t="str">
        <f>""</f>
        <v/>
      </c>
      <c r="AI1490" s="1" t="str">
        <f>""</f>
        <v/>
      </c>
      <c r="AJ1490" s="1" t="str">
        <f>""</f>
        <v/>
      </c>
      <c r="AK1490" s="1" t="str">
        <f>""</f>
        <v/>
      </c>
    </row>
    <row r="1491" spans="1:37">
      <c r="A1491" s="1">
        <v>613000</v>
      </c>
      <c r="B1491" s="1">
        <v>966200185</v>
      </c>
      <c r="C1491" s="1" t="str">
        <f>"تخليه - زنجان - کيلومتر 9 جاده ترانزيت ابهر قزوين کارخانه آسفالت نورين ابهر (شرکت زنجان سازگان)"</f>
        <v>تخليه - زنجان - کيلومتر 9 جاده ترانزيت ابهر قزوين کارخانه آسفالت نورين ابهر (شرکت زنجان سازگان)</v>
      </c>
      <c r="D1491" s="1">
        <v>8704</v>
      </c>
      <c r="E1491" s="1">
        <v>613000</v>
      </c>
      <c r="F1491" s="1">
        <v>96</v>
      </c>
      <c r="G1491" s="1">
        <v>0</v>
      </c>
      <c r="H1491" s="1" t="str">
        <f>"96/05/25"</f>
        <v>96/05/25</v>
      </c>
      <c r="I1491" s="1" t="str">
        <f>"كيلوگرم"</f>
        <v>كيلوگرم</v>
      </c>
      <c r="J1491" s="1" t="str">
        <f>"1000000002"</f>
        <v>1000000002</v>
      </c>
      <c r="K1491" s="1" t="str">
        <f>"قير 85/100 - فله"</f>
        <v>قير 85/100 - فله</v>
      </c>
      <c r="L1491" s="1">
        <v>100</v>
      </c>
      <c r="M1491" s="1" t="str">
        <f>"مخازن قير اصفهان"</f>
        <v>مخازن قير اصفهان</v>
      </c>
      <c r="N1491" s="1">
        <v>11237</v>
      </c>
      <c r="O1491" s="1">
        <v>50035674</v>
      </c>
      <c r="P1491" s="1" t="str">
        <f>"  بنياد مسکن انقلاب اسلامي زنجان"</f>
        <v xml:space="preserve">  بنياد مسکن انقلاب اسلامي زنجان</v>
      </c>
      <c r="Q1491" s="1">
        <v>62</v>
      </c>
      <c r="R1491" s="1" t="str">
        <f>"فروش داخلي - سازمان بنيادمسكن انقلاب اسلامي"</f>
        <v>فروش داخلي - سازمان بنيادمسكن انقلاب اسلامي</v>
      </c>
      <c r="S1491" s="1" t="str">
        <f>"قرارداد فروش"</f>
        <v>قرارداد فروش</v>
      </c>
      <c r="T1491" s="1" t="str">
        <f>"ندارد"</f>
        <v>ندارد</v>
      </c>
      <c r="U1491" s="1" t="str">
        <f>"فتاح زاده سيداحمد(3843011)"</f>
        <v>فتاح زاده سيداحمد(3843011)</v>
      </c>
      <c r="V1491" s="1">
        <v>966200185</v>
      </c>
      <c r="W1491" s="1">
        <v>966200185</v>
      </c>
      <c r="X1491" s="1" t="str">
        <f>"1396506151"</f>
        <v>1396506151</v>
      </c>
      <c r="Y1491" s="1" t="str">
        <f>"96/05/25"</f>
        <v>96/05/25</v>
      </c>
      <c r="Z1491" s="1" t="str">
        <f>"22055/د"</f>
        <v>22055/د</v>
      </c>
      <c r="AA1491" s="1" t="str">
        <f>"بنيادمسكن انقلاب اسلامي"</f>
        <v>بنيادمسكن انقلاب اسلامي</v>
      </c>
      <c r="AB1491" s="1" t="str">
        <f>"96/05/24"</f>
        <v>96/05/24</v>
      </c>
      <c r="AC1491" s="1" t="str">
        <f>"استان زنجان"</f>
        <v>استان زنجان</v>
      </c>
      <c r="AD1491" s="1" t="str">
        <f>"96/05/25"</f>
        <v>96/05/25</v>
      </c>
      <c r="AE1491" s="1" t="str">
        <f>"اختتام"</f>
        <v>اختتام</v>
      </c>
      <c r="AF1491" s="1" t="str">
        <f>""</f>
        <v/>
      </c>
      <c r="AG1491" s="1" t="str">
        <f>""</f>
        <v/>
      </c>
      <c r="AH1491" s="1" t="str">
        <f>""</f>
        <v/>
      </c>
      <c r="AI1491" s="1" t="str">
        <f>""</f>
        <v/>
      </c>
      <c r="AJ1491" s="1" t="str">
        <f>""</f>
        <v/>
      </c>
      <c r="AK1491" s="1" t="str">
        <f>""</f>
        <v/>
      </c>
    </row>
    <row r="1492" spans="1:37">
      <c r="A1492" s="1">
        <v>603000</v>
      </c>
      <c r="B1492" s="1">
        <v>966200186</v>
      </c>
      <c r="C1492" s="1" t="str">
        <f>"تخليه -کيلومتر 45 جاده زنجان بيجار بعداز کارخانه سيمان خمسه -کارخانه آسفالت کاچار گستر غرب"</f>
        <v>تخليه -کيلومتر 45 جاده زنجان بيجار بعداز کارخانه سيمان خمسه -کارخانه آسفالت کاچار گستر غرب</v>
      </c>
      <c r="D1492" s="1">
        <v>8704</v>
      </c>
      <c r="E1492" s="1">
        <v>603000</v>
      </c>
      <c r="F1492" s="1">
        <v>96</v>
      </c>
      <c r="G1492" s="1">
        <v>0</v>
      </c>
      <c r="H1492" s="1" t="str">
        <f>"96/05/25"</f>
        <v>96/05/25</v>
      </c>
      <c r="I1492" s="1" t="str">
        <f>"كيلوگرم"</f>
        <v>كيلوگرم</v>
      </c>
      <c r="J1492" s="1" t="str">
        <f>"1000000002"</f>
        <v>1000000002</v>
      </c>
      <c r="K1492" s="1" t="str">
        <f>"قير 85/100 - فله"</f>
        <v>قير 85/100 - فله</v>
      </c>
      <c r="L1492" s="1">
        <v>100</v>
      </c>
      <c r="M1492" s="1" t="str">
        <f>"مخازن قير اصفهان"</f>
        <v>مخازن قير اصفهان</v>
      </c>
      <c r="N1492" s="1">
        <v>11237</v>
      </c>
      <c r="O1492" s="1">
        <v>50035675</v>
      </c>
      <c r="P1492" s="1" t="str">
        <f>"  بنياد مسکن انقلاب اسلامي زنجان"</f>
        <v xml:space="preserve">  بنياد مسکن انقلاب اسلامي زنجان</v>
      </c>
      <c r="Q1492" s="1">
        <v>62</v>
      </c>
      <c r="R1492" s="1" t="str">
        <f>"فروش داخلي - سازمان بنيادمسكن انقلاب اسلامي"</f>
        <v>فروش داخلي - سازمان بنيادمسكن انقلاب اسلامي</v>
      </c>
      <c r="S1492" s="1" t="str">
        <f>"قرارداد فروش"</f>
        <v>قرارداد فروش</v>
      </c>
      <c r="T1492" s="1" t="str">
        <f>"ندارد"</f>
        <v>ندارد</v>
      </c>
      <c r="U1492" s="1" t="str">
        <f>"فتاح زاده سيداحمد(3843011)"</f>
        <v>فتاح زاده سيداحمد(3843011)</v>
      </c>
      <c r="V1492" s="1">
        <v>966200186</v>
      </c>
      <c r="W1492" s="1">
        <v>966200186</v>
      </c>
      <c r="X1492" s="1" t="str">
        <f>"1396506151"</f>
        <v>1396506151</v>
      </c>
      <c r="Y1492" s="1" t="str">
        <f>"96/05/25"</f>
        <v>96/05/25</v>
      </c>
      <c r="Z1492" s="1" t="str">
        <f>"22058/د"</f>
        <v>22058/د</v>
      </c>
      <c r="AA1492" s="1" t="str">
        <f>"بنيادمسكن انقلاب اسلامي"</f>
        <v>بنيادمسكن انقلاب اسلامي</v>
      </c>
      <c r="AB1492" s="1" t="str">
        <f>"96/05/24"</f>
        <v>96/05/24</v>
      </c>
      <c r="AC1492" s="1" t="str">
        <f>"استان زنجان"</f>
        <v>استان زنجان</v>
      </c>
      <c r="AD1492" s="1" t="str">
        <f>"96/05/25"</f>
        <v>96/05/25</v>
      </c>
      <c r="AE1492" s="1" t="str">
        <f>"اختتام"</f>
        <v>اختتام</v>
      </c>
      <c r="AF1492" s="1" t="str">
        <f>""</f>
        <v/>
      </c>
      <c r="AG1492" s="1" t="str">
        <f>""</f>
        <v/>
      </c>
      <c r="AH1492" s="1" t="str">
        <f>""</f>
        <v/>
      </c>
      <c r="AI1492" s="1" t="str">
        <f>""</f>
        <v/>
      </c>
      <c r="AJ1492" s="1" t="str">
        <f>""</f>
        <v/>
      </c>
      <c r="AK1492" s="1" t="str">
        <f>""</f>
        <v/>
      </c>
    </row>
    <row r="1493" spans="1:37">
      <c r="A1493" s="1">
        <v>155000</v>
      </c>
      <c r="B1493" s="1">
        <v>966200372</v>
      </c>
      <c r="C1493" s="1" t="str">
        <f>"تخليه-زنجان-هيدج-شمال اتوبان زنجان قزوين-راه روستايي پلاس کارخانه آسفالت توليدي خاصه"</f>
        <v>تخليه-زنجان-هيدج-شمال اتوبان زنجان قزوين-راه روستايي پلاس کارخانه آسفالت توليدي خاصه</v>
      </c>
      <c r="D1493" s="1">
        <v>9416</v>
      </c>
      <c r="E1493" s="1">
        <v>152140</v>
      </c>
      <c r="F1493" s="1">
        <v>96</v>
      </c>
      <c r="G1493" s="1">
        <v>2860</v>
      </c>
      <c r="H1493" s="1" t="str">
        <f>"96/08/16"</f>
        <v>96/08/16</v>
      </c>
      <c r="I1493" s="1" t="str">
        <f>"كيلوگرم"</f>
        <v>كيلوگرم</v>
      </c>
      <c r="J1493" s="1" t="str">
        <f>"1000000002"</f>
        <v>1000000002</v>
      </c>
      <c r="K1493" s="1" t="str">
        <f>"قير 85/100 - فله"</f>
        <v>قير 85/100 - فله</v>
      </c>
      <c r="L1493" s="1">
        <v>100</v>
      </c>
      <c r="M1493" s="1" t="str">
        <f>"مخازن قير اصفهان"</f>
        <v>مخازن قير اصفهان</v>
      </c>
      <c r="N1493" s="1">
        <v>11237</v>
      </c>
      <c r="O1493" s="1">
        <v>50037085</v>
      </c>
      <c r="P1493" s="1" t="str">
        <f>"  بنياد مسکن انقلاب اسلامي زنجان"</f>
        <v xml:space="preserve">  بنياد مسکن انقلاب اسلامي زنجان</v>
      </c>
      <c r="Q1493" s="1">
        <v>62</v>
      </c>
      <c r="R1493" s="1" t="str">
        <f>"فروش داخلي - سازمان بنيادمسكن انقلاب اسلامي"</f>
        <v>فروش داخلي - سازمان بنيادمسكن انقلاب اسلامي</v>
      </c>
      <c r="S1493" s="1" t="str">
        <f>"قرارداد فروش"</f>
        <v>قرارداد فروش</v>
      </c>
      <c r="T1493" s="1" t="str">
        <f>"ندارد"</f>
        <v>ندارد</v>
      </c>
      <c r="U1493" s="1" t="str">
        <f>"فتاح زاده سيداحمد(3843011)"</f>
        <v>فتاح زاده سيداحمد(3843011)</v>
      </c>
      <c r="V1493" s="1">
        <v>966200372</v>
      </c>
      <c r="W1493" s="1">
        <v>966200372</v>
      </c>
      <c r="X1493" s="1" t="str">
        <f>"1396524015"</f>
        <v>1396524015</v>
      </c>
      <c r="Y1493" s="1" t="str">
        <f>"96/08/16"</f>
        <v>96/08/16</v>
      </c>
      <c r="Z1493" s="1" t="str">
        <f>"36351/د"</f>
        <v>36351/د</v>
      </c>
      <c r="AA1493" s="1" t="str">
        <f>"بنيادمسكن انقلاب اسلامي"</f>
        <v>بنيادمسكن انقلاب اسلامي</v>
      </c>
      <c r="AB1493" s="1" t="str">
        <f>"96/08/14"</f>
        <v>96/08/14</v>
      </c>
      <c r="AC1493" s="1" t="str">
        <f>"استان زنجان"</f>
        <v>استان زنجان</v>
      </c>
      <c r="AD1493" s="1" t="str">
        <f>"96/08/16"</f>
        <v>96/08/16</v>
      </c>
      <c r="AE1493" s="1" t="str">
        <f>"اختتام"</f>
        <v>اختتام</v>
      </c>
      <c r="AF1493" s="1" t="str">
        <f>""</f>
        <v/>
      </c>
      <c r="AG1493" s="1" t="str">
        <f>""</f>
        <v/>
      </c>
      <c r="AH1493" s="1" t="str">
        <f>""</f>
        <v/>
      </c>
      <c r="AI1493" s="1" t="str">
        <f>""</f>
        <v/>
      </c>
      <c r="AJ1493" s="1" t="str">
        <f>""</f>
        <v/>
      </c>
      <c r="AK1493" s="1" t="str">
        <f>""</f>
        <v/>
      </c>
    </row>
    <row r="1494" spans="1:37">
      <c r="A1494" s="1">
        <v>42000</v>
      </c>
      <c r="B1494" s="1">
        <v>966200399</v>
      </c>
      <c r="C1494" s="1" t="str">
        <f>"تخليه -چهارمحال وبختياري -گردنه رخ -كارخانه آسفالت شركت زرين استحكام"</f>
        <v>تخليه -چهارمحال وبختياري -گردنه رخ -كارخانه آسفالت شركت زرين استحكام</v>
      </c>
      <c r="D1494" s="1">
        <v>12820</v>
      </c>
      <c r="E1494" s="1">
        <v>40900</v>
      </c>
      <c r="F1494" s="1">
        <v>96</v>
      </c>
      <c r="G1494" s="1">
        <v>1100</v>
      </c>
      <c r="H1494" s="1" t="str">
        <f>"96/09/08"</f>
        <v>96/09/08</v>
      </c>
      <c r="I1494" s="1" t="str">
        <f>"كيلوگرم"</f>
        <v>كيلوگرم</v>
      </c>
      <c r="J1494" s="1" t="str">
        <f>"1000000002"</f>
        <v>1000000002</v>
      </c>
      <c r="K1494" s="1" t="str">
        <f>"قير 85/100 - فله"</f>
        <v>قير 85/100 - فله</v>
      </c>
      <c r="L1494" s="1">
        <v>100</v>
      </c>
      <c r="M1494" s="1" t="str">
        <f>"مخازن قير اصفهان"</f>
        <v>مخازن قير اصفهان</v>
      </c>
      <c r="N1494" s="1">
        <v>9777</v>
      </c>
      <c r="O1494" s="1">
        <v>50037363</v>
      </c>
      <c r="P1494" s="1" t="str">
        <f>"  كاويان سازان كوهستان"</f>
        <v xml:space="preserve">  كاويان سازان كوهستان</v>
      </c>
      <c r="Q1494" s="1">
        <v>62</v>
      </c>
      <c r="R1494" s="1" t="str">
        <f>"فروش داخلي - سازمان بنيادمسكن انقلاب اسلامي"</f>
        <v>فروش داخلي - سازمان بنيادمسكن انقلاب اسلامي</v>
      </c>
      <c r="S1494" s="1" t="str">
        <f>"قرارداد فروش"</f>
        <v>قرارداد فروش</v>
      </c>
      <c r="T1494" s="1" t="str">
        <f>"ندارد"</f>
        <v>ندارد</v>
      </c>
      <c r="U1494" s="1" t="str">
        <f>"قره باغي مجيد(1871065)"</f>
        <v>قره باغي مجيد(1871065)</v>
      </c>
      <c r="V1494" s="1">
        <v>966200399</v>
      </c>
      <c r="W1494" s="1">
        <v>966200399</v>
      </c>
      <c r="X1494" s="1" t="str">
        <f>"1396529173"</f>
        <v>1396529173</v>
      </c>
      <c r="Y1494" s="1" t="str">
        <f>"96/09/08"</f>
        <v>96/09/08</v>
      </c>
      <c r="Z1494" s="1" t="str">
        <f>"37753/د"</f>
        <v>37753/د</v>
      </c>
      <c r="AA1494" s="1" t="str">
        <f>"بنيادمسكن انقلاب اسلامي"</f>
        <v>بنيادمسكن انقلاب اسلامي</v>
      </c>
      <c r="AB1494" s="1" t="str">
        <f>"96/08/23"</f>
        <v>96/08/23</v>
      </c>
      <c r="AC1494" s="1" t="str">
        <f>"استان چهارمحال بختياري"</f>
        <v>استان چهارمحال بختياري</v>
      </c>
      <c r="AD1494" s="1" t="str">
        <f>"96/09/08"</f>
        <v>96/09/08</v>
      </c>
      <c r="AE1494" s="1" t="str">
        <f>"اختتام"</f>
        <v>اختتام</v>
      </c>
      <c r="AF1494" s="1" t="str">
        <f>""</f>
        <v/>
      </c>
      <c r="AG1494" s="1" t="str">
        <f>""</f>
        <v/>
      </c>
      <c r="AH1494" s="1" t="str">
        <f>""</f>
        <v/>
      </c>
      <c r="AI1494" s="1" t="str">
        <f>""</f>
        <v/>
      </c>
      <c r="AJ1494" s="1" t="str">
        <f>""</f>
        <v/>
      </c>
      <c r="AK1494" s="1" t="str">
        <f>""</f>
        <v/>
      </c>
    </row>
    <row r="1495" spans="1:37">
      <c r="A1495" s="1">
        <v>180000</v>
      </c>
      <c r="B1495" s="1">
        <v>961700141</v>
      </c>
      <c r="C1495" s="1" t="str">
        <f>"تخليه - کهگيلويه - باشت - جاده ده بزرگ -کارخانه آسفالت رزمان"</f>
        <v>تخليه - کهگيلويه - باشت - جاده ده بزرگ -کارخانه آسفالت رزمان</v>
      </c>
      <c r="D1495" s="1">
        <v>13600</v>
      </c>
      <c r="E1495" s="1">
        <v>178880</v>
      </c>
      <c r="F1495" s="1">
        <v>96</v>
      </c>
      <c r="G1495" s="1">
        <v>1120</v>
      </c>
      <c r="H1495" s="1" t="str">
        <f>"96/07/29"</f>
        <v>96/07/29</v>
      </c>
      <c r="I1495" s="1" t="str">
        <f>"كيلوگرم"</f>
        <v>كيلوگرم</v>
      </c>
      <c r="J1495" s="1" t="str">
        <f>"0000000093"</f>
        <v>0000000093</v>
      </c>
      <c r="K1495" s="1" t="str">
        <f>"قير  PG64-10"</f>
        <v>قير  PG64-10</v>
      </c>
      <c r="L1495" s="1">
        <v>100</v>
      </c>
      <c r="M1495" s="1" t="str">
        <f>"مخازن قير اصفهان"</f>
        <v>مخازن قير اصفهان</v>
      </c>
      <c r="N1495" s="1">
        <v>11203</v>
      </c>
      <c r="O1495" s="1">
        <v>50036854</v>
      </c>
      <c r="P1495" s="1" t="str">
        <f>"  مسير پيماي شياس"</f>
        <v xml:space="preserve">  مسير پيماي شياس</v>
      </c>
      <c r="Q1495" s="1">
        <v>17</v>
      </c>
      <c r="R1495" s="1" t="str">
        <f>"فروش داخلي تهران - وزارت راه - راه روستايي - روکش"</f>
        <v>فروش داخلي تهران - وزارت راه - راه روستايي - روکش</v>
      </c>
      <c r="S1495" s="1" t="str">
        <f>"قرارداد فروش"</f>
        <v>قرارداد فروش</v>
      </c>
      <c r="T1495" s="1" t="str">
        <f>"ندارد"</f>
        <v>ندارد</v>
      </c>
      <c r="U1495" s="1" t="str">
        <f>"شيخي خيراله (1841012)"</f>
        <v>شيخي خيراله (1841012)</v>
      </c>
      <c r="V1495" s="1">
        <v>961700141</v>
      </c>
      <c r="W1495" s="1">
        <v>961700141</v>
      </c>
      <c r="X1495" s="1" t="str">
        <f>"1396520119"</f>
        <v>1396520119</v>
      </c>
      <c r="Y1495" s="1" t="str">
        <f>"96/07/29"</f>
        <v>96/07/29</v>
      </c>
      <c r="Z1495" s="1" t="str">
        <f>"36829/710"</f>
        <v>36829/710</v>
      </c>
      <c r="AA1495" s="1" t="str">
        <f>"راه روستائي -روكش"</f>
        <v>راه روستائي -روكش</v>
      </c>
      <c r="AB1495" s="1" t="str">
        <f>"96/07/24"</f>
        <v>96/07/24</v>
      </c>
      <c r="AC1495" s="1" t="str">
        <f>"كهكيلويه و بوير احمد"</f>
        <v>كهكيلويه و بوير احمد</v>
      </c>
      <c r="AD1495" s="1" t="str">
        <f>"96/07/29"</f>
        <v>96/07/29</v>
      </c>
      <c r="AE1495" s="1" t="str">
        <f>"اختتام"</f>
        <v>اختتام</v>
      </c>
      <c r="AF1495" s="1" t="str">
        <f>""</f>
        <v/>
      </c>
      <c r="AG1495" s="1" t="str">
        <f>""</f>
        <v/>
      </c>
      <c r="AH1495" s="1" t="str">
        <f>""</f>
        <v/>
      </c>
      <c r="AI1495" s="1" t="str">
        <f>""</f>
        <v/>
      </c>
      <c r="AJ1495" s="1" t="str">
        <f>""</f>
        <v/>
      </c>
      <c r="AK1495" s="1" t="str">
        <f>""</f>
        <v/>
      </c>
    </row>
    <row r="1496" spans="1:37">
      <c r="A1496" s="1">
        <v>733000</v>
      </c>
      <c r="B1496" s="1">
        <v>966200275</v>
      </c>
      <c r="C1496" s="1" t="str">
        <f>"تخليه - گيلان-تالش-ليسار-کارخانه آسفالت ايران پل"</f>
        <v>تخليه - گيلان-تالش-ليسار-کارخانه آسفالت ايران پل</v>
      </c>
      <c r="D1496" s="1">
        <v>9363</v>
      </c>
      <c r="E1496" s="1">
        <v>733000</v>
      </c>
      <c r="F1496" s="1">
        <v>96</v>
      </c>
      <c r="G1496" s="1">
        <v>0</v>
      </c>
      <c r="H1496" s="1" t="str">
        <f>"96/07/10"</f>
        <v>96/07/10</v>
      </c>
      <c r="I1496" s="1" t="str">
        <f>"كيلوگرم"</f>
        <v>كيلوگرم</v>
      </c>
      <c r="J1496" s="1" t="str">
        <f>"0000000093"</f>
        <v>0000000093</v>
      </c>
      <c r="K1496" s="1" t="str">
        <f>"قير  PG64-10"</f>
        <v>قير  PG64-10</v>
      </c>
      <c r="L1496" s="1">
        <v>100</v>
      </c>
      <c r="M1496" s="1" t="str">
        <f>"مخازن قير اصفهان"</f>
        <v>مخازن قير اصفهان</v>
      </c>
      <c r="N1496" s="1">
        <v>11384</v>
      </c>
      <c r="O1496" s="1">
        <v>50036480</v>
      </c>
      <c r="P1496" s="1" t="str">
        <f>"  سازه پايدار افلاک"</f>
        <v xml:space="preserve">  سازه پايدار افلاک</v>
      </c>
      <c r="Q1496" s="1">
        <v>62</v>
      </c>
      <c r="R1496" s="1" t="str">
        <f>"فروش داخلي - سازمان بنيادمسكن انقلاب اسلامي"</f>
        <v>فروش داخلي - سازمان بنيادمسكن انقلاب اسلامي</v>
      </c>
      <c r="S1496" s="1" t="str">
        <f>"قرارداد فروش"</f>
        <v>قرارداد فروش</v>
      </c>
      <c r="T1496" s="1" t="str">
        <f>"ندارد"</f>
        <v>ندارد</v>
      </c>
      <c r="U1496" s="1" t="str">
        <f>"هيزچي مرتضي(1841036)"</f>
        <v>هيزچي مرتضي(1841036)</v>
      </c>
      <c r="V1496" s="1">
        <v>966200275</v>
      </c>
      <c r="W1496" s="1">
        <v>966200275</v>
      </c>
      <c r="X1496" s="1" t="str">
        <f>"1396515522"</f>
        <v>1396515522</v>
      </c>
      <c r="Y1496" s="1" t="str">
        <f>"96/07/10"</f>
        <v>96/07/10</v>
      </c>
      <c r="Z1496" s="1" t="str">
        <f>"29687/د"</f>
        <v>29687/د</v>
      </c>
      <c r="AA1496" s="1" t="str">
        <f>"بنيادمسكن انقلاب اسلامي"</f>
        <v>بنيادمسكن انقلاب اسلامي</v>
      </c>
      <c r="AB1496" s="1" t="str">
        <f>"96/07/04"</f>
        <v>96/07/04</v>
      </c>
      <c r="AC1496" s="1" t="str">
        <f>"استان گيلان"</f>
        <v>استان گيلان</v>
      </c>
      <c r="AD1496" s="1" t="str">
        <f>"96/07/05"</f>
        <v>96/07/05</v>
      </c>
      <c r="AE1496" s="1" t="str">
        <f>"اختتام"</f>
        <v>اختتام</v>
      </c>
      <c r="AF1496" s="1" t="str">
        <f>""</f>
        <v/>
      </c>
      <c r="AG1496" s="1" t="str">
        <f>""</f>
        <v/>
      </c>
      <c r="AH1496" s="1" t="str">
        <f>""</f>
        <v/>
      </c>
      <c r="AI1496" s="1" t="str">
        <f>""</f>
        <v/>
      </c>
      <c r="AJ1496" s="1" t="str">
        <f>""</f>
        <v/>
      </c>
      <c r="AK1496" s="1" t="str">
        <f>""</f>
        <v/>
      </c>
    </row>
    <row r="1497" spans="1:37">
      <c r="A1497" s="1">
        <v>350000</v>
      </c>
      <c r="B1497" s="1">
        <v>961700087</v>
      </c>
      <c r="C1497" s="1" t="str">
        <f>"تخليه - کهگيلويه و بويراحمد-باشت پل بريم -کارخانه آسفالت رزمان"</f>
        <v>تخليه - کهگيلويه و بويراحمد-باشت پل بريم -کارخانه آسفالت رزمان</v>
      </c>
      <c r="D1497" s="1">
        <v>9363</v>
      </c>
      <c r="E1497" s="1">
        <v>349200</v>
      </c>
      <c r="F1497" s="1">
        <v>96</v>
      </c>
      <c r="G1497" s="1">
        <v>800</v>
      </c>
      <c r="H1497" s="1" t="str">
        <f>"96/06/08"</f>
        <v>96/06/08</v>
      </c>
      <c r="I1497" s="1" t="str">
        <f>"كيلوگرم"</f>
        <v>كيلوگرم</v>
      </c>
      <c r="J1497" s="1" t="str">
        <f>"0000000093"</f>
        <v>0000000093</v>
      </c>
      <c r="K1497" s="1" t="str">
        <f>"قير  PG64-10"</f>
        <v>قير  PG64-10</v>
      </c>
      <c r="L1497" s="1">
        <v>100</v>
      </c>
      <c r="M1497" s="1" t="str">
        <f>"مخازن قير اصفهان"</f>
        <v>مخازن قير اصفهان</v>
      </c>
      <c r="N1497" s="1">
        <v>11398</v>
      </c>
      <c r="O1497" s="1">
        <v>50035868</v>
      </c>
      <c r="P1497" s="1" t="str">
        <f>"  رخشان بناي بيستون"</f>
        <v xml:space="preserve">  رخشان بناي بيستون</v>
      </c>
      <c r="Q1497" s="1">
        <v>17</v>
      </c>
      <c r="R1497" s="1" t="str">
        <f>"فروش داخلي تهران - وزارت راه - راه روستايي - روکش"</f>
        <v>فروش داخلي تهران - وزارت راه - راه روستايي - روکش</v>
      </c>
      <c r="S1497" s="1" t="str">
        <f>"قرارداد فروش"</f>
        <v>قرارداد فروش</v>
      </c>
      <c r="T1497" s="1" t="str">
        <f>"ندارد"</f>
        <v>ندارد</v>
      </c>
      <c r="U1497" s="1" t="str">
        <f>"شيخي خيراله (1841012)"</f>
        <v>شيخي خيراله (1841012)</v>
      </c>
      <c r="V1497" s="1">
        <v>961700087</v>
      </c>
      <c r="W1497" s="1">
        <v>961700087</v>
      </c>
      <c r="X1497" s="1" t="str">
        <f>"1396509330"</f>
        <v>1396509330</v>
      </c>
      <c r="Y1497" s="1" t="str">
        <f>"96/06/08"</f>
        <v>96/06/08</v>
      </c>
      <c r="Z1497" s="1" t="str">
        <f>"26578/710"</f>
        <v>26578/710</v>
      </c>
      <c r="AA1497" s="1" t="str">
        <f>"راه روستائي -روكش"</f>
        <v>راه روستائي -روكش</v>
      </c>
      <c r="AB1497" s="1" t="str">
        <f>"96/05/31"</f>
        <v>96/05/31</v>
      </c>
      <c r="AC1497" s="1" t="str">
        <f>"كهكيلويه و بوير احمد"</f>
        <v>كهكيلويه و بوير احمد</v>
      </c>
      <c r="AD1497" s="1" t="str">
        <f>"96/06/08"</f>
        <v>96/06/08</v>
      </c>
      <c r="AE1497" s="1" t="str">
        <f>"اختتام"</f>
        <v>اختتام</v>
      </c>
      <c r="AF1497" s="1" t="str">
        <f>""</f>
        <v/>
      </c>
      <c r="AG1497" s="1" t="str">
        <f>""</f>
        <v/>
      </c>
      <c r="AH1497" s="1" t="str">
        <f>""</f>
        <v/>
      </c>
      <c r="AI1497" s="1" t="str">
        <f>""</f>
        <v/>
      </c>
      <c r="AJ1497" s="1" t="str">
        <f>""</f>
        <v/>
      </c>
      <c r="AK1497" s="1" t="str">
        <f>""</f>
        <v/>
      </c>
    </row>
    <row r="1498" spans="1:37">
      <c r="A1498" s="1">
        <v>129000</v>
      </c>
      <c r="B1498" s="1">
        <v>966200066</v>
      </c>
      <c r="C1498" s="1" t="str">
        <f>"تخليه - آذربايجان شرقي-شبستر-کيلومتر 8 جاده تسوج-کارخانه آسفالت قره کهريز"</f>
        <v>تخليه - آذربايجان شرقي-شبستر-کيلومتر 8 جاده تسوج-کارخانه آسفالت قره کهريز</v>
      </c>
      <c r="D1498" s="1">
        <v>8918</v>
      </c>
      <c r="E1498" s="1">
        <v>129000</v>
      </c>
      <c r="F1498" s="1">
        <v>96</v>
      </c>
      <c r="G1498" s="1">
        <v>0</v>
      </c>
      <c r="H1498" s="1" t="str">
        <f>"96/02/14"</f>
        <v>96/02/14</v>
      </c>
      <c r="I1498" s="1" t="str">
        <f>"كيلوگرم"</f>
        <v>كيلوگرم</v>
      </c>
      <c r="J1498" s="1" t="str">
        <f>"1000000002"</f>
        <v>1000000002</v>
      </c>
      <c r="K1498" s="1" t="str">
        <f>"قير 85/100 - فله"</f>
        <v>قير 85/100 - فله</v>
      </c>
      <c r="L1498" s="1">
        <v>100</v>
      </c>
      <c r="M1498" s="1" t="str">
        <f>"مخازن قير اصفهان"</f>
        <v>مخازن قير اصفهان</v>
      </c>
      <c r="N1498" s="1">
        <v>11348</v>
      </c>
      <c r="O1498" s="1">
        <v>50034764</v>
      </c>
      <c r="P1498" s="1" t="str">
        <f>"  آذربتن يکانيان"</f>
        <v xml:space="preserve">  آذربتن يکانيان</v>
      </c>
      <c r="Q1498" s="1">
        <v>62</v>
      </c>
      <c r="R1498" s="1" t="str">
        <f>"فروش داخلي - سازمان بنيادمسكن انقلاب اسلامي"</f>
        <v>فروش داخلي - سازمان بنيادمسكن انقلاب اسلامي</v>
      </c>
      <c r="S1498" s="1" t="str">
        <f>"قرارداد فروش"</f>
        <v>قرارداد فروش</v>
      </c>
      <c r="T1498" s="1" t="str">
        <f>"ندارد"</f>
        <v>ندارد</v>
      </c>
      <c r="U1498" s="1" t="str">
        <f>". پيمانكاري قائمي (3903031)"</f>
        <v>. پيمانكاري قائمي (3903031)</v>
      </c>
      <c r="V1498" s="1">
        <v>966200066</v>
      </c>
      <c r="W1498" s="1">
        <v>966200066</v>
      </c>
      <c r="X1498" s="1" t="str">
        <f>"1396478792"</f>
        <v>1396478792</v>
      </c>
      <c r="Y1498" s="1" t="str">
        <f>"96/02/14"</f>
        <v>96/02/14</v>
      </c>
      <c r="Z1498" s="1" t="str">
        <f>"4653/د"</f>
        <v>4653/د</v>
      </c>
      <c r="AA1498" s="1" t="str">
        <f>"بنيادمسكن انقلاب اسلامي"</f>
        <v>بنيادمسكن انقلاب اسلامي</v>
      </c>
      <c r="AB1498" s="1" t="str">
        <f>"96/02/11"</f>
        <v>96/02/11</v>
      </c>
      <c r="AC1498" s="1" t="str">
        <f>"استان آذربايجان شرقي"</f>
        <v>استان آذربايجان شرقي</v>
      </c>
      <c r="AD1498" s="1" t="str">
        <f>"96/02/13"</f>
        <v>96/02/13</v>
      </c>
      <c r="AE1498" s="1" t="str">
        <f>"اختتام"</f>
        <v>اختتام</v>
      </c>
      <c r="AF1498" s="1" t="str">
        <f>""</f>
        <v/>
      </c>
      <c r="AG1498" s="1" t="str">
        <f>""</f>
        <v/>
      </c>
      <c r="AH1498" s="1" t="str">
        <f>""</f>
        <v/>
      </c>
      <c r="AI1498" s="1" t="str">
        <f>""</f>
        <v/>
      </c>
      <c r="AJ1498" s="1" t="str">
        <f>""</f>
        <v/>
      </c>
      <c r="AK1498" s="1" t="str">
        <f>""</f>
        <v/>
      </c>
    </row>
    <row r="1499" spans="1:37">
      <c r="A1499" s="1">
        <v>20000</v>
      </c>
      <c r="B1499" s="1">
        <v>966200408</v>
      </c>
      <c r="C1499" s="1" t="str">
        <f>"تخليه-چهارمحال-شهرکرد-فارسان-سه راهي بردنجان-روستاي چليچه-کارخانه آسفالت احمديه چليچه"</f>
        <v>تخليه-چهارمحال-شهرکرد-فارسان-سه راهي بردنجان-روستاي چليچه-کارخانه آسفالت احمديه چليچه</v>
      </c>
      <c r="D1499" s="1">
        <v>12820</v>
      </c>
      <c r="E1499" s="1">
        <v>19300</v>
      </c>
      <c r="F1499" s="1">
        <v>96</v>
      </c>
      <c r="G1499" s="1">
        <v>700</v>
      </c>
      <c r="H1499" s="1" t="str">
        <f>"96/09/09"</f>
        <v>96/09/09</v>
      </c>
      <c r="I1499" s="1" t="str">
        <f>"كيلوگرم"</f>
        <v>كيلوگرم</v>
      </c>
      <c r="J1499" s="1" t="str">
        <f>"1000000002"</f>
        <v>1000000002</v>
      </c>
      <c r="K1499" s="1" t="str">
        <f>"قير 85/100 - فله"</f>
        <v>قير 85/100 - فله</v>
      </c>
      <c r="L1499" s="1">
        <v>100</v>
      </c>
      <c r="M1499" s="1" t="str">
        <f>"مخازن قير اصفهان"</f>
        <v>مخازن قير اصفهان</v>
      </c>
      <c r="N1499" s="1">
        <v>11495</v>
      </c>
      <c r="O1499" s="1">
        <v>50037372</v>
      </c>
      <c r="P1499" s="1" t="str">
        <f>"  تارا گستر آسمان"</f>
        <v xml:space="preserve">  تارا گستر آسمان</v>
      </c>
      <c r="Q1499" s="1">
        <v>62</v>
      </c>
      <c r="R1499" s="1" t="str">
        <f>"فروش داخلي - سازمان بنيادمسكن انقلاب اسلامي"</f>
        <v>فروش داخلي - سازمان بنيادمسكن انقلاب اسلامي</v>
      </c>
      <c r="S1499" s="1" t="str">
        <f>"قرارداد فروش"</f>
        <v>قرارداد فروش</v>
      </c>
      <c r="T1499" s="1" t="str">
        <f>"ندارد"</f>
        <v>ندارد</v>
      </c>
      <c r="U1499" s="1" t="str">
        <f>"قره باغي مجيد(1871065)"</f>
        <v>قره باغي مجيد(1871065)</v>
      </c>
      <c r="V1499" s="1">
        <v>966200408</v>
      </c>
      <c r="W1499" s="1">
        <v>966200408</v>
      </c>
      <c r="X1499" s="1" t="str">
        <f>"1396529173"</f>
        <v>1396529173</v>
      </c>
      <c r="Y1499" s="1" t="str">
        <f>"96/09/09"</f>
        <v>96/09/09</v>
      </c>
      <c r="Z1499" s="1" t="str">
        <f>"38790/د"</f>
        <v>38790/د</v>
      </c>
      <c r="AA1499" s="1" t="str">
        <f>"بنيادمسكن انقلاب اسلامي"</f>
        <v>بنيادمسكن انقلاب اسلامي</v>
      </c>
      <c r="AB1499" s="1" t="str">
        <f>"96/09/01"</f>
        <v>96/09/01</v>
      </c>
      <c r="AC1499" s="1" t="str">
        <f>"استان چهارمحال بختياري"</f>
        <v>استان چهارمحال بختياري</v>
      </c>
      <c r="AD1499" s="1" t="str">
        <f>"93/09/08"</f>
        <v>93/09/08</v>
      </c>
      <c r="AE1499" s="1" t="str">
        <f>"اختتام"</f>
        <v>اختتام</v>
      </c>
      <c r="AF1499" s="1" t="str">
        <f>""</f>
        <v/>
      </c>
      <c r="AG1499" s="1" t="str">
        <f>""</f>
        <v/>
      </c>
      <c r="AH1499" s="1" t="str">
        <f>""</f>
        <v/>
      </c>
      <c r="AI1499" s="1" t="str">
        <f>""</f>
        <v/>
      </c>
      <c r="AJ1499" s="1" t="str">
        <f>""</f>
        <v/>
      </c>
      <c r="AK1499" s="1" t="str">
        <f>""</f>
        <v/>
      </c>
    </row>
    <row r="1500" spans="1:37">
      <c r="A1500" s="1">
        <v>200000</v>
      </c>
      <c r="B1500" s="1">
        <v>966200530</v>
      </c>
      <c r="C1500" s="1" t="str">
        <f>"تخليه - گيلان-رشت-جاده رشت سراوان-بعداز اداره استاندارد-کارخانه آسفالت باهنر"</f>
        <v>تخليه - گيلان-رشت-جاده رشت سراوان-بعداز اداره استاندارد-کارخانه آسفالت باهنر</v>
      </c>
      <c r="D1500" s="1">
        <v>13100</v>
      </c>
      <c r="E1500" s="1">
        <v>197920</v>
      </c>
      <c r="F1500" s="1">
        <v>96</v>
      </c>
      <c r="G1500" s="1">
        <v>2080</v>
      </c>
      <c r="H1500" s="1" t="str">
        <f>"96/10/23"</f>
        <v>96/10/23</v>
      </c>
      <c r="I1500" s="1" t="str">
        <f>"كيلوگرم"</f>
        <v>كيلوگرم</v>
      </c>
      <c r="J1500" s="1" t="str">
        <f>"0000000093"</f>
        <v>0000000093</v>
      </c>
      <c r="K1500" s="1" t="str">
        <f>"قير  PG64-10"</f>
        <v>قير  PG64-10</v>
      </c>
      <c r="L1500" s="1">
        <v>100</v>
      </c>
      <c r="M1500" s="1" t="str">
        <f>"مخازن قير اصفهان"</f>
        <v>مخازن قير اصفهان</v>
      </c>
      <c r="N1500" s="1">
        <v>11527</v>
      </c>
      <c r="O1500" s="1">
        <v>50038154</v>
      </c>
      <c r="P1500" s="1" t="str">
        <f>"  ساختماني سبز بتن امير"</f>
        <v xml:space="preserve">  ساختماني سبز بتن امير</v>
      </c>
      <c r="Q1500" s="1">
        <v>62</v>
      </c>
      <c r="R1500" s="1" t="str">
        <f>"فروش داخلي - سازمان بنيادمسكن انقلاب اسلامي"</f>
        <v>فروش داخلي - سازمان بنيادمسكن انقلاب اسلامي</v>
      </c>
      <c r="S1500" s="1" t="str">
        <f>"قرارداد فروش"</f>
        <v>قرارداد فروش</v>
      </c>
      <c r="T1500" s="1" t="str">
        <f>"ندارد"</f>
        <v>ندارد</v>
      </c>
      <c r="U1500" s="1" t="str">
        <f>"هيزچي مرتضي(1841036)"</f>
        <v>هيزچي مرتضي(1841036)</v>
      </c>
      <c r="V1500" s="1">
        <v>966200530</v>
      </c>
      <c r="W1500" s="1">
        <v>966200530</v>
      </c>
      <c r="X1500" s="1" t="str">
        <f>"1396539697"</f>
        <v>1396539697</v>
      </c>
      <c r="Y1500" s="1" t="str">
        <f>"96/10/23"</f>
        <v>96/10/23</v>
      </c>
      <c r="Z1500" s="1" t="str">
        <f>"47046/د"</f>
        <v>47046/د</v>
      </c>
      <c r="AA1500" s="1" t="str">
        <f>"بنيادمسكن انقلاب اسلامي"</f>
        <v>بنيادمسكن انقلاب اسلامي</v>
      </c>
      <c r="AB1500" s="1" t="str">
        <f>"96/10/23"</f>
        <v>96/10/23</v>
      </c>
      <c r="AC1500" s="1" t="str">
        <f>"استان گيلان"</f>
        <v>استان گيلان</v>
      </c>
      <c r="AD1500" s="1" t="str">
        <f>"96/10/23"</f>
        <v>96/10/23</v>
      </c>
      <c r="AE1500" s="1" t="str">
        <f>"اختتام"</f>
        <v>اختتام</v>
      </c>
      <c r="AF1500" s="1" t="str">
        <f>""</f>
        <v/>
      </c>
      <c r="AG1500" s="1" t="str">
        <f>""</f>
        <v/>
      </c>
      <c r="AH1500" s="1" t="str">
        <f>""</f>
        <v/>
      </c>
      <c r="AI1500" s="1" t="str">
        <f>""</f>
        <v/>
      </c>
      <c r="AJ1500" s="1" t="str">
        <f>""</f>
        <v/>
      </c>
      <c r="AK1500" s="1" t="str">
        <f>""</f>
        <v/>
      </c>
    </row>
    <row r="1501" spans="1:37">
      <c r="A1501" s="1">
        <v>500000</v>
      </c>
      <c r="B1501" s="1">
        <v>961900039</v>
      </c>
      <c r="C1501" s="1" t="str">
        <f>"تخليه -زاهدان شهرک صنعتي کامپوزيان شرکت گل سنگ بلوچستان"</f>
        <v>تخليه -زاهدان شهرک صنعتي کامپوزيان شرکت گل سنگ بلوچستان</v>
      </c>
      <c r="D1501" s="1">
        <v>9654</v>
      </c>
      <c r="E1501" s="1">
        <v>498920</v>
      </c>
      <c r="F1501" s="1">
        <v>96</v>
      </c>
      <c r="G1501" s="1">
        <v>1080</v>
      </c>
      <c r="H1501" s="1" t="str">
        <f>"96/01/16"</f>
        <v>96/01/16</v>
      </c>
      <c r="I1501" s="1" t="str">
        <f>"كيلوگرم"</f>
        <v>كيلوگرم</v>
      </c>
      <c r="J1501" s="1" t="str">
        <f>"0000000094"</f>
        <v>0000000094</v>
      </c>
      <c r="K1501" s="1" t="str">
        <f>"قير  PG70-10"</f>
        <v>قير  PG70-10</v>
      </c>
      <c r="L1501" s="1">
        <v>100</v>
      </c>
      <c r="M1501" s="1" t="str">
        <f>"مخازن قير اصفهان"</f>
        <v>مخازن قير اصفهان</v>
      </c>
      <c r="N1501" s="1">
        <v>4067</v>
      </c>
      <c r="O1501" s="1">
        <v>50034418</v>
      </c>
      <c r="P1501" s="1" t="str">
        <f>"  گل سنگ بلوچستان"</f>
        <v xml:space="preserve">  گل سنگ بلوچستان</v>
      </c>
      <c r="Q1501" s="1">
        <v>19</v>
      </c>
      <c r="R150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501" s="1" t="str">
        <f>"قرارداد فروش"</f>
        <v>قرارداد فروش</v>
      </c>
      <c r="T1501" s="1" t="str">
        <f>"ندارد"</f>
        <v>ندارد</v>
      </c>
      <c r="U1501" s="1" t="str">
        <f>"دشت بشي پودنگ وبرادران رضا(4844014)"</f>
        <v>دشت بشي پودنگ وبرادران رضا(4844014)</v>
      </c>
      <c r="V1501" s="1">
        <v>961900039</v>
      </c>
      <c r="W1501" s="1">
        <v>961900039</v>
      </c>
      <c r="X1501" s="1" t="str">
        <f>"1395471096"</f>
        <v>1395471096</v>
      </c>
      <c r="Y1501" s="1" t="str">
        <f>"96/01/16"</f>
        <v>96/01/16</v>
      </c>
      <c r="Z1501" s="1" t="str">
        <f>"66906/710"</f>
        <v>66906/710</v>
      </c>
      <c r="AA1501" s="1" t="str">
        <f>"سازمان راهداري وحمل نقل جاده اي"</f>
        <v>سازمان راهداري وحمل نقل جاده اي</v>
      </c>
      <c r="AB1501" s="1" t="str">
        <f>"95/12/25"</f>
        <v>95/12/25</v>
      </c>
      <c r="AC1501" s="1" t="str">
        <f>"استان سيستان بلوچستان"</f>
        <v>استان سيستان بلوچستان</v>
      </c>
      <c r="AD1501" s="1" t="str">
        <f>"95/12/28"</f>
        <v>95/12/28</v>
      </c>
      <c r="AE1501" s="1" t="str">
        <f>"اختتام"</f>
        <v>اختتام</v>
      </c>
      <c r="AF1501" s="1" t="str">
        <f>""</f>
        <v/>
      </c>
      <c r="AG1501" s="1" t="str">
        <f>""</f>
        <v/>
      </c>
      <c r="AH1501" s="1" t="str">
        <f>""</f>
        <v/>
      </c>
      <c r="AI1501" s="1" t="str">
        <f>""</f>
        <v/>
      </c>
      <c r="AJ1501" s="1" t="str">
        <f>""</f>
        <v/>
      </c>
      <c r="AK1501" s="1" t="str">
        <f>""</f>
        <v/>
      </c>
    </row>
    <row r="1502" spans="1:37">
      <c r="A1502" s="1">
        <v>1000000</v>
      </c>
      <c r="B1502" s="1">
        <v>961800056</v>
      </c>
      <c r="C1502" s="1" t="str">
        <f>"تخليه-سيستان وبلوچستان-زابل-کارخانه آسفالت شرکت دنا بنيان بيرجند"</f>
        <v>تخليه-سيستان وبلوچستان-زابل-کارخانه آسفالت شرکت دنا بنيان بيرجند</v>
      </c>
      <c r="D1502" s="1">
        <v>13850</v>
      </c>
      <c r="E1502" s="1">
        <v>999240</v>
      </c>
      <c r="F1502" s="1">
        <v>96</v>
      </c>
      <c r="G1502" s="1">
        <v>760</v>
      </c>
      <c r="H1502" s="1" t="str">
        <f>"96/07/06"</f>
        <v>96/07/06</v>
      </c>
      <c r="I1502" s="1" t="str">
        <f>"كيلوگرم"</f>
        <v>كيلوگرم</v>
      </c>
      <c r="J1502" s="1" t="str">
        <f>"0000000094"</f>
        <v>0000000094</v>
      </c>
      <c r="K1502" s="1" t="str">
        <f>"قير  PG70-10"</f>
        <v>قير  PG70-10</v>
      </c>
      <c r="L1502" s="1">
        <v>100</v>
      </c>
      <c r="M1502" s="1" t="str">
        <f>"مخازن قير اصفهان"</f>
        <v>مخازن قير اصفهان</v>
      </c>
      <c r="N1502" s="1">
        <v>8679</v>
      </c>
      <c r="O1502" s="1">
        <v>50036415</v>
      </c>
      <c r="P1502" s="1" t="str">
        <f>"  ساختماني راهسازي كيهان راه شرق"</f>
        <v xml:space="preserve">  ساختماني راهسازي كيهان راه شرق</v>
      </c>
      <c r="Q1502" s="1">
        <v>18</v>
      </c>
      <c r="R1502" s="1" t="str">
        <f>"فروش داخلي تهران - وزارت راه - شرکت ساخت و توسعه راهها"</f>
        <v>فروش داخلي تهران - وزارت راه - شرکت ساخت و توسعه راهها</v>
      </c>
      <c r="S1502" s="1" t="str">
        <f>"قرارداد فروش"</f>
        <v>قرارداد فروش</v>
      </c>
      <c r="T1502" s="1" t="str">
        <f>"ندارد"</f>
        <v>ندارد</v>
      </c>
      <c r="U1502" s="1" t="str">
        <f>"نظام دوست امين (1911102)"</f>
        <v>نظام دوست امين (1911102)</v>
      </c>
      <c r="V1502" s="1">
        <v>961800056</v>
      </c>
      <c r="W1502" s="1">
        <v>961800056</v>
      </c>
      <c r="X1502" s="1" t="str">
        <f>"1396514732"</f>
        <v>1396514732</v>
      </c>
      <c r="Y1502" s="1" t="str">
        <f>"96/07/06"</f>
        <v>96/07/06</v>
      </c>
      <c r="Z1502" s="1" t="str">
        <f>"31963/710"</f>
        <v>31963/710</v>
      </c>
      <c r="AA1502" s="1" t="str">
        <f>"شركت  ساخت وتوسعه راهها"</f>
        <v>شركت  ساخت وتوسعه راهها</v>
      </c>
      <c r="AB1502" s="1" t="str">
        <f>"96/06/28"</f>
        <v>96/06/28</v>
      </c>
      <c r="AC1502" s="1" t="str">
        <f>"استان سيستان بلوچستان"</f>
        <v>استان سيستان بلوچستان</v>
      </c>
      <c r="AD1502" s="1" t="str">
        <f>"96/07/04"</f>
        <v>96/07/04</v>
      </c>
      <c r="AE1502" s="1" t="str">
        <f>"اختتام"</f>
        <v>اختتام</v>
      </c>
      <c r="AF1502" s="1" t="str">
        <f>""</f>
        <v/>
      </c>
      <c r="AG1502" s="1" t="str">
        <f>""</f>
        <v/>
      </c>
      <c r="AH1502" s="1" t="str">
        <f>""</f>
        <v/>
      </c>
      <c r="AI1502" s="1" t="str">
        <f>""</f>
        <v/>
      </c>
      <c r="AJ1502" s="1" t="str">
        <f>""</f>
        <v/>
      </c>
      <c r="AK1502" s="1" t="str">
        <f>""</f>
        <v/>
      </c>
    </row>
    <row r="1503" spans="1:37">
      <c r="A1503" s="1">
        <v>50000</v>
      </c>
      <c r="B1503" s="1">
        <v>961100093</v>
      </c>
      <c r="C1503" s="1" t="str">
        <f>"تخليه -اصفهان - گلپايگان - كيلومتر 5 جاده خوانسار"</f>
        <v>تخليه -اصفهان - گلپايگان - كيلومتر 5 جاده خوانسار</v>
      </c>
      <c r="D1503" s="1">
        <v>9416</v>
      </c>
      <c r="E1503" s="1">
        <v>50000</v>
      </c>
      <c r="F1503" s="1">
        <v>96</v>
      </c>
      <c r="G1503" s="1">
        <v>0</v>
      </c>
      <c r="H1503" s="1" t="str">
        <f>"96/08/17"</f>
        <v>96/08/17</v>
      </c>
      <c r="I1503" s="1" t="str">
        <f>"كيلوگرم"</f>
        <v>كيلوگرم</v>
      </c>
      <c r="J1503" s="1" t="str">
        <f>"1000000002"</f>
        <v>1000000002</v>
      </c>
      <c r="K1503" s="1" t="str">
        <f>"قير 85/100 - فله"</f>
        <v>قير 85/100 - فله</v>
      </c>
      <c r="L1503" s="1">
        <v>100</v>
      </c>
      <c r="M1503" s="1" t="str">
        <f>"مخازن قير اصفهان"</f>
        <v>مخازن قير اصفهان</v>
      </c>
      <c r="N1503" s="1">
        <v>9043</v>
      </c>
      <c r="O1503" s="1">
        <v>50037134</v>
      </c>
      <c r="P1503" s="1" t="str">
        <f>"  مهندسي صنعت راه گلپايگان"</f>
        <v xml:space="preserve">  مهندسي صنعت راه گلپايگان</v>
      </c>
      <c r="Q1503" s="1">
        <v>11</v>
      </c>
      <c r="R1503" s="1" t="str">
        <f>"فروش داخلي تهران - بورس"</f>
        <v>فروش داخلي تهران - بورس</v>
      </c>
      <c r="S1503" s="1" t="str">
        <f>"قرارداد فروش"</f>
        <v>قرارداد فروش</v>
      </c>
      <c r="T1503" s="1" t="str">
        <f>"ندارد"</f>
        <v>ندارد</v>
      </c>
      <c r="U1503" s="1" t="str">
        <f>"شهبازي محمدرضا(1029ج89)"</f>
        <v>شهبازي محمدرضا(1029ج89)</v>
      </c>
      <c r="V1503" s="1">
        <v>961100093</v>
      </c>
      <c r="W1503" s="1">
        <v>961100093</v>
      </c>
      <c r="X1503" s="1" t="str">
        <f>"1396523772"</f>
        <v>1396523772</v>
      </c>
      <c r="Y1503" s="1" t="str">
        <f>"96/08/17"</f>
        <v>96/08/17</v>
      </c>
      <c r="Z1503" s="1" t="str">
        <f>"96-36564"</f>
        <v>96-36564</v>
      </c>
      <c r="AA1503" s="1" t="str">
        <f>"راه سازي"</f>
        <v>راه سازي</v>
      </c>
      <c r="AB1503" s="1" t="str">
        <f>"96/08/17"</f>
        <v>96/08/17</v>
      </c>
      <c r="AC1503" s="1" t="str">
        <f>"استان اصفهان"</f>
        <v>استان اصفهان</v>
      </c>
      <c r="AD1503" s="1" t="str">
        <f>"96/08/15"</f>
        <v>96/08/15</v>
      </c>
      <c r="AE1503" s="1" t="str">
        <f>"اختتام"</f>
        <v>اختتام</v>
      </c>
      <c r="AF1503" s="1" t="str">
        <f>""</f>
        <v/>
      </c>
      <c r="AG1503" s="1" t="str">
        <f>""</f>
        <v/>
      </c>
      <c r="AH1503" s="1" t="str">
        <f>""</f>
        <v/>
      </c>
      <c r="AI1503" s="1" t="str">
        <f>""</f>
        <v/>
      </c>
      <c r="AJ1503" s="1" t="str">
        <f>""</f>
        <v/>
      </c>
      <c r="AK1503" s="1" t="str">
        <f>""</f>
        <v/>
      </c>
    </row>
    <row r="1504" spans="1:37">
      <c r="A1504" s="1">
        <v>170000</v>
      </c>
      <c r="B1504" s="1">
        <v>961900176</v>
      </c>
      <c r="C1504" s="1" t="str">
        <f>"تخليه -كرمانشاه -5كيلومترقبل ازكرندغرب -كارخانه آسفالت شركت مهندسي تارا"</f>
        <v>تخليه -كرمانشاه -5كيلومترقبل ازكرندغرب -كارخانه آسفالت شركت مهندسي تارا</v>
      </c>
      <c r="D1504" s="1">
        <v>10016</v>
      </c>
      <c r="E1504" s="1">
        <v>169080</v>
      </c>
      <c r="F1504" s="1">
        <v>96</v>
      </c>
      <c r="G1504" s="1">
        <v>920</v>
      </c>
      <c r="H1504" s="1" t="str">
        <f>"96/07/26"</f>
        <v>96/07/26</v>
      </c>
      <c r="I1504" s="1" t="str">
        <f>"كيلوگرم"</f>
        <v>كيلوگرم</v>
      </c>
      <c r="J1504" s="1" t="str">
        <f>"0000000094"</f>
        <v>0000000094</v>
      </c>
      <c r="K1504" s="1" t="str">
        <f>"قير  PG70-10"</f>
        <v>قير  PG70-10</v>
      </c>
      <c r="L1504" s="1">
        <v>100</v>
      </c>
      <c r="M1504" s="1" t="str">
        <f>"مخازن قير اصفهان"</f>
        <v>مخازن قير اصفهان</v>
      </c>
      <c r="N1504" s="1">
        <v>9976</v>
      </c>
      <c r="O1504" s="1">
        <v>50036811</v>
      </c>
      <c r="P1504" s="1" t="str">
        <f>"  مهندسي تارا"</f>
        <v xml:space="preserve">  مهندسي تارا</v>
      </c>
      <c r="Q1504" s="1">
        <v>19</v>
      </c>
      <c r="R150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504" s="1" t="str">
        <f>"قرارداد فروش"</f>
        <v>قرارداد فروش</v>
      </c>
      <c r="T1504" s="1" t="str">
        <f>"ندارد"</f>
        <v>ندارد</v>
      </c>
      <c r="U1504" s="1" t="str">
        <f>"قره باغي مجيد(1871065)"</f>
        <v>قره باغي مجيد(1871065)</v>
      </c>
      <c r="V1504" s="1">
        <v>961900176</v>
      </c>
      <c r="W1504" s="1">
        <v>961900176</v>
      </c>
      <c r="X1504" s="1" t="str">
        <f>"1396519917"</f>
        <v>1396519917</v>
      </c>
      <c r="Y1504" s="1" t="str">
        <f>"96/07/26"</f>
        <v>96/07/26</v>
      </c>
      <c r="Z1504" s="1" t="str">
        <f>"36814/710"</f>
        <v>36814/710</v>
      </c>
      <c r="AA1504" s="1" t="str">
        <f>"سازمان راهداري وحمل نقل جاده اي"</f>
        <v>سازمان راهداري وحمل نقل جاده اي</v>
      </c>
      <c r="AB1504" s="1" t="str">
        <f>"96/07/25"</f>
        <v>96/07/25</v>
      </c>
      <c r="AC1504" s="1" t="str">
        <f>"استان كرمانشاه"</f>
        <v>استان كرمانشاه</v>
      </c>
      <c r="AD1504" s="1" t="str">
        <f>"96/07/26"</f>
        <v>96/07/26</v>
      </c>
      <c r="AE1504" s="1" t="str">
        <f>"اختتام"</f>
        <v>اختتام</v>
      </c>
      <c r="AF1504" s="1" t="str">
        <f>""</f>
        <v/>
      </c>
      <c r="AG1504" s="1" t="str">
        <f>""</f>
        <v/>
      </c>
      <c r="AH1504" s="1" t="str">
        <f>""</f>
        <v/>
      </c>
      <c r="AI1504" s="1" t="str">
        <f>""</f>
        <v/>
      </c>
      <c r="AJ1504" s="1" t="str">
        <f>""</f>
        <v/>
      </c>
      <c r="AK1504" s="1" t="str">
        <f>""</f>
        <v/>
      </c>
    </row>
    <row r="1505" spans="1:37">
      <c r="A1505" s="1">
        <v>72000</v>
      </c>
      <c r="B1505" s="1">
        <v>966200456</v>
      </c>
      <c r="C1505" s="1" t="str">
        <f>"تخليه -سيستان وبلوچستان -هامون شهرمحمدآباد-كيلومتر5روستاي شهرك مير-كارخانه آسفالت برادران طباطبائي"</f>
        <v>تخليه -سيستان وبلوچستان -هامون شهرمحمدآباد-كيلومتر5روستاي شهرك مير-كارخانه آسفالت برادران طباطبائي</v>
      </c>
      <c r="D1505" s="1">
        <v>13270</v>
      </c>
      <c r="E1505" s="1">
        <v>71380</v>
      </c>
      <c r="F1505" s="1">
        <v>96</v>
      </c>
      <c r="G1505" s="1">
        <v>620</v>
      </c>
      <c r="H1505" s="1" t="str">
        <f>"96/09/26"</f>
        <v>96/09/26</v>
      </c>
      <c r="I1505" s="1" t="str">
        <f>"كيلوگرم"</f>
        <v>كيلوگرم</v>
      </c>
      <c r="J1505" s="1" t="str">
        <f>"0000000094"</f>
        <v>0000000094</v>
      </c>
      <c r="K1505" s="1" t="str">
        <f>"قير  PG70-10"</f>
        <v>قير  PG70-10</v>
      </c>
      <c r="L1505" s="1">
        <v>100</v>
      </c>
      <c r="M1505" s="1" t="str">
        <f>"مخازن قير اصفهان"</f>
        <v>مخازن قير اصفهان</v>
      </c>
      <c r="N1505" s="1">
        <v>10421</v>
      </c>
      <c r="O1505" s="1">
        <v>50037886</v>
      </c>
      <c r="P1505" s="1" t="str">
        <f>"  تعاوني راه وساختمان  3136سيستان سازه زابل"</f>
        <v xml:space="preserve">  تعاوني راه وساختمان  3136سيستان سازه زابل</v>
      </c>
      <c r="Q1505" s="1">
        <v>62</v>
      </c>
      <c r="R1505" s="1" t="str">
        <f>"فروش داخلي - سازمان بنيادمسكن انقلاب اسلامي"</f>
        <v>فروش داخلي - سازمان بنيادمسكن انقلاب اسلامي</v>
      </c>
      <c r="S1505" s="1" t="str">
        <f>"قرارداد فروش"</f>
        <v>قرارداد فروش</v>
      </c>
      <c r="T1505" s="1" t="str">
        <f>"ندارد"</f>
        <v>ندارد</v>
      </c>
      <c r="U1505" s="1" t="str">
        <f>"قانعي محمدرضا(1011ج89)"</f>
        <v>قانعي محمدرضا(1011ج89)</v>
      </c>
      <c r="V1505" s="1">
        <v>966200456</v>
      </c>
      <c r="W1505" s="1">
        <v>966200456</v>
      </c>
      <c r="X1505" s="1" t="str">
        <f>"1396532939"</f>
        <v>1396532939</v>
      </c>
      <c r="Y1505" s="1" t="str">
        <f>"96/09/26"</f>
        <v>96/09/26</v>
      </c>
      <c r="Z1505" s="1" t="str">
        <f>"42289/د"</f>
        <v>42289/د</v>
      </c>
      <c r="AA1505" s="1" t="str">
        <f>"بنيادمسكن انقلاب اسلامي"</f>
        <v>بنيادمسكن انقلاب اسلامي</v>
      </c>
      <c r="AB1505" s="1" t="str">
        <f>"96/09/25"</f>
        <v>96/09/25</v>
      </c>
      <c r="AC1505" s="1" t="str">
        <f>"استان سيستان بلوچستان"</f>
        <v>استان سيستان بلوچستان</v>
      </c>
      <c r="AD1505" s="1" t="str">
        <f>"96/09/26"</f>
        <v>96/09/26</v>
      </c>
      <c r="AE1505" s="1" t="str">
        <f>"اختتام"</f>
        <v>اختتام</v>
      </c>
      <c r="AF1505" s="1" t="str">
        <f>""</f>
        <v/>
      </c>
      <c r="AG1505" s="1" t="str">
        <f>""</f>
        <v/>
      </c>
      <c r="AH1505" s="1" t="str">
        <f>""</f>
        <v/>
      </c>
      <c r="AI1505" s="1" t="str">
        <f>""</f>
        <v/>
      </c>
      <c r="AJ1505" s="1" t="str">
        <f>""</f>
        <v/>
      </c>
      <c r="AK1505" s="1" t="str">
        <f>""</f>
        <v/>
      </c>
    </row>
    <row r="1506" spans="1:37">
      <c r="A1506" s="1">
        <v>300000</v>
      </c>
      <c r="B1506" s="1">
        <v>966200427</v>
      </c>
      <c r="C1506" s="1" t="str">
        <f>"تخليه -قم -كيلومتر9جاده كوه سفيد-شركت آرين پي سهند"</f>
        <v>تخليه -قم -كيلومتر9جاده كوه سفيد-شركت آرين پي سهند</v>
      </c>
      <c r="D1506" s="1">
        <v>13270</v>
      </c>
      <c r="E1506" s="1">
        <v>299380</v>
      </c>
      <c r="F1506" s="1">
        <v>96</v>
      </c>
      <c r="G1506" s="1">
        <v>620</v>
      </c>
      <c r="H1506" s="1" t="str">
        <f>"96/09/18"</f>
        <v>96/09/18</v>
      </c>
      <c r="I1506" s="1" t="str">
        <f>"كيلوگرم"</f>
        <v>كيلوگرم</v>
      </c>
      <c r="J1506" s="1" t="str">
        <f>"0000000094"</f>
        <v>0000000094</v>
      </c>
      <c r="K1506" s="1" t="str">
        <f>"قير  PG70-10"</f>
        <v>قير  PG70-10</v>
      </c>
      <c r="L1506" s="1">
        <v>100</v>
      </c>
      <c r="M1506" s="1" t="str">
        <f>"مخازن قير اصفهان"</f>
        <v>مخازن قير اصفهان</v>
      </c>
      <c r="N1506" s="1">
        <v>10442</v>
      </c>
      <c r="O1506" s="1">
        <v>50037554</v>
      </c>
      <c r="P1506" s="1" t="str">
        <f>"  راه وساختماني آرين پي سهند"</f>
        <v xml:space="preserve">  راه وساختماني آرين پي سهند</v>
      </c>
      <c r="Q1506" s="1">
        <v>62</v>
      </c>
      <c r="R1506" s="1" t="str">
        <f>"فروش داخلي - سازمان بنيادمسكن انقلاب اسلامي"</f>
        <v>فروش داخلي - سازمان بنيادمسكن انقلاب اسلامي</v>
      </c>
      <c r="S1506" s="1" t="str">
        <f>"قرارداد فروش"</f>
        <v>قرارداد فروش</v>
      </c>
      <c r="T1506" s="1" t="str">
        <f>"ندارد"</f>
        <v>ندارد</v>
      </c>
      <c r="U1506" s="1" t="str">
        <f>"هيزچي مرتضي(1841036)"</f>
        <v>هيزچي مرتضي(1841036)</v>
      </c>
      <c r="V1506" s="1">
        <v>966200427</v>
      </c>
      <c r="W1506" s="1">
        <v>966200427</v>
      </c>
      <c r="X1506" s="1" t="str">
        <f>"1396531060"</f>
        <v>1396531060</v>
      </c>
      <c r="Y1506" s="1" t="str">
        <f>"96/09/18"</f>
        <v>96/09/18</v>
      </c>
      <c r="Z1506" s="1" t="str">
        <f>"40606/د"</f>
        <v>40606/د</v>
      </c>
      <c r="AA1506" s="1" t="str">
        <f>"بنيادمسكن انقلاب اسلامي"</f>
        <v>بنيادمسكن انقلاب اسلامي</v>
      </c>
      <c r="AB1506" s="1" t="str">
        <f>"96/09/14"</f>
        <v>96/09/14</v>
      </c>
      <c r="AC1506" s="1" t="str">
        <f>"قم"</f>
        <v>قم</v>
      </c>
      <c r="AD1506" s="1" t="str">
        <f>"96/09/18"</f>
        <v>96/09/18</v>
      </c>
      <c r="AE1506" s="1" t="str">
        <f>"اختتام"</f>
        <v>اختتام</v>
      </c>
      <c r="AF1506" s="1" t="str">
        <f>""</f>
        <v/>
      </c>
      <c r="AG1506" s="1" t="str">
        <f>""</f>
        <v/>
      </c>
      <c r="AH1506" s="1" t="str">
        <f>""</f>
        <v/>
      </c>
      <c r="AI1506" s="1" t="str">
        <f>""</f>
        <v/>
      </c>
      <c r="AJ1506" s="1" t="str">
        <f>""</f>
        <v/>
      </c>
      <c r="AK1506" s="1" t="str">
        <f>""</f>
        <v/>
      </c>
    </row>
    <row r="1507" spans="1:37">
      <c r="A1507" s="1">
        <v>106000</v>
      </c>
      <c r="B1507" s="1">
        <v>966200033</v>
      </c>
      <c r="C1507" s="1" t="str">
        <f>"تخليه - سيستان و بلوچستان-فنوج-کارخانه آسفالت شرکت مثلث راه آب"</f>
        <v>تخليه - سيستان و بلوچستان-فنوج-کارخانه آسفالت شرکت مثلث راه آب</v>
      </c>
      <c r="D1507" s="1">
        <v>8918</v>
      </c>
      <c r="E1507" s="1">
        <v>105720</v>
      </c>
      <c r="F1507" s="1">
        <v>96</v>
      </c>
      <c r="G1507" s="1">
        <v>280</v>
      </c>
      <c r="H1507" s="1" t="str">
        <f>"96/02/04"</f>
        <v>96/02/04</v>
      </c>
      <c r="I1507" s="1" t="str">
        <f>"كيلوگرم"</f>
        <v>كيلوگرم</v>
      </c>
      <c r="J1507" s="1" t="str">
        <f>"0000000076"</f>
        <v>0000000076</v>
      </c>
      <c r="K1507" s="1" t="str">
        <f>"قير 60/70 - فله"</f>
        <v>قير 60/70 - فله</v>
      </c>
      <c r="L1507" s="1">
        <v>100</v>
      </c>
      <c r="M1507" s="1" t="str">
        <f>"مخازن قير اصفهان"</f>
        <v>مخازن قير اصفهان</v>
      </c>
      <c r="N1507" s="1">
        <v>10484</v>
      </c>
      <c r="O1507" s="1">
        <v>50034672</v>
      </c>
      <c r="P1507" s="1" t="str">
        <f>"  مهندسي مثلث راه آب"</f>
        <v xml:space="preserve">  مهندسي مثلث راه آب</v>
      </c>
      <c r="Q1507" s="1">
        <v>62</v>
      </c>
      <c r="R1507" s="1" t="str">
        <f>"فروش داخلي - سازمان بنيادمسكن انقلاب اسلامي"</f>
        <v>فروش داخلي - سازمان بنيادمسكن انقلاب اسلامي</v>
      </c>
      <c r="S1507" s="1" t="str">
        <f>"قرارداد فروش"</f>
        <v>قرارداد فروش</v>
      </c>
      <c r="T1507" s="1" t="str">
        <f>"ندارد"</f>
        <v>ندارد</v>
      </c>
      <c r="U1507" s="1" t="str">
        <f>"پورباقري ترابر (4914036)"</f>
        <v>پورباقري ترابر (4914036)</v>
      </c>
      <c r="V1507" s="1">
        <v>966200033</v>
      </c>
      <c r="W1507" s="1">
        <v>966200033</v>
      </c>
      <c r="X1507" s="1" t="str">
        <f>"1396476390"</f>
        <v>1396476390</v>
      </c>
      <c r="Y1507" s="1" t="str">
        <f>"96/02/04"</f>
        <v>96/02/04</v>
      </c>
      <c r="Z1507" s="1" t="str">
        <f>"2758/د"</f>
        <v>2758/د</v>
      </c>
      <c r="AA1507" s="1" t="str">
        <f>"بنيادمسكن انقلاب اسلامي"</f>
        <v>بنيادمسكن انقلاب اسلامي</v>
      </c>
      <c r="AB1507" s="1" t="str">
        <f>"96/01/30"</f>
        <v>96/01/30</v>
      </c>
      <c r="AC1507" s="1" t="str">
        <f>"استان سيستان بلوچستان"</f>
        <v>استان سيستان بلوچستان</v>
      </c>
      <c r="AD1507" s="1" t="str">
        <f>"96/02/04"</f>
        <v>96/02/04</v>
      </c>
      <c r="AE1507" s="1" t="str">
        <f>"اختتام"</f>
        <v>اختتام</v>
      </c>
      <c r="AF1507" s="1" t="str">
        <f>""</f>
        <v/>
      </c>
      <c r="AG1507" s="1" t="str">
        <f>""</f>
        <v/>
      </c>
      <c r="AH1507" s="1" t="str">
        <f>""</f>
        <v/>
      </c>
      <c r="AI1507" s="1" t="str">
        <f>""</f>
        <v/>
      </c>
      <c r="AJ1507" s="1" t="str">
        <f>""</f>
        <v/>
      </c>
      <c r="AK1507" s="1" t="str">
        <f>""</f>
        <v/>
      </c>
    </row>
    <row r="1508" spans="1:37">
      <c r="A1508" s="1">
        <v>41870</v>
      </c>
      <c r="B1508" s="1">
        <v>962000383</v>
      </c>
      <c r="C1508" s="1" t="str">
        <f>"تخليه - چهارمحال و بختياري-سه راهي جاده فارسان-جونقان-جنب کارخانه گچ-کارخانه احمديه چليچه"</f>
        <v>تخليه - چهارمحال و بختياري-سه راهي جاده فارسان-جونقان-جنب کارخانه گچ-کارخانه احمديه چليچه</v>
      </c>
      <c r="D1508" s="1">
        <v>12820</v>
      </c>
      <c r="E1508" s="1">
        <v>41870</v>
      </c>
      <c r="F1508" s="1">
        <v>96</v>
      </c>
      <c r="G1508" s="1">
        <v>0</v>
      </c>
      <c r="H1508" s="1" t="str">
        <f>"96/09/19"</f>
        <v>96/09/19</v>
      </c>
      <c r="I1508" s="1" t="str">
        <f>"كيلوگرم"</f>
        <v>كيلوگرم</v>
      </c>
      <c r="J1508" s="1" t="str">
        <f>"1000000002"</f>
        <v>1000000002</v>
      </c>
      <c r="K1508" s="1" t="str">
        <f>"قير 85/100 - فله"</f>
        <v>قير 85/100 - فله</v>
      </c>
      <c r="L1508" s="1">
        <v>100</v>
      </c>
      <c r="M1508" s="1" t="str">
        <f>"مخازن قير اصفهان"</f>
        <v>مخازن قير اصفهان</v>
      </c>
      <c r="N1508" s="1">
        <v>9364</v>
      </c>
      <c r="O1508" s="1">
        <v>50037680</v>
      </c>
      <c r="P1508" s="1" t="str">
        <f>"  شهرداري چلگرد"</f>
        <v xml:space="preserve">  شهرداري چلگرد</v>
      </c>
      <c r="Q1508" s="1">
        <v>20</v>
      </c>
      <c r="R1508" s="1" t="str">
        <f>"فروش داخلي - سازمان شهرداري ها و دهياري هاي كشور"</f>
        <v>فروش داخلي - سازمان شهرداري ها و دهياري هاي كشور</v>
      </c>
      <c r="S1508" s="1" t="str">
        <f>"قرارداد فروش"</f>
        <v>قرارداد فروش</v>
      </c>
      <c r="T1508" s="1" t="str">
        <f>"ندارد"</f>
        <v>ندارد</v>
      </c>
      <c r="U1508" s="1" t="str">
        <f>"تعاوني جم گستر (1001 ج 89)"</f>
        <v>تعاوني جم گستر (1001 ج 89)</v>
      </c>
      <c r="V1508" s="1">
        <v>962000383</v>
      </c>
      <c r="W1508" s="1">
        <v>962000383</v>
      </c>
      <c r="X1508" s="1" t="str">
        <f>"1396529715"</f>
        <v>1396529715</v>
      </c>
      <c r="Y1508" s="1" t="str">
        <f>"96/09/19"</f>
        <v>96/09/19</v>
      </c>
      <c r="Z1508" s="1" t="str">
        <f>"38537مرحله دوم"</f>
        <v>38537مرحله دوم</v>
      </c>
      <c r="AA1508" s="1" t="str">
        <f>"شهرداريها"</f>
        <v>شهرداريها</v>
      </c>
      <c r="AB1508" s="1" t="str">
        <f>"96/09/11"</f>
        <v>96/09/11</v>
      </c>
      <c r="AC1508" s="1" t="str">
        <f>"استان چهارمحال بختياري"</f>
        <v>استان چهارمحال بختياري</v>
      </c>
      <c r="AD1508" s="1" t="str">
        <f>"96/09/13"</f>
        <v>96/09/13</v>
      </c>
      <c r="AE1508" s="1" t="str">
        <f>"اختتام"</f>
        <v>اختتام</v>
      </c>
      <c r="AF1508" s="1" t="str">
        <f>""</f>
        <v/>
      </c>
      <c r="AG1508" s="1" t="str">
        <f>""</f>
        <v/>
      </c>
      <c r="AH1508" s="1" t="str">
        <f>""</f>
        <v/>
      </c>
      <c r="AI1508" s="1" t="str">
        <f>""</f>
        <v/>
      </c>
      <c r="AJ1508" s="1" t="str">
        <f>""</f>
        <v/>
      </c>
      <c r="AK1508" s="1" t="str">
        <f>""</f>
        <v/>
      </c>
    </row>
    <row r="1509" spans="1:37">
      <c r="A1509" s="1">
        <v>42995</v>
      </c>
      <c r="B1509" s="1">
        <v>962000393</v>
      </c>
      <c r="C1509" s="1" t="str">
        <f>"تخليه چهارمحال وبختياري لردگان كارخانه لايبيدلردگان"</f>
        <v>تخليه چهارمحال وبختياري لردگان كارخانه لايبيدلردگان</v>
      </c>
      <c r="D1509" s="1">
        <v>12820</v>
      </c>
      <c r="E1509" s="1">
        <v>42995</v>
      </c>
      <c r="F1509" s="1">
        <v>96</v>
      </c>
      <c r="G1509" s="1">
        <v>0</v>
      </c>
      <c r="H1509" s="1" t="str">
        <f>"96/09/19"</f>
        <v>96/09/19</v>
      </c>
      <c r="I1509" s="1" t="str">
        <f>"كيلوگرم"</f>
        <v>كيلوگرم</v>
      </c>
      <c r="J1509" s="1" t="str">
        <f>"1000000002"</f>
        <v>1000000002</v>
      </c>
      <c r="K1509" s="1" t="str">
        <f>"قير 85/100 - فله"</f>
        <v>قير 85/100 - فله</v>
      </c>
      <c r="L1509" s="1">
        <v>100</v>
      </c>
      <c r="M1509" s="1" t="str">
        <f>"مخازن قير اصفهان"</f>
        <v>مخازن قير اصفهان</v>
      </c>
      <c r="N1509" s="1">
        <v>10795</v>
      </c>
      <c r="O1509" s="1">
        <v>50037690</v>
      </c>
      <c r="P1509" s="1" t="str">
        <f>"  شهرداري منج"</f>
        <v xml:space="preserve">  شهرداري منج</v>
      </c>
      <c r="Q1509" s="1">
        <v>20</v>
      </c>
      <c r="R1509" s="1" t="str">
        <f>"فروش داخلي - سازمان شهرداري ها و دهياري هاي كشور"</f>
        <v>فروش داخلي - سازمان شهرداري ها و دهياري هاي كشور</v>
      </c>
      <c r="S1509" s="1" t="str">
        <f>"قرارداد فروش"</f>
        <v>قرارداد فروش</v>
      </c>
      <c r="T1509" s="1" t="str">
        <f>"ندارد"</f>
        <v>ندارد</v>
      </c>
      <c r="U1509" s="1" t="str">
        <f>"تعاوني جم گستر (1001 ج 89)"</f>
        <v>تعاوني جم گستر (1001 ج 89)</v>
      </c>
      <c r="V1509" s="1">
        <v>962000393</v>
      </c>
      <c r="W1509" s="1">
        <v>962000393</v>
      </c>
      <c r="X1509" s="1" t="str">
        <f>"1396529715"</f>
        <v>1396529715</v>
      </c>
      <c r="Y1509" s="1" t="str">
        <f>"96/09/19"</f>
        <v>96/09/19</v>
      </c>
      <c r="Z1509" s="1" t="str">
        <f>"38505مرحله دوم"</f>
        <v>38505مرحله دوم</v>
      </c>
      <c r="AA1509" s="1" t="str">
        <f>"شهرداريها"</f>
        <v>شهرداريها</v>
      </c>
      <c r="AB1509" s="1" t="str">
        <f>"96/09/11"</f>
        <v>96/09/11</v>
      </c>
      <c r="AC1509" s="1" t="str">
        <f>"استان چهارمحال بختياري"</f>
        <v>استان چهارمحال بختياري</v>
      </c>
      <c r="AD1509" s="1" t="str">
        <f>"96/09/13"</f>
        <v>96/09/13</v>
      </c>
      <c r="AE1509" s="1" t="str">
        <f>"تاييدشده"</f>
        <v>تاييدشده</v>
      </c>
      <c r="AF1509" s="1" t="str">
        <f>""</f>
        <v/>
      </c>
      <c r="AG1509" s="1" t="str">
        <f>""</f>
        <v/>
      </c>
      <c r="AH1509" s="1" t="str">
        <f>""</f>
        <v/>
      </c>
      <c r="AI1509" s="1" t="str">
        <f>""</f>
        <v/>
      </c>
      <c r="AJ1509" s="1" t="str">
        <f>""</f>
        <v/>
      </c>
      <c r="AK1509" s="1" t="str">
        <f>""</f>
        <v/>
      </c>
    </row>
    <row r="1510" spans="1:37">
      <c r="A1510" s="1">
        <v>46000</v>
      </c>
      <c r="B1510" s="1">
        <v>966200183</v>
      </c>
      <c r="C1510" s="1" t="str">
        <f>"تخليه - شهرکرد-هفشجان-کارخانه آسفالت سازمان همياري شهرداريهاي استان"</f>
        <v>تخليه - شهرکرد-هفشجان-کارخانه آسفالت سازمان همياري شهرداريهاي استان</v>
      </c>
      <c r="D1510" s="1">
        <v>8704</v>
      </c>
      <c r="E1510" s="1">
        <v>44500</v>
      </c>
      <c r="F1510" s="1">
        <v>96</v>
      </c>
      <c r="G1510" s="1">
        <v>1500</v>
      </c>
      <c r="H1510" s="1" t="str">
        <f>"96/05/21"</f>
        <v>96/05/21</v>
      </c>
      <c r="I1510" s="1" t="str">
        <f>"كيلوگرم"</f>
        <v>كيلوگرم</v>
      </c>
      <c r="J1510" s="1" t="str">
        <f>"1000000002"</f>
        <v>1000000002</v>
      </c>
      <c r="K1510" s="1" t="str">
        <f>"قير 85/100 - فله"</f>
        <v>قير 85/100 - فله</v>
      </c>
      <c r="L1510" s="1">
        <v>100</v>
      </c>
      <c r="M1510" s="1" t="str">
        <f>"مخازن قير اصفهان"</f>
        <v>مخازن قير اصفهان</v>
      </c>
      <c r="N1510" s="1">
        <v>11088</v>
      </c>
      <c r="O1510" s="1">
        <v>50035617</v>
      </c>
      <c r="P1510" s="1" t="str">
        <f>"  کامليا پرهون"</f>
        <v xml:space="preserve">  کامليا پرهون</v>
      </c>
      <c r="Q1510" s="1">
        <v>62</v>
      </c>
      <c r="R1510" s="1" t="str">
        <f>"فروش داخلي - سازمان بنيادمسكن انقلاب اسلامي"</f>
        <v>فروش داخلي - سازمان بنيادمسكن انقلاب اسلامي</v>
      </c>
      <c r="S1510" s="1" t="str">
        <f>"قرارداد فروش"</f>
        <v>قرارداد فروش</v>
      </c>
      <c r="T1510" s="1" t="str">
        <f>"ندارد"</f>
        <v>ندارد</v>
      </c>
      <c r="U1510" s="1" t="str">
        <f>"قره باغي مجيد(1871065)"</f>
        <v>قره باغي مجيد(1871065)</v>
      </c>
      <c r="V1510" s="1">
        <v>966200183</v>
      </c>
      <c r="W1510" s="1">
        <v>966200183</v>
      </c>
      <c r="X1510" s="1" t="str">
        <f>"1396504608"</f>
        <v>1396504608</v>
      </c>
      <c r="Y1510" s="1" t="str">
        <f>"96/05/21"</f>
        <v>96/05/21</v>
      </c>
      <c r="Z1510" s="1" t="str">
        <f>"20919/د"</f>
        <v>20919/د</v>
      </c>
      <c r="AA1510" s="1" t="str">
        <f>"بنيادمسكن انقلاب اسلامي"</f>
        <v>بنيادمسكن انقلاب اسلامي</v>
      </c>
      <c r="AB1510" s="1" t="str">
        <f>"96/05/18"</f>
        <v>96/05/18</v>
      </c>
      <c r="AC1510" s="1" t="str">
        <f>"استان چهارمحال بختياري"</f>
        <v>استان چهارمحال بختياري</v>
      </c>
      <c r="AD1510" s="1" t="str">
        <f>"96/05/21"</f>
        <v>96/05/21</v>
      </c>
      <c r="AE1510" s="1" t="str">
        <f>"اختتام"</f>
        <v>اختتام</v>
      </c>
      <c r="AF1510" s="1" t="str">
        <f>""</f>
        <v/>
      </c>
      <c r="AG1510" s="1" t="str">
        <f>""</f>
        <v/>
      </c>
      <c r="AH1510" s="1" t="str">
        <f>""</f>
        <v/>
      </c>
      <c r="AI1510" s="1" t="str">
        <f>""</f>
        <v/>
      </c>
      <c r="AJ1510" s="1" t="str">
        <f>""</f>
        <v/>
      </c>
      <c r="AK1510" s="1" t="str">
        <f>""</f>
        <v/>
      </c>
    </row>
    <row r="1511" spans="1:37">
      <c r="A1511" s="1">
        <v>50687</v>
      </c>
      <c r="B1511" s="1">
        <v>962000364</v>
      </c>
      <c r="C1511" s="1" t="str">
        <f>"تخليه -چهارمحال وبختياري شهرداري بروجن"</f>
        <v>تخليه -چهارمحال وبختياري شهرداري بروجن</v>
      </c>
      <c r="D1511" s="1">
        <v>12820</v>
      </c>
      <c r="E1511" s="1">
        <v>50687</v>
      </c>
      <c r="F1511" s="1">
        <v>96</v>
      </c>
      <c r="G1511" s="1">
        <v>0</v>
      </c>
      <c r="H1511" s="1" t="str">
        <f>"96/09/19"</f>
        <v>96/09/19</v>
      </c>
      <c r="I1511" s="1" t="str">
        <f>"كيلوگرم"</f>
        <v>كيلوگرم</v>
      </c>
      <c r="J1511" s="1" t="str">
        <f>"1000000002"</f>
        <v>1000000002</v>
      </c>
      <c r="K1511" s="1" t="str">
        <f>"قير 85/100 - فله"</f>
        <v>قير 85/100 - فله</v>
      </c>
      <c r="L1511" s="1">
        <v>100</v>
      </c>
      <c r="M1511" s="1" t="str">
        <f>"مخازن قير اصفهان"</f>
        <v>مخازن قير اصفهان</v>
      </c>
      <c r="N1511" s="1">
        <v>10791</v>
      </c>
      <c r="O1511" s="1">
        <v>50037660</v>
      </c>
      <c r="P1511" s="1" t="str">
        <f>"  شهرداري نقنه"</f>
        <v xml:space="preserve">  شهرداري نقنه</v>
      </c>
      <c r="Q1511" s="1">
        <v>20</v>
      </c>
      <c r="R1511" s="1" t="str">
        <f>"فروش داخلي - سازمان شهرداري ها و دهياري هاي كشور"</f>
        <v>فروش داخلي - سازمان شهرداري ها و دهياري هاي كشور</v>
      </c>
      <c r="S1511" s="1" t="str">
        <f>"قرارداد فروش"</f>
        <v>قرارداد فروش</v>
      </c>
      <c r="T1511" s="1" t="str">
        <f>"ندارد"</f>
        <v>ندارد</v>
      </c>
      <c r="U1511" s="1" t="str">
        <f>"تعاوني جم گستر (1001 ج 89)"</f>
        <v>تعاوني جم گستر (1001 ج 89)</v>
      </c>
      <c r="V1511" s="1">
        <v>962000364</v>
      </c>
      <c r="W1511" s="1">
        <v>962000364</v>
      </c>
      <c r="X1511" s="1" t="str">
        <f>"1396529715"</f>
        <v>1396529715</v>
      </c>
      <c r="Y1511" s="1" t="str">
        <f>"96/09/19"</f>
        <v>96/09/19</v>
      </c>
      <c r="Z1511" s="1" t="str">
        <f>"38480مرحله دوم"</f>
        <v>38480مرحله دوم</v>
      </c>
      <c r="AA1511" s="1" t="str">
        <f>"شهرداريها"</f>
        <v>شهرداريها</v>
      </c>
      <c r="AB1511" s="1" t="str">
        <f>"96/09/11"</f>
        <v>96/09/11</v>
      </c>
      <c r="AC1511" s="1" t="str">
        <f>"استان چهارمحال بختياري"</f>
        <v>استان چهارمحال بختياري</v>
      </c>
      <c r="AD1511" s="1" t="str">
        <f>"96/09/13"</f>
        <v>96/09/13</v>
      </c>
      <c r="AE1511" s="1" t="str">
        <f>"اختتام"</f>
        <v>اختتام</v>
      </c>
      <c r="AF1511" s="1" t="str">
        <f>""</f>
        <v/>
      </c>
      <c r="AG1511" s="1" t="str">
        <f>""</f>
        <v/>
      </c>
      <c r="AH1511" s="1" t="str">
        <f>""</f>
        <v/>
      </c>
      <c r="AI1511" s="1" t="str">
        <f>""</f>
        <v/>
      </c>
      <c r="AJ1511" s="1" t="str">
        <f>""</f>
        <v/>
      </c>
      <c r="AK1511" s="1" t="str">
        <f>""</f>
        <v/>
      </c>
    </row>
    <row r="1512" spans="1:37">
      <c r="A1512" s="1">
        <v>180000</v>
      </c>
      <c r="B1512" s="1">
        <v>966200730</v>
      </c>
      <c r="C1512" s="1" t="str">
        <f>"تخليه - کهگيلويه-ياسوج-پليس راه اصفهان-کارخانه آسفالت جوکار"</f>
        <v>تخليه - کهگيلويه-ياسوج-پليس راه اصفهان-کارخانه آسفالت جوکار</v>
      </c>
      <c r="D1512" s="1">
        <v>13350</v>
      </c>
      <c r="E1512" s="1">
        <v>180000</v>
      </c>
      <c r="F1512" s="1">
        <v>96</v>
      </c>
      <c r="G1512" s="1">
        <v>0</v>
      </c>
      <c r="H1512" s="1" t="str">
        <f>"96/12/26"</f>
        <v>96/12/26</v>
      </c>
      <c r="I1512" s="1" t="str">
        <f>"كيلوگرم"</f>
        <v>كيلوگرم</v>
      </c>
      <c r="J1512" s="1" t="str">
        <f>"0000000076"</f>
        <v>0000000076</v>
      </c>
      <c r="K1512" s="1" t="str">
        <f>"قير 60/70 - فله"</f>
        <v>قير 60/70 - فله</v>
      </c>
      <c r="L1512" s="1">
        <v>100</v>
      </c>
      <c r="M1512" s="1" t="str">
        <f>"مخازن قير اصفهان"</f>
        <v>مخازن قير اصفهان</v>
      </c>
      <c r="N1512" s="1">
        <v>10516</v>
      </c>
      <c r="O1512" s="1">
        <v>50039091</v>
      </c>
      <c r="P1512" s="1" t="str">
        <f>"  آسمان خراش كويرياسوج"</f>
        <v xml:space="preserve">  آسمان خراش كويرياسوج</v>
      </c>
      <c r="Q1512" s="1">
        <v>62</v>
      </c>
      <c r="R1512" s="1" t="str">
        <f>"فروش داخلي - سازمان بنيادمسكن انقلاب اسلامي"</f>
        <v>فروش داخلي - سازمان بنيادمسكن انقلاب اسلامي</v>
      </c>
      <c r="S1512" s="1" t="str">
        <f>"قرارداد فروش"</f>
        <v>قرارداد فروش</v>
      </c>
      <c r="T1512" s="1" t="str">
        <f>"ندارد"</f>
        <v>ندارد</v>
      </c>
      <c r="U1512" s="1" t="str">
        <f>"غلام نجفي سيامك‌‌‌‌‌‌(1881082)"</f>
        <v>غلام نجفي سيامك‌‌‌‌‌‌(1881082)</v>
      </c>
      <c r="V1512" s="1">
        <v>966200730</v>
      </c>
      <c r="W1512" s="1">
        <v>966200730</v>
      </c>
      <c r="X1512" s="1" t="str">
        <f>"1396555392"</f>
        <v>1396555392</v>
      </c>
      <c r="Y1512" s="1" t="str">
        <f>"96/12/26"</f>
        <v>96/12/26</v>
      </c>
      <c r="Z1512" s="1" t="str">
        <f>"59425/د"</f>
        <v>59425/د</v>
      </c>
      <c r="AA1512" s="1" t="str">
        <f>"بنيادمسكن انقلاب اسلامي"</f>
        <v>بنيادمسكن انقلاب اسلامي</v>
      </c>
      <c r="AB1512" s="1" t="str">
        <f>"96/12/23"</f>
        <v>96/12/23</v>
      </c>
      <c r="AC1512" s="1" t="str">
        <f>"كهكيلويه و بوير احمد"</f>
        <v>كهكيلويه و بوير احمد</v>
      </c>
      <c r="AD1512" s="1" t="str">
        <f>"96/12/26"</f>
        <v>96/12/26</v>
      </c>
      <c r="AE1512" s="1" t="str">
        <f>"اختتام"</f>
        <v>اختتام</v>
      </c>
      <c r="AF1512" s="1" t="str">
        <f>""</f>
        <v/>
      </c>
      <c r="AG1512" s="1" t="str">
        <f>""</f>
        <v/>
      </c>
      <c r="AH1512" s="1" t="str">
        <f>""</f>
        <v/>
      </c>
      <c r="AI1512" s="1" t="str">
        <f>""</f>
        <v/>
      </c>
      <c r="AJ1512" s="1" t="str">
        <f>""</f>
        <v/>
      </c>
      <c r="AK1512" s="1" t="str">
        <f>""</f>
        <v/>
      </c>
    </row>
    <row r="1513" spans="1:37">
      <c r="A1513" s="1">
        <v>43798</v>
      </c>
      <c r="B1513" s="1">
        <v>962000374</v>
      </c>
      <c r="C1513" s="1" t="str">
        <f>"تخليه - چهارمحال-سامان-مقابل پليس راه -شهرک صنعتي-فاز2 شرکت نسيم سامان"</f>
        <v>تخليه - چهارمحال-سامان-مقابل پليس راه -شهرک صنعتي-فاز2 شرکت نسيم سامان</v>
      </c>
      <c r="D1513" s="1">
        <v>12820</v>
      </c>
      <c r="E1513" s="1">
        <v>43798</v>
      </c>
      <c r="F1513" s="1">
        <v>96</v>
      </c>
      <c r="G1513" s="1">
        <v>0</v>
      </c>
      <c r="H1513" s="1" t="str">
        <f>"96/09/19"</f>
        <v>96/09/19</v>
      </c>
      <c r="I1513" s="1" t="str">
        <f>"كيلوگرم"</f>
        <v>كيلوگرم</v>
      </c>
      <c r="J1513" s="1" t="str">
        <f>"1000000002"</f>
        <v>1000000002</v>
      </c>
      <c r="K1513" s="1" t="str">
        <f>"قير 85/100 - فله"</f>
        <v>قير 85/100 - فله</v>
      </c>
      <c r="L1513" s="1">
        <v>100</v>
      </c>
      <c r="M1513" s="1" t="str">
        <f>"مخازن قير اصفهان"</f>
        <v>مخازن قير اصفهان</v>
      </c>
      <c r="N1513" s="1">
        <v>11153</v>
      </c>
      <c r="O1513" s="1">
        <v>50037671</v>
      </c>
      <c r="P1513" s="1" t="str">
        <f>"  شهرداري هاروني"</f>
        <v xml:space="preserve">  شهرداري هاروني</v>
      </c>
      <c r="Q1513" s="1">
        <v>20</v>
      </c>
      <c r="R1513" s="1" t="str">
        <f>"فروش داخلي - سازمان شهرداري ها و دهياري هاي كشور"</f>
        <v>فروش داخلي - سازمان شهرداري ها و دهياري هاي كشور</v>
      </c>
      <c r="S1513" s="1" t="str">
        <f>"قرارداد فروش"</f>
        <v>قرارداد فروش</v>
      </c>
      <c r="T1513" s="1" t="str">
        <f>"ندارد"</f>
        <v>ندارد</v>
      </c>
      <c r="U1513" s="1" t="str">
        <f>"تعاوني جم گستر (1001 ج 89)"</f>
        <v>تعاوني جم گستر (1001 ج 89)</v>
      </c>
      <c r="V1513" s="1">
        <v>962000374</v>
      </c>
      <c r="W1513" s="1">
        <v>962000374</v>
      </c>
      <c r="X1513" s="1" t="str">
        <f>"1396529715"</f>
        <v>1396529715</v>
      </c>
      <c r="Y1513" s="1" t="str">
        <f>"96/09/19"</f>
        <v>96/09/19</v>
      </c>
      <c r="Z1513" s="1" t="str">
        <f>"38504مرحله دوم"</f>
        <v>38504مرحله دوم</v>
      </c>
      <c r="AA1513" s="1" t="str">
        <f>"شهرداريها"</f>
        <v>شهرداريها</v>
      </c>
      <c r="AB1513" s="1" t="str">
        <f>"96/09/11"</f>
        <v>96/09/11</v>
      </c>
      <c r="AC1513" s="1" t="str">
        <f>"استان چهارمحال بختياري"</f>
        <v>استان چهارمحال بختياري</v>
      </c>
      <c r="AD1513" s="1" t="str">
        <f>"96/09/13"</f>
        <v>96/09/13</v>
      </c>
      <c r="AE1513" s="1" t="str">
        <f>"اختتام"</f>
        <v>اختتام</v>
      </c>
      <c r="AF1513" s="1" t="str">
        <f>""</f>
        <v/>
      </c>
      <c r="AG1513" s="1" t="str">
        <f>""</f>
        <v/>
      </c>
      <c r="AH1513" s="1" t="str">
        <f>""</f>
        <v/>
      </c>
      <c r="AI1513" s="1" t="str">
        <f>""</f>
        <v/>
      </c>
      <c r="AJ1513" s="1" t="str">
        <f>""</f>
        <v/>
      </c>
      <c r="AK1513" s="1" t="str">
        <f>""</f>
        <v/>
      </c>
    </row>
    <row r="1514" spans="1:37">
      <c r="A1514" s="1">
        <v>448000</v>
      </c>
      <c r="B1514" s="1">
        <v>966200187</v>
      </c>
      <c r="C1514" s="1" t="str">
        <f>"تخليه -کيلومتر 45 جاده زنجان بيجار بعداز کارخانه سيمان خمسه -کارخانه آسفالت کاچار گستر غرب"</f>
        <v>تخليه -کيلومتر 45 جاده زنجان بيجار بعداز کارخانه سيمان خمسه -کارخانه آسفالت کاچار گستر غرب</v>
      </c>
      <c r="D1514" s="1">
        <v>8704</v>
      </c>
      <c r="E1514" s="1">
        <v>446580</v>
      </c>
      <c r="F1514" s="1">
        <v>96</v>
      </c>
      <c r="G1514" s="1">
        <v>1420</v>
      </c>
      <c r="H1514" s="1" t="str">
        <f>"96/05/25"</f>
        <v>96/05/25</v>
      </c>
      <c r="I1514" s="1" t="str">
        <f>"كيلوگرم"</f>
        <v>كيلوگرم</v>
      </c>
      <c r="J1514" s="1" t="str">
        <f>"1000000002"</f>
        <v>1000000002</v>
      </c>
      <c r="K1514" s="1" t="str">
        <f>"قير 85/100 - فله"</f>
        <v>قير 85/100 - فله</v>
      </c>
      <c r="L1514" s="1">
        <v>100</v>
      </c>
      <c r="M1514" s="1" t="str">
        <f>"مخازن قير اصفهان"</f>
        <v>مخازن قير اصفهان</v>
      </c>
      <c r="N1514" s="1">
        <v>11237</v>
      </c>
      <c r="O1514" s="1">
        <v>50035676</v>
      </c>
      <c r="P1514" s="1" t="str">
        <f>"  بنياد مسکن انقلاب اسلامي زنجان"</f>
        <v xml:space="preserve">  بنياد مسکن انقلاب اسلامي زنجان</v>
      </c>
      <c r="Q1514" s="1">
        <v>62</v>
      </c>
      <c r="R1514" s="1" t="str">
        <f>"فروش داخلي - سازمان بنيادمسكن انقلاب اسلامي"</f>
        <v>فروش داخلي - سازمان بنيادمسكن انقلاب اسلامي</v>
      </c>
      <c r="S1514" s="1" t="str">
        <f>"قرارداد فروش"</f>
        <v>قرارداد فروش</v>
      </c>
      <c r="T1514" s="1" t="str">
        <f>"ندارد"</f>
        <v>ندارد</v>
      </c>
      <c r="U1514" s="1" t="str">
        <f>"فتاح زاده سيداحمد(3843011)"</f>
        <v>فتاح زاده سيداحمد(3843011)</v>
      </c>
      <c r="V1514" s="1">
        <v>966200187</v>
      </c>
      <c r="W1514" s="1">
        <v>966200187</v>
      </c>
      <c r="X1514" s="1" t="str">
        <f>"1396506151"</f>
        <v>1396506151</v>
      </c>
      <c r="Y1514" s="1" t="str">
        <f>"96/05/25"</f>
        <v>96/05/25</v>
      </c>
      <c r="Z1514" s="1" t="str">
        <f>"22057/د"</f>
        <v>22057/د</v>
      </c>
      <c r="AA1514" s="1" t="str">
        <f>"بنيادمسكن انقلاب اسلامي"</f>
        <v>بنيادمسكن انقلاب اسلامي</v>
      </c>
      <c r="AB1514" s="1" t="str">
        <f>"96/05/24"</f>
        <v>96/05/24</v>
      </c>
      <c r="AC1514" s="1" t="str">
        <f>"استان زنجان"</f>
        <v>استان زنجان</v>
      </c>
      <c r="AD1514" s="1" t="str">
        <f>"96/05/25"</f>
        <v>96/05/25</v>
      </c>
      <c r="AE1514" s="1" t="str">
        <f>"اختتام"</f>
        <v>اختتام</v>
      </c>
      <c r="AF1514" s="1" t="str">
        <f>""</f>
        <v/>
      </c>
      <c r="AG1514" s="1" t="str">
        <f>""</f>
        <v/>
      </c>
      <c r="AH1514" s="1" t="str">
        <f>""</f>
        <v/>
      </c>
      <c r="AI1514" s="1" t="str">
        <f>""</f>
        <v/>
      </c>
      <c r="AJ1514" s="1" t="str">
        <f>""</f>
        <v/>
      </c>
      <c r="AK1514" s="1" t="str">
        <f>""</f>
        <v/>
      </c>
    </row>
    <row r="1515" spans="1:37">
      <c r="A1515" s="1">
        <v>282000</v>
      </c>
      <c r="B1515" s="1">
        <v>966200189</v>
      </c>
      <c r="C1515" s="1" t="str">
        <f>"تخليه - زنجان - کيلومتر 9 جاده ترانزيت ابهر قزوين کارخانه آسفالت نورين ابهر (شرکت زنجان سازگان)"</f>
        <v>تخليه - زنجان - کيلومتر 9 جاده ترانزيت ابهر قزوين کارخانه آسفالت نورين ابهر (شرکت زنجان سازگان)</v>
      </c>
      <c r="D1515" s="1">
        <v>8704</v>
      </c>
      <c r="E1515" s="1">
        <v>282000</v>
      </c>
      <c r="F1515" s="1">
        <v>96</v>
      </c>
      <c r="G1515" s="1">
        <v>0</v>
      </c>
      <c r="H1515" s="1" t="str">
        <f>"96/05/25"</f>
        <v>96/05/25</v>
      </c>
      <c r="I1515" s="1" t="str">
        <f>"كيلوگرم"</f>
        <v>كيلوگرم</v>
      </c>
      <c r="J1515" s="1" t="str">
        <f>"1000000002"</f>
        <v>1000000002</v>
      </c>
      <c r="K1515" s="1" t="str">
        <f>"قير 85/100 - فله"</f>
        <v>قير 85/100 - فله</v>
      </c>
      <c r="L1515" s="1">
        <v>100</v>
      </c>
      <c r="M1515" s="1" t="str">
        <f>"مخازن قير اصفهان"</f>
        <v>مخازن قير اصفهان</v>
      </c>
      <c r="N1515" s="1">
        <v>11237</v>
      </c>
      <c r="O1515" s="1">
        <v>50035678</v>
      </c>
      <c r="P1515" s="1" t="str">
        <f>"  بنياد مسکن انقلاب اسلامي زنجان"</f>
        <v xml:space="preserve">  بنياد مسکن انقلاب اسلامي زنجان</v>
      </c>
      <c r="Q1515" s="1">
        <v>62</v>
      </c>
      <c r="R1515" s="1" t="str">
        <f>"فروش داخلي - سازمان بنيادمسكن انقلاب اسلامي"</f>
        <v>فروش داخلي - سازمان بنيادمسكن انقلاب اسلامي</v>
      </c>
      <c r="S1515" s="1" t="str">
        <f>"قرارداد فروش"</f>
        <v>قرارداد فروش</v>
      </c>
      <c r="T1515" s="1" t="str">
        <f>"ندارد"</f>
        <v>ندارد</v>
      </c>
      <c r="U1515" s="1" t="str">
        <f>"فتاح زاده سيداحمد(3843011)"</f>
        <v>فتاح زاده سيداحمد(3843011)</v>
      </c>
      <c r="V1515" s="1">
        <v>966200189</v>
      </c>
      <c r="W1515" s="1">
        <v>966200189</v>
      </c>
      <c r="X1515" s="1" t="str">
        <f>"1396506172"</f>
        <v>1396506172</v>
      </c>
      <c r="Y1515" s="1" t="str">
        <f>"96/05/25"</f>
        <v>96/05/25</v>
      </c>
      <c r="Z1515" s="1" t="str">
        <f>"22054/د"</f>
        <v>22054/د</v>
      </c>
      <c r="AA1515" s="1" t="str">
        <f>"بنيادمسكن انقلاب اسلامي"</f>
        <v>بنيادمسكن انقلاب اسلامي</v>
      </c>
      <c r="AB1515" s="1" t="str">
        <f>"96/05/24"</f>
        <v>96/05/24</v>
      </c>
      <c r="AC1515" s="1" t="str">
        <f>"استان زنجان"</f>
        <v>استان زنجان</v>
      </c>
      <c r="AD1515" s="1" t="str">
        <f>"96/05/25"</f>
        <v>96/05/25</v>
      </c>
      <c r="AE1515" s="1" t="str">
        <f>"اختتام"</f>
        <v>اختتام</v>
      </c>
      <c r="AF1515" s="1" t="str">
        <f>""</f>
        <v/>
      </c>
      <c r="AG1515" s="1" t="str">
        <f>""</f>
        <v/>
      </c>
      <c r="AH1515" s="1" t="str">
        <f>""</f>
        <v/>
      </c>
      <c r="AI1515" s="1" t="str">
        <f>""</f>
        <v/>
      </c>
      <c r="AJ1515" s="1" t="str">
        <f>""</f>
        <v/>
      </c>
      <c r="AK1515" s="1" t="str">
        <f>""</f>
        <v/>
      </c>
    </row>
    <row r="1516" spans="1:37">
      <c r="A1516" s="1">
        <v>159000</v>
      </c>
      <c r="B1516" s="1">
        <v>966200680</v>
      </c>
      <c r="C1516" s="1" t="str">
        <f>"تخليه - زنجان - کيلومتر 9 جاده ترانزيت ابهر قزوين کارخانه آسفالت نورين ابهر (شرکت زنجان سازگان)"</f>
        <v>تخليه - زنجان - کيلومتر 9 جاده ترانزيت ابهر قزوين کارخانه آسفالت نورين ابهر (شرکت زنجان سازگان)</v>
      </c>
      <c r="D1516" s="1">
        <v>13350</v>
      </c>
      <c r="E1516" s="1">
        <v>159000</v>
      </c>
      <c r="F1516" s="1">
        <v>96</v>
      </c>
      <c r="G1516" s="1">
        <v>0</v>
      </c>
      <c r="H1516" s="1" t="str">
        <f>"96/12/19"</f>
        <v>96/12/19</v>
      </c>
      <c r="I1516" s="1" t="str">
        <f>"كيلوگرم"</f>
        <v>كيلوگرم</v>
      </c>
      <c r="J1516" s="1" t="str">
        <f>"1000000002"</f>
        <v>1000000002</v>
      </c>
      <c r="K1516" s="1" t="str">
        <f>"قير 85/100 - فله"</f>
        <v>قير 85/100 - فله</v>
      </c>
      <c r="L1516" s="1">
        <v>100</v>
      </c>
      <c r="M1516" s="1" t="str">
        <f>"مخازن قير اصفهان"</f>
        <v>مخازن قير اصفهان</v>
      </c>
      <c r="N1516" s="1">
        <v>11237</v>
      </c>
      <c r="O1516" s="1">
        <v>50038845</v>
      </c>
      <c r="P1516" s="1" t="str">
        <f>"  بنياد مسکن انقلاب اسلامي زنجان"</f>
        <v xml:space="preserve">  بنياد مسکن انقلاب اسلامي زنجان</v>
      </c>
      <c r="Q1516" s="1">
        <v>62</v>
      </c>
      <c r="R1516" s="1" t="str">
        <f>"فروش داخلي - سازمان بنيادمسكن انقلاب اسلامي"</f>
        <v>فروش داخلي - سازمان بنيادمسكن انقلاب اسلامي</v>
      </c>
      <c r="S1516" s="1" t="str">
        <f>"قرارداد فروش"</f>
        <v>قرارداد فروش</v>
      </c>
      <c r="T1516" s="1" t="str">
        <f>"ندارد"</f>
        <v>ندارد</v>
      </c>
      <c r="U1516" s="1" t="str">
        <f>"فتاح زاده سيداحمد(3843011)"</f>
        <v>فتاح زاده سيداحمد(3843011)</v>
      </c>
      <c r="V1516" s="1">
        <v>966200680</v>
      </c>
      <c r="W1516" s="1">
        <v>966200680</v>
      </c>
      <c r="X1516" s="1" t="str">
        <f>"1396553738"</f>
        <v>1396553738</v>
      </c>
      <c r="Y1516" s="1" t="str">
        <f>"96/12/19"</f>
        <v>96/12/19</v>
      </c>
      <c r="Z1516" s="1" t="str">
        <f>"57552/د"</f>
        <v>57552/د</v>
      </c>
      <c r="AA1516" s="1" t="str">
        <f>"بنيادمسكن انقلاب اسلامي"</f>
        <v>بنيادمسكن انقلاب اسلامي</v>
      </c>
      <c r="AB1516" s="1" t="str">
        <f>"96/12/16"</f>
        <v>96/12/16</v>
      </c>
      <c r="AC1516" s="1" t="str">
        <f>"استان زنجان"</f>
        <v>استان زنجان</v>
      </c>
      <c r="AD1516" s="1" t="str">
        <f>"96/12/19"</f>
        <v>96/12/19</v>
      </c>
      <c r="AE1516" s="1" t="str">
        <f>"اختتام"</f>
        <v>اختتام</v>
      </c>
      <c r="AF1516" s="1" t="str">
        <f>""</f>
        <v/>
      </c>
      <c r="AG1516" s="1" t="str">
        <f>""</f>
        <v/>
      </c>
      <c r="AH1516" s="1" t="str">
        <f>""</f>
        <v/>
      </c>
      <c r="AI1516" s="1" t="str">
        <f>""</f>
        <v/>
      </c>
      <c r="AJ1516" s="1" t="str">
        <f>""</f>
        <v/>
      </c>
      <c r="AK1516" s="1" t="str">
        <f>""</f>
        <v/>
      </c>
    </row>
    <row r="1517" spans="1:37">
      <c r="A1517" s="1">
        <v>36266</v>
      </c>
      <c r="B1517" s="1">
        <v>962000437</v>
      </c>
      <c r="C1517" s="1" t="str">
        <f>"تخليه اصفهان سميرم حناكيلومتر10جاده كمه جنب سنگ شكن كارخانه آسفالت شهرداري حنا"</f>
        <v>تخليه اصفهان سميرم حناكيلومتر10جاده كمه جنب سنگ شكن كارخانه آسفالت شهرداري حنا</v>
      </c>
      <c r="D1517" s="1">
        <v>12820</v>
      </c>
      <c r="E1517" s="1">
        <v>36042</v>
      </c>
      <c r="F1517" s="1">
        <v>96</v>
      </c>
      <c r="G1517" s="1">
        <v>224</v>
      </c>
      <c r="H1517" s="1" t="str">
        <f>"96/09/20"</f>
        <v>96/09/20</v>
      </c>
      <c r="I1517" s="1" t="str">
        <f>"كيلوگرم"</f>
        <v>كيلوگرم</v>
      </c>
      <c r="J1517" s="1" t="str">
        <f>"0000000076"</f>
        <v>0000000076</v>
      </c>
      <c r="K1517" s="1" t="str">
        <f>"قير 60/70 - فله"</f>
        <v>قير 60/70 - فله</v>
      </c>
      <c r="L1517" s="1">
        <v>100</v>
      </c>
      <c r="M1517" s="1" t="str">
        <f>"مخازن قير اصفهان"</f>
        <v>مخازن قير اصفهان</v>
      </c>
      <c r="N1517" s="1">
        <v>10652</v>
      </c>
      <c r="O1517" s="1">
        <v>50037759</v>
      </c>
      <c r="P1517" s="1" t="str">
        <f>"  شهرداري ونك"</f>
        <v xml:space="preserve">  شهرداري ونك</v>
      </c>
      <c r="Q1517" s="1">
        <v>20</v>
      </c>
      <c r="R1517" s="1" t="str">
        <f>"فروش داخلي - سازمان شهرداري ها و دهياري هاي كشور"</f>
        <v>فروش داخلي - سازمان شهرداري ها و دهياري هاي كشور</v>
      </c>
      <c r="S1517" s="1" t="str">
        <f>"قرارداد فروش"</f>
        <v>قرارداد فروش</v>
      </c>
      <c r="T1517" s="1" t="str">
        <f>"ندارد"</f>
        <v>ندارد</v>
      </c>
      <c r="U1517" s="1" t="str">
        <f>"تعاوني جم گستر (1001 ج 89)"</f>
        <v>تعاوني جم گستر (1001 ج 89)</v>
      </c>
      <c r="V1517" s="1">
        <v>962000437</v>
      </c>
      <c r="W1517" s="1">
        <v>962000437</v>
      </c>
      <c r="X1517" s="1" t="str">
        <f>"1396529711"</f>
        <v>1396529711</v>
      </c>
      <c r="Y1517" s="1" t="str">
        <f>"96/09/20"</f>
        <v>96/09/20</v>
      </c>
      <c r="Z1517" s="1" t="str">
        <f>"37279مرحله دوم"</f>
        <v>37279مرحله دوم</v>
      </c>
      <c r="AA1517" s="1" t="str">
        <f>"شهرداريها"</f>
        <v>شهرداريها</v>
      </c>
      <c r="AB1517" s="1" t="str">
        <f>"96/09/05"</f>
        <v>96/09/05</v>
      </c>
      <c r="AC1517" s="1" t="str">
        <f>"استان اصفهان"</f>
        <v>استان اصفهان</v>
      </c>
      <c r="AD1517" s="1" t="str">
        <f>"96/09/13"</f>
        <v>96/09/13</v>
      </c>
      <c r="AE1517" s="1" t="str">
        <f>"تاييدشده"</f>
        <v>تاييدشده</v>
      </c>
      <c r="AF1517" s="1" t="str">
        <f>""</f>
        <v/>
      </c>
      <c r="AG1517" s="1" t="str">
        <f>""</f>
        <v/>
      </c>
      <c r="AH1517" s="1" t="str">
        <f>""</f>
        <v/>
      </c>
      <c r="AI1517" s="1" t="str">
        <f>""</f>
        <v/>
      </c>
      <c r="AJ1517" s="1" t="str">
        <f>""</f>
        <v/>
      </c>
      <c r="AK1517" s="1" t="str">
        <f>""</f>
        <v/>
      </c>
    </row>
    <row r="1518" spans="1:37">
      <c r="A1518" s="1">
        <v>112232</v>
      </c>
      <c r="B1518" s="1">
        <v>962000051</v>
      </c>
      <c r="C1518" s="1" t="str">
        <f>"تخليه اصفهان اشترجان منطقه صنعتي كارخانه ماژين سازه چكاد"</f>
        <v>تخليه اصفهان اشترجان منطقه صنعتي كارخانه ماژين سازه چكاد</v>
      </c>
      <c r="D1518" s="1">
        <v>9113</v>
      </c>
      <c r="E1518" s="1">
        <v>112232</v>
      </c>
      <c r="F1518" s="1">
        <v>96</v>
      </c>
      <c r="G1518" s="1">
        <v>0</v>
      </c>
      <c r="H1518" s="1" t="str">
        <f>"96/07/03"</f>
        <v>96/07/03</v>
      </c>
      <c r="I1518" s="1" t="str">
        <f>"كيلوگرم"</f>
        <v>كيلوگرم</v>
      </c>
      <c r="J1518" s="1" t="str">
        <f>"0000000076"</f>
        <v>0000000076</v>
      </c>
      <c r="K1518" s="1" t="str">
        <f>"قير 60/70 - فله"</f>
        <v>قير 60/70 - فله</v>
      </c>
      <c r="L1518" s="1">
        <v>100</v>
      </c>
      <c r="M1518" s="1" t="str">
        <f>"مخازن قير اصفهان"</f>
        <v>مخازن قير اصفهان</v>
      </c>
      <c r="N1518" s="1">
        <v>10655</v>
      </c>
      <c r="O1518" s="1">
        <v>50036199</v>
      </c>
      <c r="P1518" s="1" t="str">
        <f>"  شهرداري سده لنجان"</f>
        <v xml:space="preserve">  شهرداري سده لنجان</v>
      </c>
      <c r="Q1518" s="1">
        <v>20</v>
      </c>
      <c r="R1518" s="1" t="str">
        <f>"فروش داخلي - سازمان شهرداري ها و دهياري هاي كشور"</f>
        <v>فروش داخلي - سازمان شهرداري ها و دهياري هاي كشور</v>
      </c>
      <c r="S1518" s="1" t="str">
        <f>"قرارداد فروش"</f>
        <v>قرارداد فروش</v>
      </c>
      <c r="T1518" s="1" t="str">
        <f>"ندارد"</f>
        <v>ندارد</v>
      </c>
      <c r="U1518" s="1" t="str">
        <f>"تعاوني جم گستر (1001 ج 89)"</f>
        <v>تعاوني جم گستر (1001 ج 89)</v>
      </c>
      <c r="V1518" s="1">
        <v>962000051</v>
      </c>
      <c r="W1518" s="1">
        <v>962000051</v>
      </c>
      <c r="X1518" s="1" t="str">
        <f>"1396514467"</f>
        <v>1396514467</v>
      </c>
      <c r="Y1518" s="1" t="str">
        <f>"96/07/03"</f>
        <v>96/07/03</v>
      </c>
      <c r="Z1518" s="1" t="str">
        <f>"26774مرحله اول"</f>
        <v>26774مرحله اول</v>
      </c>
      <c r="AA1518" s="1" t="str">
        <f>"شهرداريها"</f>
        <v>شهرداريها</v>
      </c>
      <c r="AB1518" s="1" t="str">
        <f>"96/06/29"</f>
        <v>96/06/29</v>
      </c>
      <c r="AC1518" s="1" t="str">
        <f>"استان اصفهان"</f>
        <v>استان اصفهان</v>
      </c>
      <c r="AD1518" s="1" t="str">
        <f>"96/07/03"</f>
        <v>96/07/03</v>
      </c>
      <c r="AE1518" s="1" t="str">
        <f>"اختتام"</f>
        <v>اختتام</v>
      </c>
      <c r="AF1518" s="1" t="str">
        <f>""</f>
        <v/>
      </c>
      <c r="AG1518" s="1" t="str">
        <f>""</f>
        <v/>
      </c>
      <c r="AH1518" s="1" t="str">
        <f>""</f>
        <v/>
      </c>
      <c r="AI1518" s="1" t="str">
        <f>""</f>
        <v/>
      </c>
      <c r="AJ1518" s="1" t="str">
        <f>""</f>
        <v/>
      </c>
      <c r="AK1518" s="1" t="str">
        <f>""</f>
        <v/>
      </c>
    </row>
    <row r="1519" spans="1:37">
      <c r="A1519" s="1">
        <v>68000</v>
      </c>
      <c r="B1519" s="1">
        <v>962000002</v>
      </c>
      <c r="C1519" s="1" t="str">
        <f>"تخليه چهارمحال بختياري شهرستان لردگان منطقه فلاردكارخانه آسفالت ياسين گنج جانبازي"</f>
        <v>تخليه چهارمحال بختياري شهرستان لردگان منطقه فلاردكارخانه آسفالت ياسين گنج جانبازي</v>
      </c>
      <c r="D1519" s="1">
        <v>8198</v>
      </c>
      <c r="E1519" s="1">
        <v>66880</v>
      </c>
      <c r="F1519" s="1">
        <v>96</v>
      </c>
      <c r="G1519" s="1">
        <v>1120</v>
      </c>
      <c r="H1519" s="1" t="str">
        <f>"96/01/23"</f>
        <v>96/01/23</v>
      </c>
      <c r="I1519" s="1" t="str">
        <f>"كيلوگرم"</f>
        <v>كيلوگرم</v>
      </c>
      <c r="J1519" s="1" t="str">
        <f>"1000000002"</f>
        <v>1000000002</v>
      </c>
      <c r="K1519" s="1" t="str">
        <f>"قير 85/100 - فله"</f>
        <v>قير 85/100 - فله</v>
      </c>
      <c r="L1519" s="1">
        <v>100</v>
      </c>
      <c r="M1519" s="1" t="str">
        <f>"مخازن قير اصفهان"</f>
        <v>مخازن قير اصفهان</v>
      </c>
      <c r="N1519" s="1">
        <v>9669</v>
      </c>
      <c r="O1519" s="1">
        <v>50034544</v>
      </c>
      <c r="P1519" s="1" t="str">
        <f>"  شهرداري مال خليفه"</f>
        <v xml:space="preserve">  شهرداري مال خليفه</v>
      </c>
      <c r="Q1519" s="1">
        <v>20</v>
      </c>
      <c r="R1519" s="1" t="str">
        <f>"فروش داخلي - سازمان شهرداري ها و دهياري هاي كشور"</f>
        <v>فروش داخلي - سازمان شهرداري ها و دهياري هاي كشور</v>
      </c>
      <c r="S1519" s="1" t="str">
        <f>"قرارداد فروش"</f>
        <v>قرارداد فروش</v>
      </c>
      <c r="T1519" s="1" t="str">
        <f>"ندارد"</f>
        <v>ندارد</v>
      </c>
      <c r="U1519" s="1" t="str">
        <f>"قره باغي مجيد(1871065)"</f>
        <v>قره باغي مجيد(1871065)</v>
      </c>
      <c r="V1519" s="1">
        <v>962000002</v>
      </c>
      <c r="W1519" s="1">
        <v>962000002</v>
      </c>
      <c r="X1519" s="1" t="str">
        <f>"1396474036"</f>
        <v>1396474036</v>
      </c>
      <c r="Y1519" s="1" t="str">
        <f>"96/01/23"</f>
        <v>96/01/23</v>
      </c>
      <c r="Z1519" s="1" t="str">
        <f>"1326"</f>
        <v>1326</v>
      </c>
      <c r="AA1519" s="1" t="str">
        <f>"شهرداريها"</f>
        <v>شهرداريها</v>
      </c>
      <c r="AB1519" s="1" t="str">
        <f>"96/01/21"</f>
        <v>96/01/21</v>
      </c>
      <c r="AC1519" s="1" t="str">
        <f>"استان چهارمحال بختياري"</f>
        <v>استان چهارمحال بختياري</v>
      </c>
      <c r="AD1519" s="1" t="str">
        <f>"96/01/23"</f>
        <v>96/01/23</v>
      </c>
      <c r="AE1519" s="1" t="str">
        <f>"اختتام"</f>
        <v>اختتام</v>
      </c>
      <c r="AF1519" s="1" t="str">
        <f>""</f>
        <v/>
      </c>
      <c r="AG1519" s="1" t="str">
        <f>""</f>
        <v/>
      </c>
      <c r="AH1519" s="1" t="str">
        <f>""</f>
        <v/>
      </c>
      <c r="AI1519" s="1" t="str">
        <f>""</f>
        <v/>
      </c>
      <c r="AJ1519" s="1" t="str">
        <f>""</f>
        <v/>
      </c>
      <c r="AK1519" s="1" t="str">
        <f>""</f>
        <v/>
      </c>
    </row>
    <row r="1520" spans="1:37">
      <c r="A1520" s="1">
        <v>63000</v>
      </c>
      <c r="B1520" s="1">
        <v>966200532</v>
      </c>
      <c r="C1520" s="1" t="str">
        <f>"تخليه - چهارمحال و بختياري-اردل کارخانه آسفالت شرکت دشتاونددز پارت"</f>
        <v>تخليه - چهارمحال و بختياري-اردل کارخانه آسفالت شرکت دشتاونددز پارت</v>
      </c>
      <c r="D1520" s="1">
        <v>12850</v>
      </c>
      <c r="E1520" s="1">
        <v>62240</v>
      </c>
      <c r="F1520" s="1">
        <v>96</v>
      </c>
      <c r="G1520" s="1">
        <v>760</v>
      </c>
      <c r="H1520" s="1" t="str">
        <f>"96/10/25"</f>
        <v>96/10/25</v>
      </c>
      <c r="I1520" s="1" t="str">
        <f>"كيلوگرم"</f>
        <v>كيلوگرم</v>
      </c>
      <c r="J1520" s="1" t="str">
        <f>"1000000002"</f>
        <v>1000000002</v>
      </c>
      <c r="K1520" s="1" t="str">
        <f>"قير 85/100 - فله"</f>
        <v>قير 85/100 - فله</v>
      </c>
      <c r="L1520" s="1">
        <v>100</v>
      </c>
      <c r="M1520" s="1" t="str">
        <f>"مخازن قير اصفهان"</f>
        <v>مخازن قير اصفهان</v>
      </c>
      <c r="N1520" s="1">
        <v>11127</v>
      </c>
      <c r="O1520" s="1">
        <v>50038175</v>
      </c>
      <c r="P1520" s="1" t="str">
        <f>"  عمران سازه ميلاس"</f>
        <v xml:space="preserve">  عمران سازه ميلاس</v>
      </c>
      <c r="Q1520" s="1">
        <v>62</v>
      </c>
      <c r="R1520" s="1" t="str">
        <f>"فروش داخلي - سازمان بنيادمسكن انقلاب اسلامي"</f>
        <v>فروش داخلي - سازمان بنيادمسكن انقلاب اسلامي</v>
      </c>
      <c r="S1520" s="1" t="str">
        <f>"قرارداد فروش"</f>
        <v>قرارداد فروش</v>
      </c>
      <c r="T1520" s="1" t="str">
        <f>"ندارد"</f>
        <v>ندارد</v>
      </c>
      <c r="U1520" s="1" t="str">
        <f>"مظلوم فريبرز(1008ج89)"</f>
        <v>مظلوم فريبرز(1008ج89)</v>
      </c>
      <c r="V1520" s="1">
        <v>966200532</v>
      </c>
      <c r="W1520" s="1">
        <v>966200532</v>
      </c>
      <c r="X1520" s="1" t="str">
        <f>"1396540148"</f>
        <v>1396540148</v>
      </c>
      <c r="Y1520" s="1" t="str">
        <f>"96/10/25"</f>
        <v>96/10/25</v>
      </c>
      <c r="Z1520" s="1" t="str">
        <f>"47459/د"</f>
        <v>47459/د</v>
      </c>
      <c r="AA1520" s="1" t="str">
        <f>"بنيادمسكن انقلاب اسلامي"</f>
        <v>بنيادمسكن انقلاب اسلامي</v>
      </c>
      <c r="AB1520" s="1" t="str">
        <f>"96/10/24"</f>
        <v>96/10/24</v>
      </c>
      <c r="AC1520" s="1" t="str">
        <f>"استان چهارمحال بختياري"</f>
        <v>استان چهارمحال بختياري</v>
      </c>
      <c r="AD1520" s="1" t="str">
        <f>"96/10/25"</f>
        <v>96/10/25</v>
      </c>
      <c r="AE1520" s="1" t="str">
        <f>"اختتام"</f>
        <v>اختتام</v>
      </c>
      <c r="AF1520" s="1" t="str">
        <f>""</f>
        <v/>
      </c>
      <c r="AG1520" s="1" t="str">
        <f>""</f>
        <v/>
      </c>
      <c r="AH1520" s="1" t="str">
        <f>""</f>
        <v/>
      </c>
      <c r="AI1520" s="1" t="str">
        <f>""</f>
        <v/>
      </c>
      <c r="AJ1520" s="1" t="str">
        <f>""</f>
        <v/>
      </c>
      <c r="AK1520" s="1" t="str">
        <f>""</f>
        <v/>
      </c>
    </row>
    <row r="1521" spans="1:37">
      <c r="A1521" s="1">
        <v>102841</v>
      </c>
      <c r="B1521" s="1">
        <v>962000016</v>
      </c>
      <c r="C1521" s="1" t="str">
        <f>"تخليه -كاشان كيلومتر17جاده قمصر-شركت بتن آسفالت مهر"</f>
        <v>تخليه -كاشان كيلومتر17جاده قمصر-شركت بتن آسفالت مهر</v>
      </c>
      <c r="D1521" s="1">
        <v>9113</v>
      </c>
      <c r="E1521" s="1">
        <v>102841</v>
      </c>
      <c r="F1521" s="1">
        <v>96</v>
      </c>
      <c r="G1521" s="1">
        <v>0</v>
      </c>
      <c r="H1521" s="1" t="str">
        <f>"96/07/03"</f>
        <v>96/07/03</v>
      </c>
      <c r="I1521" s="1" t="str">
        <f>"كيلوگرم"</f>
        <v>كيلوگرم</v>
      </c>
      <c r="J1521" s="1" t="str">
        <f>"0000000076"</f>
        <v>0000000076</v>
      </c>
      <c r="K1521" s="1" t="str">
        <f>"قير 60/70 - فله"</f>
        <v>قير 60/70 - فله</v>
      </c>
      <c r="L1521" s="1">
        <v>100</v>
      </c>
      <c r="M1521" s="1" t="str">
        <f>"مخازن قير اصفهان"</f>
        <v>مخازن قير اصفهان</v>
      </c>
      <c r="N1521" s="1">
        <v>10656</v>
      </c>
      <c r="O1521" s="1">
        <v>50036157</v>
      </c>
      <c r="P1521" s="1" t="str">
        <f>"  شهرداري برزك"</f>
        <v xml:space="preserve">  شهرداري برزك</v>
      </c>
      <c r="Q1521" s="1">
        <v>20</v>
      </c>
      <c r="R1521" s="1" t="str">
        <f>"فروش داخلي - سازمان شهرداري ها و دهياري هاي كشور"</f>
        <v>فروش داخلي - سازمان شهرداري ها و دهياري هاي كشور</v>
      </c>
      <c r="S1521" s="1" t="str">
        <f>"قرارداد فروش"</f>
        <v>قرارداد فروش</v>
      </c>
      <c r="T1521" s="1" t="str">
        <f>"ندارد"</f>
        <v>ندارد</v>
      </c>
      <c r="U1521" s="1" t="str">
        <f>"تعاوني جم گستر (1001 ج 89)"</f>
        <v>تعاوني جم گستر (1001 ج 89)</v>
      </c>
      <c r="V1521" s="1">
        <v>962000016</v>
      </c>
      <c r="W1521" s="1">
        <v>962000016</v>
      </c>
      <c r="X1521" s="1" t="str">
        <f>"1396514467"</f>
        <v>1396514467</v>
      </c>
      <c r="Y1521" s="1" t="str">
        <f>"96/07/03"</f>
        <v>96/07/03</v>
      </c>
      <c r="Z1521" s="1" t="str">
        <f>"26883مرحله اول"</f>
        <v>26883مرحله اول</v>
      </c>
      <c r="AA1521" s="1" t="str">
        <f>"شهرداريها"</f>
        <v>شهرداريها</v>
      </c>
      <c r="AB1521" s="1" t="str">
        <f>"96/06/29"</f>
        <v>96/06/29</v>
      </c>
      <c r="AC1521" s="1" t="str">
        <f>"استان اصفهان"</f>
        <v>استان اصفهان</v>
      </c>
      <c r="AD1521" s="1" t="str">
        <f>"96/07/03"</f>
        <v>96/07/03</v>
      </c>
      <c r="AE1521" s="1" t="str">
        <f>"اختتام"</f>
        <v>اختتام</v>
      </c>
      <c r="AF1521" s="1" t="str">
        <f>""</f>
        <v/>
      </c>
      <c r="AG1521" s="1" t="str">
        <f>""</f>
        <v/>
      </c>
      <c r="AH1521" s="1" t="str">
        <f>""</f>
        <v/>
      </c>
      <c r="AI1521" s="1" t="str">
        <f>""</f>
        <v/>
      </c>
      <c r="AJ1521" s="1" t="str">
        <f>""</f>
        <v/>
      </c>
      <c r="AK1521" s="1" t="str">
        <f>""</f>
        <v/>
      </c>
    </row>
    <row r="1522" spans="1:37">
      <c r="A1522" s="1">
        <v>40728</v>
      </c>
      <c r="B1522" s="1">
        <v>962000471</v>
      </c>
      <c r="C1522" s="1" t="str">
        <f>"تخليه اصفهان جاده سيمان سپاهان شهرك صنعتي اشترجان شركت ماژين سازه چكاد"</f>
        <v>تخليه اصفهان جاده سيمان سپاهان شهرك صنعتي اشترجان شركت ماژين سازه چكاد</v>
      </c>
      <c r="D1522" s="1">
        <v>12820</v>
      </c>
      <c r="E1522" s="1">
        <v>40728</v>
      </c>
      <c r="F1522" s="1">
        <v>96</v>
      </c>
      <c r="G1522" s="1">
        <v>0</v>
      </c>
      <c r="H1522" s="1" t="str">
        <f>"96/09/20"</f>
        <v>96/09/20</v>
      </c>
      <c r="I1522" s="1" t="str">
        <f>"كيلوگرم"</f>
        <v>كيلوگرم</v>
      </c>
      <c r="J1522" s="1" t="str">
        <f>"0000000076"</f>
        <v>0000000076</v>
      </c>
      <c r="K1522" s="1" t="str">
        <f>"قير 60/70 - فله"</f>
        <v>قير 60/70 - فله</v>
      </c>
      <c r="L1522" s="1">
        <v>100</v>
      </c>
      <c r="M1522" s="1" t="str">
        <f>"مخازن قير اصفهان"</f>
        <v>مخازن قير اصفهان</v>
      </c>
      <c r="N1522" s="1">
        <v>10658</v>
      </c>
      <c r="O1522" s="1">
        <v>50037793</v>
      </c>
      <c r="P1522" s="1" t="str">
        <f>"  شهرداري ورنامخواست"</f>
        <v xml:space="preserve">  شهرداري ورنامخواست</v>
      </c>
      <c r="Q1522" s="1">
        <v>20</v>
      </c>
      <c r="R1522" s="1" t="str">
        <f>"فروش داخلي - سازمان شهرداري ها و دهياري هاي كشور"</f>
        <v>فروش داخلي - سازمان شهرداري ها و دهياري هاي كشور</v>
      </c>
      <c r="S1522" s="1" t="str">
        <f>"قرارداد فروش"</f>
        <v>قرارداد فروش</v>
      </c>
      <c r="T1522" s="1" t="str">
        <f>"ندارد"</f>
        <v>ندارد</v>
      </c>
      <c r="U1522" s="1" t="str">
        <f>"تعاوني جم گستر (1001 ج 89)"</f>
        <v>تعاوني جم گستر (1001 ج 89)</v>
      </c>
      <c r="V1522" s="1">
        <v>962000471</v>
      </c>
      <c r="W1522" s="1">
        <v>962000471</v>
      </c>
      <c r="X1522" s="1" t="str">
        <f>"1396529711"</f>
        <v>1396529711</v>
      </c>
      <c r="Y1522" s="1" t="str">
        <f>"96/09/20"</f>
        <v>96/09/20</v>
      </c>
      <c r="Z1522" s="1" t="str">
        <f>"37278مرحله دوم"</f>
        <v>37278مرحله دوم</v>
      </c>
      <c r="AA1522" s="1" t="str">
        <f>"شهرداريها"</f>
        <v>شهرداريها</v>
      </c>
      <c r="AB1522" s="1" t="str">
        <f>"96/09/05"</f>
        <v>96/09/05</v>
      </c>
      <c r="AC1522" s="1" t="str">
        <f>"استان اصفهان"</f>
        <v>استان اصفهان</v>
      </c>
      <c r="AD1522" s="1" t="str">
        <f>"96/09/13"</f>
        <v>96/09/13</v>
      </c>
      <c r="AE1522" s="1" t="str">
        <f>"تاييدشده"</f>
        <v>تاييدشده</v>
      </c>
      <c r="AF1522" s="1" t="str">
        <f>""</f>
        <v/>
      </c>
      <c r="AG1522" s="1" t="str">
        <f>""</f>
        <v/>
      </c>
      <c r="AH1522" s="1" t="str">
        <f>""</f>
        <v/>
      </c>
      <c r="AI1522" s="1" t="str">
        <f>""</f>
        <v/>
      </c>
      <c r="AJ1522" s="1" t="str">
        <f>""</f>
        <v/>
      </c>
      <c r="AK1522" s="1" t="str">
        <f>""</f>
        <v/>
      </c>
    </row>
    <row r="1523" spans="1:37">
      <c r="A1523" s="1">
        <v>36105</v>
      </c>
      <c r="B1523" s="1">
        <v>962000399</v>
      </c>
      <c r="C1523" s="1" t="str">
        <f>"تخليه اصفهان جاده حبيب آبادفرعي شالباف كارخانه آسفالت مهدي"</f>
        <v>تخليه اصفهان جاده حبيب آبادفرعي شالباف كارخانه آسفالت مهدي</v>
      </c>
      <c r="D1523" s="1">
        <v>12820</v>
      </c>
      <c r="E1523" s="1">
        <v>36105</v>
      </c>
      <c r="F1523" s="1">
        <v>96</v>
      </c>
      <c r="G1523" s="1">
        <v>0</v>
      </c>
      <c r="H1523" s="1" t="str">
        <f>"96/09/20"</f>
        <v>96/09/20</v>
      </c>
      <c r="I1523" s="1" t="str">
        <f>"كيلوگرم"</f>
        <v>كيلوگرم</v>
      </c>
      <c r="J1523" s="1" t="str">
        <f>"0000000076"</f>
        <v>0000000076</v>
      </c>
      <c r="K1523" s="1" t="str">
        <f>"قير 60/70 - فله"</f>
        <v>قير 60/70 - فله</v>
      </c>
      <c r="L1523" s="1">
        <v>100</v>
      </c>
      <c r="M1523" s="1" t="str">
        <f>"مخازن قير اصفهان"</f>
        <v>مخازن قير اصفهان</v>
      </c>
      <c r="N1523" s="1">
        <v>10674</v>
      </c>
      <c r="O1523" s="1">
        <v>50037712</v>
      </c>
      <c r="P1523" s="1" t="str">
        <f>"  شهرداري مهاباداصفهان"</f>
        <v xml:space="preserve">  شهرداري مهاباداصفهان</v>
      </c>
      <c r="Q1523" s="1">
        <v>20</v>
      </c>
      <c r="R1523" s="1" t="str">
        <f>"فروش داخلي - سازمان شهرداري ها و دهياري هاي كشور"</f>
        <v>فروش داخلي - سازمان شهرداري ها و دهياري هاي كشور</v>
      </c>
      <c r="S1523" s="1" t="str">
        <f>"قرارداد فروش"</f>
        <v>قرارداد فروش</v>
      </c>
      <c r="T1523" s="1" t="str">
        <f>"ندارد"</f>
        <v>ندارد</v>
      </c>
      <c r="U1523" s="1" t="str">
        <f>"تعاوني جم گستر (1001 ج 89)"</f>
        <v>تعاوني جم گستر (1001 ج 89)</v>
      </c>
      <c r="V1523" s="1">
        <v>962000399</v>
      </c>
      <c r="W1523" s="1">
        <v>962000399</v>
      </c>
      <c r="X1523" s="1" t="str">
        <f>"1396529711"</f>
        <v>1396529711</v>
      </c>
      <c r="Y1523" s="1" t="str">
        <f>"96/09/20"</f>
        <v>96/09/20</v>
      </c>
      <c r="Z1523" s="1" t="str">
        <f>"37249مرحله دوم"</f>
        <v>37249مرحله دوم</v>
      </c>
      <c r="AA1523" s="1" t="str">
        <f>"شهرداريها"</f>
        <v>شهرداريها</v>
      </c>
      <c r="AB1523" s="1" t="str">
        <f>"96/09/05"</f>
        <v>96/09/05</v>
      </c>
      <c r="AC1523" s="1" t="str">
        <f>"استان اصفهان"</f>
        <v>استان اصفهان</v>
      </c>
      <c r="AD1523" s="1" t="str">
        <f>"96/09/13"</f>
        <v>96/09/13</v>
      </c>
      <c r="AE1523" s="1" t="str">
        <f>"اختتام"</f>
        <v>اختتام</v>
      </c>
      <c r="AF1523" s="1" t="str">
        <f>""</f>
        <v/>
      </c>
      <c r="AG1523" s="1" t="str">
        <f>""</f>
        <v/>
      </c>
      <c r="AH1523" s="1" t="str">
        <f>""</f>
        <v/>
      </c>
      <c r="AI1523" s="1" t="str">
        <f>""</f>
        <v/>
      </c>
      <c r="AJ1523" s="1" t="str">
        <f>""</f>
        <v/>
      </c>
      <c r="AK1523" s="1" t="str">
        <f>""</f>
        <v/>
      </c>
    </row>
    <row r="1524" spans="1:37">
      <c r="A1524" s="1">
        <v>105653</v>
      </c>
      <c r="B1524" s="1">
        <v>962000060</v>
      </c>
      <c r="C1524" s="1" t="str">
        <f>"تخليه -اصفهان -كيلومتر20جاده علويجه -شركت اصفهان مترو"</f>
        <v>تخليه -اصفهان -كيلومتر20جاده علويجه -شركت اصفهان مترو</v>
      </c>
      <c r="D1524" s="1">
        <v>9113</v>
      </c>
      <c r="E1524" s="1">
        <v>105653</v>
      </c>
      <c r="F1524" s="1">
        <v>96</v>
      </c>
      <c r="G1524" s="1">
        <v>0</v>
      </c>
      <c r="H1524" s="1" t="str">
        <f>"96/07/03"</f>
        <v>96/07/03</v>
      </c>
      <c r="I1524" s="1" t="str">
        <f>"كيلوگرم"</f>
        <v>كيلوگرم</v>
      </c>
      <c r="J1524" s="1" t="str">
        <f>"0000000076"</f>
        <v>0000000076</v>
      </c>
      <c r="K1524" s="1" t="str">
        <f>"قير 60/70 - فله"</f>
        <v>قير 60/70 - فله</v>
      </c>
      <c r="L1524" s="1">
        <v>100</v>
      </c>
      <c r="M1524" s="1" t="str">
        <f>"مخازن قير اصفهان"</f>
        <v>مخازن قير اصفهان</v>
      </c>
      <c r="N1524" s="1">
        <v>10677</v>
      </c>
      <c r="O1524" s="1">
        <v>50036208</v>
      </c>
      <c r="P1524" s="1" t="str">
        <f>"  شهرداري علويجه"</f>
        <v xml:space="preserve">  شهرداري علويجه</v>
      </c>
      <c r="Q1524" s="1">
        <v>20</v>
      </c>
      <c r="R1524" s="1" t="str">
        <f>"فروش داخلي - سازمان شهرداري ها و دهياري هاي كشور"</f>
        <v>فروش داخلي - سازمان شهرداري ها و دهياري هاي كشور</v>
      </c>
      <c r="S1524" s="1" t="str">
        <f>"قرارداد فروش"</f>
        <v>قرارداد فروش</v>
      </c>
      <c r="T1524" s="1" t="str">
        <f>"ندارد"</f>
        <v>ندارد</v>
      </c>
      <c r="U1524" s="1" t="str">
        <f>"تعاوني جم گستر (1001 ج 89)"</f>
        <v>تعاوني جم گستر (1001 ج 89)</v>
      </c>
      <c r="V1524" s="1">
        <v>962000060</v>
      </c>
      <c r="W1524" s="1">
        <v>962000060</v>
      </c>
      <c r="X1524" s="1" t="str">
        <f>"1396514467"</f>
        <v>1396514467</v>
      </c>
      <c r="Y1524" s="1" t="str">
        <f>"96/07/03"</f>
        <v>96/07/03</v>
      </c>
      <c r="Z1524" s="1" t="str">
        <f>"26707مرحله اول"</f>
        <v>26707مرحله اول</v>
      </c>
      <c r="AA1524" s="1" t="str">
        <f>"شهرداريها"</f>
        <v>شهرداريها</v>
      </c>
      <c r="AB1524" s="1" t="str">
        <f>"96/06/29"</f>
        <v>96/06/29</v>
      </c>
      <c r="AC1524" s="1" t="str">
        <f>"استان اصفهان"</f>
        <v>استان اصفهان</v>
      </c>
      <c r="AD1524" s="1" t="str">
        <f>"96/07/03"</f>
        <v>96/07/03</v>
      </c>
      <c r="AE1524" s="1" t="str">
        <f>"اختتام"</f>
        <v>اختتام</v>
      </c>
      <c r="AF1524" s="1" t="str">
        <f>""</f>
        <v/>
      </c>
      <c r="AG1524" s="1" t="str">
        <f>""</f>
        <v/>
      </c>
      <c r="AH1524" s="1" t="str">
        <f>""</f>
        <v/>
      </c>
      <c r="AI1524" s="1" t="str">
        <f>""</f>
        <v/>
      </c>
      <c r="AJ1524" s="1" t="str">
        <f>""</f>
        <v/>
      </c>
      <c r="AK1524" s="1" t="str">
        <f>""</f>
        <v/>
      </c>
    </row>
    <row r="1525" spans="1:37">
      <c r="A1525" s="1">
        <v>117000</v>
      </c>
      <c r="B1525" s="1">
        <v>966200697</v>
      </c>
      <c r="C1525" s="1" t="str">
        <f>"تخليه -کيلومتر 45 جاده زنجان بيجار بعداز کارخانه سيمان خمسه -کارخانه آسفالت کاچار گستر غرب"</f>
        <v>تخليه -کيلومتر 45 جاده زنجان بيجار بعداز کارخانه سيمان خمسه -کارخانه آسفالت کاچار گستر غرب</v>
      </c>
      <c r="D1525" s="1">
        <v>13350</v>
      </c>
      <c r="E1525" s="1">
        <v>116420</v>
      </c>
      <c r="F1525" s="1">
        <v>96</v>
      </c>
      <c r="G1525" s="1">
        <v>580</v>
      </c>
      <c r="H1525" s="1" t="str">
        <f>"96/12/24"</f>
        <v>96/12/24</v>
      </c>
      <c r="I1525" s="1" t="str">
        <f>"كيلوگرم"</f>
        <v>كيلوگرم</v>
      </c>
      <c r="J1525" s="1" t="str">
        <f>"1000000002"</f>
        <v>1000000002</v>
      </c>
      <c r="K1525" s="1" t="str">
        <f>"قير 85/100 - فله"</f>
        <v>قير 85/100 - فله</v>
      </c>
      <c r="L1525" s="1">
        <v>100</v>
      </c>
      <c r="M1525" s="1" t="str">
        <f>"مخازن قير اصفهان"</f>
        <v>مخازن قير اصفهان</v>
      </c>
      <c r="N1525" s="1">
        <v>11237</v>
      </c>
      <c r="O1525" s="1">
        <v>50038973</v>
      </c>
      <c r="P1525" s="1" t="str">
        <f>"  بنياد مسکن انقلاب اسلامي زنجان"</f>
        <v xml:space="preserve">  بنياد مسکن انقلاب اسلامي زنجان</v>
      </c>
      <c r="Q1525" s="1">
        <v>62</v>
      </c>
      <c r="R1525" s="1" t="str">
        <f>"فروش داخلي - سازمان بنيادمسكن انقلاب اسلامي"</f>
        <v>فروش داخلي - سازمان بنيادمسكن انقلاب اسلامي</v>
      </c>
      <c r="S1525" s="1" t="str">
        <f>"قرارداد فروش"</f>
        <v>قرارداد فروش</v>
      </c>
      <c r="T1525" s="1" t="str">
        <f>"ندارد"</f>
        <v>ندارد</v>
      </c>
      <c r="U1525" s="1" t="str">
        <f>"فتاح زاده سيداحمد(3843011)"</f>
        <v>فتاح زاده سيداحمد(3843011)</v>
      </c>
      <c r="V1525" s="1">
        <v>966200697</v>
      </c>
      <c r="W1525" s="1">
        <v>966200697</v>
      </c>
      <c r="X1525" s="1" t="str">
        <f>"1396555241"</f>
        <v>1396555241</v>
      </c>
      <c r="Y1525" s="1" t="str">
        <f>"96/12/24"</f>
        <v>96/12/24</v>
      </c>
      <c r="Z1525" s="1" t="str">
        <f>"58948/د"</f>
        <v>58948/د</v>
      </c>
      <c r="AA1525" s="1" t="str">
        <f>"بنيادمسكن انقلاب اسلامي"</f>
        <v>بنيادمسكن انقلاب اسلامي</v>
      </c>
      <c r="AB1525" s="1" t="str">
        <f>"96/12/22"</f>
        <v>96/12/22</v>
      </c>
      <c r="AC1525" s="1" t="str">
        <f>"استان زنجان"</f>
        <v>استان زنجان</v>
      </c>
      <c r="AD1525" s="1" t="str">
        <f>"96/12/23"</f>
        <v>96/12/23</v>
      </c>
      <c r="AE1525" s="1" t="str">
        <f>"اختتام"</f>
        <v>اختتام</v>
      </c>
      <c r="AF1525" s="1" t="str">
        <f>""</f>
        <v/>
      </c>
      <c r="AG1525" s="1" t="str">
        <f>""</f>
        <v/>
      </c>
      <c r="AH1525" s="1" t="str">
        <f>""</f>
        <v/>
      </c>
      <c r="AI1525" s="1" t="str">
        <f>""</f>
        <v/>
      </c>
      <c r="AJ1525" s="1" t="str">
        <f>""</f>
        <v/>
      </c>
      <c r="AK1525" s="1" t="str">
        <f>""</f>
        <v/>
      </c>
    </row>
    <row r="1526" spans="1:37">
      <c r="A1526" s="1">
        <v>156000</v>
      </c>
      <c r="B1526" s="1">
        <v>966200699</v>
      </c>
      <c r="C1526" s="1" t="str">
        <f>"تخليه - زنجان - کيلومتر 9 جاده ترانزيت ابهر قزوين کارخانه آسفالت نورين ابهر (شرکت زنجان سازگان)"</f>
        <v>تخليه - زنجان - کيلومتر 9 جاده ترانزيت ابهر قزوين کارخانه آسفالت نورين ابهر (شرکت زنجان سازگان)</v>
      </c>
      <c r="D1526" s="1">
        <v>13350</v>
      </c>
      <c r="E1526" s="1">
        <v>156000</v>
      </c>
      <c r="F1526" s="1">
        <v>96</v>
      </c>
      <c r="G1526" s="1">
        <v>0</v>
      </c>
      <c r="H1526" s="1" t="str">
        <f>"96/12/24"</f>
        <v>96/12/24</v>
      </c>
      <c r="I1526" s="1" t="str">
        <f>"كيلوگرم"</f>
        <v>كيلوگرم</v>
      </c>
      <c r="J1526" s="1" t="str">
        <f>"1000000002"</f>
        <v>1000000002</v>
      </c>
      <c r="K1526" s="1" t="str">
        <f>"قير 85/100 - فله"</f>
        <v>قير 85/100 - فله</v>
      </c>
      <c r="L1526" s="1">
        <v>100</v>
      </c>
      <c r="M1526" s="1" t="str">
        <f>"مخازن قير اصفهان"</f>
        <v>مخازن قير اصفهان</v>
      </c>
      <c r="N1526" s="1">
        <v>11237</v>
      </c>
      <c r="O1526" s="1">
        <v>50038975</v>
      </c>
      <c r="P1526" s="1" t="str">
        <f>"  بنياد مسکن انقلاب اسلامي زنجان"</f>
        <v xml:space="preserve">  بنياد مسکن انقلاب اسلامي زنجان</v>
      </c>
      <c r="Q1526" s="1">
        <v>62</v>
      </c>
      <c r="R1526" s="1" t="str">
        <f>"فروش داخلي - سازمان بنيادمسكن انقلاب اسلامي"</f>
        <v>فروش داخلي - سازمان بنيادمسكن انقلاب اسلامي</v>
      </c>
      <c r="S1526" s="1" t="str">
        <f>"قرارداد فروش"</f>
        <v>قرارداد فروش</v>
      </c>
      <c r="T1526" s="1" t="str">
        <f>"ندارد"</f>
        <v>ندارد</v>
      </c>
      <c r="U1526" s="1" t="str">
        <f>"فتاح زاده سيداحمد(3843011)"</f>
        <v>فتاح زاده سيداحمد(3843011)</v>
      </c>
      <c r="V1526" s="1">
        <v>966200699</v>
      </c>
      <c r="W1526" s="1">
        <v>966200699</v>
      </c>
      <c r="X1526" s="1" t="str">
        <f>"1396555241"</f>
        <v>1396555241</v>
      </c>
      <c r="Y1526" s="1" t="str">
        <f>"96/12/24"</f>
        <v>96/12/24</v>
      </c>
      <c r="Z1526" s="1" t="str">
        <f>"59213/د"</f>
        <v>59213/د</v>
      </c>
      <c r="AA1526" s="1" t="str">
        <f>"بنيادمسكن انقلاب اسلامي"</f>
        <v>بنيادمسكن انقلاب اسلامي</v>
      </c>
      <c r="AB1526" s="1" t="str">
        <f>"96/12/23"</f>
        <v>96/12/23</v>
      </c>
      <c r="AC1526" s="1" t="str">
        <f>"استان زنجان"</f>
        <v>استان زنجان</v>
      </c>
      <c r="AD1526" s="1" t="str">
        <f>"96/12/23"</f>
        <v>96/12/23</v>
      </c>
      <c r="AE1526" s="1" t="str">
        <f>"اختتام"</f>
        <v>اختتام</v>
      </c>
      <c r="AF1526" s="1" t="str">
        <f>""</f>
        <v/>
      </c>
      <c r="AG1526" s="1" t="str">
        <f>""</f>
        <v/>
      </c>
      <c r="AH1526" s="1" t="str">
        <f>""</f>
        <v/>
      </c>
      <c r="AI1526" s="1" t="str">
        <f>""</f>
        <v/>
      </c>
      <c r="AJ1526" s="1" t="str">
        <f>""</f>
        <v/>
      </c>
      <c r="AK1526" s="1" t="str">
        <f>""</f>
        <v/>
      </c>
    </row>
    <row r="1527" spans="1:37">
      <c r="A1527" s="1">
        <v>202000</v>
      </c>
      <c r="B1527" s="1">
        <v>966200744</v>
      </c>
      <c r="C1527" s="1" t="str">
        <f>"تخليه - زنجان - کيلومتر 9 جاده ترانزيت ابهر قزوين کارخانه آسفالت نورين ابهر (شرکت زنجان سازگان)"</f>
        <v>تخليه - زنجان - کيلومتر 9 جاده ترانزيت ابهر قزوين کارخانه آسفالت نورين ابهر (شرکت زنجان سازگان)</v>
      </c>
      <c r="D1527" s="1">
        <v>13350</v>
      </c>
      <c r="E1527" s="1">
        <v>202000</v>
      </c>
      <c r="F1527" s="1">
        <v>96</v>
      </c>
      <c r="G1527" s="1">
        <v>0</v>
      </c>
      <c r="H1527" s="1" t="str">
        <f>"96/12/26"</f>
        <v>96/12/26</v>
      </c>
      <c r="I1527" s="1" t="str">
        <f>"كيلوگرم"</f>
        <v>كيلوگرم</v>
      </c>
      <c r="J1527" s="1" t="str">
        <f>"1000000002"</f>
        <v>1000000002</v>
      </c>
      <c r="K1527" s="1" t="str">
        <f>"قير 85/100 - فله"</f>
        <v>قير 85/100 - فله</v>
      </c>
      <c r="L1527" s="1">
        <v>100</v>
      </c>
      <c r="M1527" s="1" t="str">
        <f>"مخازن قير اصفهان"</f>
        <v>مخازن قير اصفهان</v>
      </c>
      <c r="N1527" s="1">
        <v>11237</v>
      </c>
      <c r="O1527" s="1">
        <v>50039105</v>
      </c>
      <c r="P1527" s="1" t="str">
        <f>"  بنياد مسکن انقلاب اسلامي زنجان"</f>
        <v xml:space="preserve">  بنياد مسکن انقلاب اسلامي زنجان</v>
      </c>
      <c r="Q1527" s="1">
        <v>62</v>
      </c>
      <c r="R1527" s="1" t="str">
        <f>"فروش داخلي - سازمان بنيادمسكن انقلاب اسلامي"</f>
        <v>فروش داخلي - سازمان بنيادمسكن انقلاب اسلامي</v>
      </c>
      <c r="S1527" s="1" t="str">
        <f>"قرارداد فروش"</f>
        <v>قرارداد فروش</v>
      </c>
      <c r="T1527" s="1" t="str">
        <f>"ندارد"</f>
        <v>ندارد</v>
      </c>
      <c r="U1527" s="1" t="str">
        <f>"فتاح زاده سيداحمد(3843011)"</f>
        <v>فتاح زاده سيداحمد(3843011)</v>
      </c>
      <c r="V1527" s="1">
        <v>966200744</v>
      </c>
      <c r="W1527" s="1">
        <v>966200744</v>
      </c>
      <c r="X1527" s="1" t="str">
        <f>"1396555372"</f>
        <v>1396555372</v>
      </c>
      <c r="Y1527" s="1" t="str">
        <f>"96/12/26"</f>
        <v>96/12/26</v>
      </c>
      <c r="Z1527" s="1" t="str">
        <f>"59479/د"</f>
        <v>59479/د</v>
      </c>
      <c r="AA1527" s="1" t="str">
        <f>"بنيادمسكن انقلاب اسلامي"</f>
        <v>بنيادمسكن انقلاب اسلامي</v>
      </c>
      <c r="AB1527" s="1" t="str">
        <f>"96/12/23"</f>
        <v>96/12/23</v>
      </c>
      <c r="AC1527" s="1" t="str">
        <f>"استان زنجان"</f>
        <v>استان زنجان</v>
      </c>
      <c r="AD1527" s="1" t="str">
        <f>"96/12/26"</f>
        <v>96/12/26</v>
      </c>
      <c r="AE1527" s="1" t="str">
        <f>"اختتام"</f>
        <v>اختتام</v>
      </c>
      <c r="AF1527" s="1" t="str">
        <f>""</f>
        <v/>
      </c>
      <c r="AG1527" s="1" t="str">
        <f>""</f>
        <v/>
      </c>
      <c r="AH1527" s="1" t="str">
        <f>""</f>
        <v/>
      </c>
      <c r="AI1527" s="1" t="str">
        <f>""</f>
        <v/>
      </c>
      <c r="AJ1527" s="1" t="str">
        <f>""</f>
        <v/>
      </c>
      <c r="AK1527" s="1" t="str">
        <f>""</f>
        <v/>
      </c>
    </row>
    <row r="1528" spans="1:37">
      <c r="A1528" s="1">
        <v>177000</v>
      </c>
      <c r="B1528" s="1">
        <v>966200745</v>
      </c>
      <c r="C1528" s="1" t="str">
        <f>"تخليه - زنجان- کيلومتر 10 جاده دندي شرکت نگين گستران راه زنديگان"</f>
        <v>تخليه - زنجان- کيلومتر 10 جاده دندي شرکت نگين گستران راه زنديگان</v>
      </c>
      <c r="D1528" s="1">
        <v>13350</v>
      </c>
      <c r="E1528" s="1">
        <v>177000</v>
      </c>
      <c r="F1528" s="1">
        <v>96</v>
      </c>
      <c r="G1528" s="1">
        <v>0</v>
      </c>
      <c r="H1528" s="1" t="str">
        <f>"96/12/26"</f>
        <v>96/12/26</v>
      </c>
      <c r="I1528" s="1" t="str">
        <f>"كيلوگرم"</f>
        <v>كيلوگرم</v>
      </c>
      <c r="J1528" s="1" t="str">
        <f>"1000000002"</f>
        <v>1000000002</v>
      </c>
      <c r="K1528" s="1" t="str">
        <f>"قير 85/100 - فله"</f>
        <v>قير 85/100 - فله</v>
      </c>
      <c r="L1528" s="1">
        <v>100</v>
      </c>
      <c r="M1528" s="1" t="str">
        <f>"مخازن قير اصفهان"</f>
        <v>مخازن قير اصفهان</v>
      </c>
      <c r="N1528" s="1">
        <v>11237</v>
      </c>
      <c r="O1528" s="1">
        <v>50039115</v>
      </c>
      <c r="P1528" s="1" t="str">
        <f>"  بنياد مسکن انقلاب اسلامي زنجان"</f>
        <v xml:space="preserve">  بنياد مسکن انقلاب اسلامي زنجان</v>
      </c>
      <c r="Q1528" s="1">
        <v>62</v>
      </c>
      <c r="R1528" s="1" t="str">
        <f>"فروش داخلي - سازمان بنيادمسكن انقلاب اسلامي"</f>
        <v>فروش داخلي - سازمان بنيادمسكن انقلاب اسلامي</v>
      </c>
      <c r="S1528" s="1" t="str">
        <f>"قرارداد فروش"</f>
        <v>قرارداد فروش</v>
      </c>
      <c r="T1528" s="1" t="str">
        <f>"ندارد"</f>
        <v>ندارد</v>
      </c>
      <c r="U1528" s="1" t="str">
        <f>"آخوندي احمد(1841051)"</f>
        <v>آخوندي احمد(1841051)</v>
      </c>
      <c r="V1528" s="1">
        <v>966200745</v>
      </c>
      <c r="W1528" s="1">
        <v>966200745</v>
      </c>
      <c r="X1528" s="1" t="str">
        <f>"1396555372"</f>
        <v>1396555372</v>
      </c>
      <c r="Y1528" s="1" t="str">
        <f>"96/12/26"</f>
        <v>96/12/26</v>
      </c>
      <c r="Z1528" s="1" t="str">
        <f>"59449/د"</f>
        <v>59449/د</v>
      </c>
      <c r="AA1528" s="1" t="str">
        <f>"بنيادمسكن انقلاب اسلامي"</f>
        <v>بنيادمسكن انقلاب اسلامي</v>
      </c>
      <c r="AB1528" s="1" t="str">
        <f>"96/12/23"</f>
        <v>96/12/23</v>
      </c>
      <c r="AC1528" s="1" t="str">
        <f>"استان زنجان"</f>
        <v>استان زنجان</v>
      </c>
      <c r="AD1528" s="1" t="str">
        <f>"96/12/26"</f>
        <v>96/12/26</v>
      </c>
      <c r="AE1528" s="1" t="str">
        <f>"اختتام"</f>
        <v>اختتام</v>
      </c>
      <c r="AF1528" s="1" t="str">
        <f>""</f>
        <v/>
      </c>
      <c r="AG1528" s="1" t="str">
        <f>""</f>
        <v/>
      </c>
      <c r="AH1528" s="1" t="str">
        <f>""</f>
        <v/>
      </c>
      <c r="AI1528" s="1" t="str">
        <f>""</f>
        <v/>
      </c>
      <c r="AJ1528" s="1" t="str">
        <f>""</f>
        <v/>
      </c>
      <c r="AK1528" s="1" t="str">
        <f>""</f>
        <v/>
      </c>
    </row>
    <row r="1529" spans="1:37">
      <c r="A1529" s="1">
        <v>78000</v>
      </c>
      <c r="B1529" s="1">
        <v>966200354</v>
      </c>
      <c r="C1529" s="1" t="str">
        <f>"تخليه -همدان كيلومتر30محورتويسركان -كنگاور-كارخانه آسفالت كنجوران"</f>
        <v>تخليه -همدان كيلومتر30محورتويسركان -كنگاور-كارخانه آسفالت كنجوران</v>
      </c>
      <c r="D1529" s="1">
        <v>9416</v>
      </c>
      <c r="E1529" s="1">
        <v>77520</v>
      </c>
      <c r="F1529" s="1">
        <v>96</v>
      </c>
      <c r="G1529" s="1">
        <v>480</v>
      </c>
      <c r="H1529" s="1" t="str">
        <f>"96/08/06"</f>
        <v>96/08/06</v>
      </c>
      <c r="I1529" s="1" t="str">
        <f>"كيلوگرم"</f>
        <v>كيلوگرم</v>
      </c>
      <c r="J1529" s="1" t="str">
        <f>"1000000002"</f>
        <v>1000000002</v>
      </c>
      <c r="K1529" s="1" t="str">
        <f>"قير 85/100 - فله"</f>
        <v>قير 85/100 - فله</v>
      </c>
      <c r="L1529" s="1">
        <v>100</v>
      </c>
      <c r="M1529" s="1" t="str">
        <f>"مخازن قير اصفهان"</f>
        <v>مخازن قير اصفهان</v>
      </c>
      <c r="N1529" s="1">
        <v>10053</v>
      </c>
      <c r="O1529" s="1">
        <v>50036919</v>
      </c>
      <c r="P1529" s="1" t="str">
        <f>"  پوشش راه هگمتانه"</f>
        <v xml:space="preserve">  پوشش راه هگمتانه</v>
      </c>
      <c r="Q1529" s="1">
        <v>62</v>
      </c>
      <c r="R1529" s="1" t="str">
        <f>"فروش داخلي - سازمان بنيادمسكن انقلاب اسلامي"</f>
        <v>فروش داخلي - سازمان بنيادمسكن انقلاب اسلامي</v>
      </c>
      <c r="S1529" s="1" t="str">
        <f>"قرارداد فروش"</f>
        <v>قرارداد فروش</v>
      </c>
      <c r="T1529" s="1" t="str">
        <f>"ندارد"</f>
        <v>ندارد</v>
      </c>
      <c r="U1529" s="1" t="str">
        <f>"حاجيلوئي علي اصغر(2842019)"</f>
        <v>حاجيلوئي علي اصغر(2842019)</v>
      </c>
      <c r="V1529" s="1">
        <v>966200354</v>
      </c>
      <c r="W1529" s="1">
        <v>966200354</v>
      </c>
      <c r="X1529" s="1" t="str">
        <f>"1396521778"</f>
        <v>1396521778</v>
      </c>
      <c r="Y1529" s="1" t="str">
        <f>"96/08/06"</f>
        <v>96/08/06</v>
      </c>
      <c r="Z1529" s="1" t="str">
        <f>"34640/د"</f>
        <v>34640/د</v>
      </c>
      <c r="AA1529" s="1" t="str">
        <f>"بنيادمسكن انقلاب اسلامي"</f>
        <v>بنيادمسكن انقلاب اسلامي</v>
      </c>
      <c r="AB1529" s="1" t="str">
        <f>"96/08/03"</f>
        <v>96/08/03</v>
      </c>
      <c r="AC1529" s="1" t="str">
        <f>"استان همدان"</f>
        <v>استان همدان</v>
      </c>
      <c r="AD1529" s="1" t="str">
        <f>"96/08/06"</f>
        <v>96/08/06</v>
      </c>
      <c r="AE1529" s="1" t="str">
        <f>"اختتام"</f>
        <v>اختتام</v>
      </c>
      <c r="AF1529" s="1" t="str">
        <f>""</f>
        <v/>
      </c>
      <c r="AG1529" s="1" t="str">
        <f>""</f>
        <v/>
      </c>
      <c r="AH1529" s="1" t="str">
        <f>""</f>
        <v/>
      </c>
      <c r="AI1529" s="1" t="str">
        <f>""</f>
        <v/>
      </c>
      <c r="AJ1529" s="1" t="str">
        <f>""</f>
        <v/>
      </c>
      <c r="AK1529" s="1" t="str">
        <f>""</f>
        <v/>
      </c>
    </row>
    <row r="1530" spans="1:37">
      <c r="A1530" s="1">
        <v>342000</v>
      </c>
      <c r="B1530" s="1">
        <v>966200566</v>
      </c>
      <c r="C1530" s="1" t="str">
        <f>"تخليه - زنجان - کيلومتر 10جاده ترانزيتي زنجان ميانه دست چپ کارخانه آسفالت شرکت زنجان ره ساز"</f>
        <v>تخليه - زنجان - کيلومتر 10جاده ترانزيتي زنجان ميانه دست چپ کارخانه آسفالت شرکت زنجان ره ساز</v>
      </c>
      <c r="D1530" s="1">
        <v>13200</v>
      </c>
      <c r="E1530" s="1">
        <v>340560</v>
      </c>
      <c r="F1530" s="1">
        <v>96</v>
      </c>
      <c r="G1530" s="1">
        <v>1440</v>
      </c>
      <c r="H1530" s="1" t="str">
        <f>"96/11/18"</f>
        <v>96/11/18</v>
      </c>
      <c r="I1530" s="1" t="str">
        <f>"كيلوگرم"</f>
        <v>كيلوگرم</v>
      </c>
      <c r="J1530" s="1" t="str">
        <f>"1000000002"</f>
        <v>1000000002</v>
      </c>
      <c r="K1530" s="1" t="str">
        <f>"قير 85/100 - فله"</f>
        <v>قير 85/100 - فله</v>
      </c>
      <c r="L1530" s="1">
        <v>100</v>
      </c>
      <c r="M1530" s="1" t="str">
        <f>"مخازن قير اصفهان"</f>
        <v>مخازن قير اصفهان</v>
      </c>
      <c r="N1530" s="1">
        <v>11237</v>
      </c>
      <c r="O1530" s="1">
        <v>50038431</v>
      </c>
      <c r="P1530" s="1" t="str">
        <f>"  بنياد مسکن انقلاب اسلامي زنجان"</f>
        <v xml:space="preserve">  بنياد مسکن انقلاب اسلامي زنجان</v>
      </c>
      <c r="Q1530" s="1">
        <v>62</v>
      </c>
      <c r="R1530" s="1" t="str">
        <f>"فروش داخلي - سازمان بنيادمسكن انقلاب اسلامي"</f>
        <v>فروش داخلي - سازمان بنيادمسكن انقلاب اسلامي</v>
      </c>
      <c r="S1530" s="1" t="str">
        <f>"قرارداد فروش"</f>
        <v>قرارداد فروش</v>
      </c>
      <c r="T1530" s="1" t="str">
        <f>"ندارد"</f>
        <v>ندارد</v>
      </c>
      <c r="U1530" s="1" t="str">
        <f>"فتاح زاده سيداحمد(3843011)"</f>
        <v>فتاح زاده سيداحمد(3843011)</v>
      </c>
      <c r="V1530" s="1">
        <v>966200566</v>
      </c>
      <c r="W1530" s="1">
        <v>966200566</v>
      </c>
      <c r="X1530" s="1" t="str">
        <f>"1396546761"</f>
        <v>1396546761</v>
      </c>
      <c r="Y1530" s="1" t="str">
        <f>"96/11/18"</f>
        <v>96/11/18</v>
      </c>
      <c r="Z1530" s="1" t="str">
        <f>"51872/د"</f>
        <v>51872/د</v>
      </c>
      <c r="AA1530" s="1" t="str">
        <f>"بنيادمسكن انقلاب اسلامي"</f>
        <v>بنيادمسكن انقلاب اسلامي</v>
      </c>
      <c r="AB1530" s="1" t="str">
        <f>"96/11/17"</f>
        <v>96/11/17</v>
      </c>
      <c r="AC1530" s="1" t="str">
        <f>"استان زنجان"</f>
        <v>استان زنجان</v>
      </c>
      <c r="AD1530" s="1" t="str">
        <f>"96/11/18"</f>
        <v>96/11/18</v>
      </c>
      <c r="AE1530" s="1" t="str">
        <f>"اختتام"</f>
        <v>اختتام</v>
      </c>
      <c r="AF1530" s="1" t="str">
        <f>""</f>
        <v/>
      </c>
      <c r="AG1530" s="1" t="str">
        <f>""</f>
        <v/>
      </c>
      <c r="AH1530" s="1" t="str">
        <f>""</f>
        <v/>
      </c>
      <c r="AI1530" s="1" t="str">
        <f>""</f>
        <v/>
      </c>
      <c r="AJ1530" s="1" t="str">
        <f>""</f>
        <v/>
      </c>
      <c r="AK1530" s="1" t="str">
        <f>""</f>
        <v/>
      </c>
    </row>
    <row r="1531" spans="1:37">
      <c r="A1531" s="1">
        <v>87000</v>
      </c>
      <c r="B1531" s="1">
        <v>966200561</v>
      </c>
      <c r="C1531" s="1" t="str">
        <f>"تخليه -چهارمحال-شهرکرد-کارخانه آسفالت شرکت زرين استحکام-بعداز تونل اصفهان به شهرکرد"</f>
        <v>تخليه -چهارمحال-شهرکرد-کارخانه آسفالت شرکت زرين استحکام-بعداز تونل اصفهان به شهرکرد</v>
      </c>
      <c r="D1531" s="1">
        <v>13200</v>
      </c>
      <c r="E1531" s="1">
        <v>86680</v>
      </c>
      <c r="F1531" s="1">
        <v>96</v>
      </c>
      <c r="G1531" s="1">
        <v>320</v>
      </c>
      <c r="H1531" s="1" t="str">
        <f>"96/11/14"</f>
        <v>96/11/14</v>
      </c>
      <c r="I1531" s="1" t="str">
        <f>"كيلوگرم"</f>
        <v>كيلوگرم</v>
      </c>
      <c r="J1531" s="1" t="str">
        <f>"1000000002"</f>
        <v>1000000002</v>
      </c>
      <c r="K1531" s="1" t="str">
        <f>"قير 85/100 - فله"</f>
        <v>قير 85/100 - فله</v>
      </c>
      <c r="L1531" s="1">
        <v>100</v>
      </c>
      <c r="M1531" s="1" t="str">
        <f>"مخازن قير اصفهان"</f>
        <v>مخازن قير اصفهان</v>
      </c>
      <c r="N1531" s="1">
        <v>11535</v>
      </c>
      <c r="O1531" s="1">
        <v>50038369</v>
      </c>
      <c r="P1531" s="1" t="str">
        <f>"  جواد ساز شهرکرد"</f>
        <v xml:space="preserve">  جواد ساز شهرکرد</v>
      </c>
      <c r="Q1531" s="1">
        <v>62</v>
      </c>
      <c r="R1531" s="1" t="str">
        <f>"فروش داخلي - سازمان بنيادمسكن انقلاب اسلامي"</f>
        <v>فروش داخلي - سازمان بنيادمسكن انقلاب اسلامي</v>
      </c>
      <c r="S1531" s="1" t="str">
        <f>"قرارداد فروش"</f>
        <v>قرارداد فروش</v>
      </c>
      <c r="T1531" s="1" t="str">
        <f>"ندارد"</f>
        <v>ندارد</v>
      </c>
      <c r="U1531" s="1" t="str">
        <f>"مظلوم فريبرز(1008ج89)"</f>
        <v>مظلوم فريبرز(1008ج89)</v>
      </c>
      <c r="V1531" s="1">
        <v>966200561</v>
      </c>
      <c r="W1531" s="1">
        <v>966200561</v>
      </c>
      <c r="X1531" s="1" t="str">
        <f>"1396545122"</f>
        <v>1396545122</v>
      </c>
      <c r="Y1531" s="1" t="str">
        <f>"96/11/14"</f>
        <v>96/11/14</v>
      </c>
      <c r="Z1531" s="1" t="str">
        <f>"50734/د"</f>
        <v>50734/د</v>
      </c>
      <c r="AA1531" s="1" t="str">
        <f>"بنيادمسكن انقلاب اسلامي"</f>
        <v>بنيادمسكن انقلاب اسلامي</v>
      </c>
      <c r="AB1531" s="1" t="str">
        <f>"96/11/11"</f>
        <v>96/11/11</v>
      </c>
      <c r="AC1531" s="1" t="str">
        <f>"استان چهارمحال بختياري"</f>
        <v>استان چهارمحال بختياري</v>
      </c>
      <c r="AD1531" s="1" t="str">
        <f>"96/11/14"</f>
        <v>96/11/14</v>
      </c>
      <c r="AE1531" s="1" t="str">
        <f>"اختتام"</f>
        <v>اختتام</v>
      </c>
      <c r="AF1531" s="1" t="str">
        <f>""</f>
        <v/>
      </c>
      <c r="AG1531" s="1" t="str">
        <f>""</f>
        <v/>
      </c>
      <c r="AH1531" s="1" t="str">
        <f>""</f>
        <v/>
      </c>
      <c r="AI1531" s="1" t="str">
        <f>""</f>
        <v/>
      </c>
      <c r="AJ1531" s="1" t="str">
        <f>""</f>
        <v/>
      </c>
      <c r="AK1531" s="1" t="str">
        <f>""</f>
        <v/>
      </c>
    </row>
    <row r="1532" spans="1:37">
      <c r="A1532" s="1">
        <v>25000</v>
      </c>
      <c r="B1532" s="1">
        <v>961100047</v>
      </c>
      <c r="C1532" s="1" t="str">
        <f>"تخليه -گلستان -شهرستان گاليكش -روستاي ميرزاپانك -كارخانه آسفالت جهادنصريزد"</f>
        <v>تخليه -گلستان -شهرستان گاليكش -روستاي ميرزاپانك -كارخانه آسفالت جهادنصريزد</v>
      </c>
      <c r="D1532" s="1">
        <v>12222</v>
      </c>
      <c r="E1532" s="1">
        <v>22960</v>
      </c>
      <c r="F1532" s="1">
        <v>96</v>
      </c>
      <c r="G1532" s="1">
        <v>2040</v>
      </c>
      <c r="H1532" s="1" t="str">
        <f>"96/05/18"</f>
        <v>96/05/18</v>
      </c>
      <c r="I1532" s="1" t="str">
        <f>"كيلوگرم"</f>
        <v>كيلوگرم</v>
      </c>
      <c r="J1532" s="1" t="str">
        <f>"1000000003"</f>
        <v>1000000003</v>
      </c>
      <c r="K1532" s="1" t="str">
        <f>"قير MC250"</f>
        <v>قير MC250</v>
      </c>
      <c r="L1532" s="1">
        <v>100</v>
      </c>
      <c r="M1532" s="1" t="str">
        <f>"مخازن قير اصفهان"</f>
        <v>مخازن قير اصفهان</v>
      </c>
      <c r="N1532" s="1">
        <v>1665</v>
      </c>
      <c r="O1532" s="1">
        <v>50035593</v>
      </c>
      <c r="P1532" s="1" t="str">
        <f>"  جهاد نصر يزد"</f>
        <v xml:space="preserve">  جهاد نصر يزد</v>
      </c>
      <c r="Q1532" s="1">
        <v>11</v>
      </c>
      <c r="R1532" s="1" t="str">
        <f>"فروش داخلي تهران - بورس"</f>
        <v>فروش داخلي تهران - بورس</v>
      </c>
      <c r="S1532" s="1" t="str">
        <f>"قرارداد فروش"</f>
        <v>قرارداد فروش</v>
      </c>
      <c r="T1532" s="1" t="str">
        <f>"ندارد"</f>
        <v>ندارد</v>
      </c>
      <c r="U1532" s="1" t="str">
        <f>"غلام نجفي سيامك‌‌‌‌‌‌(1881082)"</f>
        <v>غلام نجفي سيامك‌‌‌‌‌‌(1881082)</v>
      </c>
      <c r="V1532" s="1">
        <v>961100047</v>
      </c>
      <c r="W1532" s="1">
        <v>961100047</v>
      </c>
      <c r="X1532" s="1" t="str">
        <f>"1396504282"</f>
        <v>1396504282</v>
      </c>
      <c r="Y1532" s="1" t="str">
        <f>"96/05/18"</f>
        <v>96/05/18</v>
      </c>
      <c r="Z1532" s="1" t="str">
        <f>"3734/ن/ش/96"</f>
        <v>3734/ن/ش/96</v>
      </c>
      <c r="AA1532" s="1" t="str">
        <f>"راه سازي"</f>
        <v>راه سازي</v>
      </c>
      <c r="AB1532" s="1" t="str">
        <f>"96/05/17"</f>
        <v>96/05/17</v>
      </c>
      <c r="AC1532" s="1" t="str">
        <f>"استان يزد"</f>
        <v>استان يزد</v>
      </c>
      <c r="AD1532" s="1" t="str">
        <f>"96/05/18"</f>
        <v>96/05/18</v>
      </c>
      <c r="AE1532" s="1" t="str">
        <f>"اختتام"</f>
        <v>اختتام</v>
      </c>
      <c r="AF1532" s="1" t="str">
        <f>""</f>
        <v/>
      </c>
      <c r="AG1532" s="1" t="str">
        <f>""</f>
        <v/>
      </c>
      <c r="AH1532" s="1" t="str">
        <f>""</f>
        <v/>
      </c>
      <c r="AI1532" s="1" t="str">
        <f>""</f>
        <v/>
      </c>
      <c r="AJ1532" s="1" t="str">
        <f>""</f>
        <v/>
      </c>
      <c r="AK1532" s="1" t="str">
        <f>""</f>
        <v/>
      </c>
    </row>
    <row r="1533" spans="1:37">
      <c r="A1533" s="1">
        <v>120969</v>
      </c>
      <c r="B1533" s="1">
        <v>962000125</v>
      </c>
      <c r="C1533" s="1" t="str">
        <f>"تخليه چهارمحال وبختياري لردگان كارخانه لايبيدلردگان"</f>
        <v>تخليه چهارمحال وبختياري لردگان كارخانه لايبيدلردگان</v>
      </c>
      <c r="D1533" s="1">
        <v>9113</v>
      </c>
      <c r="E1533" s="1">
        <v>120969</v>
      </c>
      <c r="F1533" s="1">
        <v>96</v>
      </c>
      <c r="G1533" s="1">
        <v>0</v>
      </c>
      <c r="H1533" s="1" t="str">
        <f>"96/07/03"</f>
        <v>96/07/03</v>
      </c>
      <c r="I1533" s="1" t="str">
        <f>"كيلوگرم"</f>
        <v>كيلوگرم</v>
      </c>
      <c r="J1533" s="1" t="str">
        <f>"1000000002"</f>
        <v>1000000002</v>
      </c>
      <c r="K1533" s="1" t="str">
        <f>"قير 85/100 - فله"</f>
        <v>قير 85/100 - فله</v>
      </c>
      <c r="L1533" s="1">
        <v>100</v>
      </c>
      <c r="M1533" s="1" t="str">
        <f>"مخازن قير اصفهان"</f>
        <v>مخازن قير اصفهان</v>
      </c>
      <c r="N1533" s="1">
        <v>10795</v>
      </c>
      <c r="O1533" s="1">
        <v>50036310</v>
      </c>
      <c r="P1533" s="1" t="str">
        <f>"  شهرداري منج"</f>
        <v xml:space="preserve">  شهرداري منج</v>
      </c>
      <c r="Q1533" s="1">
        <v>20</v>
      </c>
      <c r="R1533" s="1" t="str">
        <f>"فروش داخلي - سازمان شهرداري ها و دهياري هاي كشور"</f>
        <v>فروش داخلي - سازمان شهرداري ها و دهياري هاي كشور</v>
      </c>
      <c r="S1533" s="1" t="str">
        <f>"قرارداد فروش"</f>
        <v>قرارداد فروش</v>
      </c>
      <c r="T1533" s="1" t="str">
        <f>"ندارد"</f>
        <v>ندارد</v>
      </c>
      <c r="U1533" s="1" t="str">
        <f>"تعاوني جم گستر (1001 ج 89)"</f>
        <v>تعاوني جم گستر (1001 ج 89)</v>
      </c>
      <c r="V1533" s="1">
        <v>962000125</v>
      </c>
      <c r="W1533" s="1">
        <v>962000125</v>
      </c>
      <c r="X1533" s="1" t="str">
        <f>"1396514468"</f>
        <v>1396514468</v>
      </c>
      <c r="Y1533" s="1" t="str">
        <f>"96/07/03"</f>
        <v>96/07/03</v>
      </c>
      <c r="Z1533" s="1" t="str">
        <f>"26612مرحله اول"</f>
        <v>26612مرحله اول</v>
      </c>
      <c r="AA1533" s="1" t="str">
        <f>"شهرداريها"</f>
        <v>شهرداريها</v>
      </c>
      <c r="AB1533" s="1" t="str">
        <f>"96/06/29"</f>
        <v>96/06/29</v>
      </c>
      <c r="AC1533" s="1" t="str">
        <f>"استان چهارمحال بختياري"</f>
        <v>استان چهارمحال بختياري</v>
      </c>
      <c r="AD1533" s="1" t="str">
        <f>"96/07/03"</f>
        <v>96/07/03</v>
      </c>
      <c r="AE1533" s="1" t="str">
        <f>"اختتام"</f>
        <v>اختتام</v>
      </c>
      <c r="AF1533" s="1" t="str">
        <f>""</f>
        <v/>
      </c>
      <c r="AG1533" s="1" t="str">
        <f>""</f>
        <v/>
      </c>
      <c r="AH1533" s="1" t="str">
        <f>""</f>
        <v/>
      </c>
      <c r="AI1533" s="1" t="str">
        <f>""</f>
        <v/>
      </c>
      <c r="AJ1533" s="1" t="str">
        <f>""</f>
        <v/>
      </c>
      <c r="AK1533" s="1" t="str">
        <f>""</f>
        <v/>
      </c>
    </row>
    <row r="1534" spans="1:37">
      <c r="A1534" s="1">
        <v>44726</v>
      </c>
      <c r="B1534" s="1">
        <v>962000363</v>
      </c>
      <c r="C1534" s="1" t="str">
        <f>"تخليه -چهارمحال وبختياري -جنب تونل گردنه رخ شركت زرين استحكام"</f>
        <v>تخليه -چهارمحال وبختياري -جنب تونل گردنه رخ شركت زرين استحكام</v>
      </c>
      <c r="D1534" s="1">
        <v>12820</v>
      </c>
      <c r="E1534" s="1">
        <v>44726</v>
      </c>
      <c r="F1534" s="1">
        <v>96</v>
      </c>
      <c r="G1534" s="1">
        <v>0</v>
      </c>
      <c r="H1534" s="1" t="str">
        <f>"96/09/19"</f>
        <v>96/09/19</v>
      </c>
      <c r="I1534" s="1" t="str">
        <f>"كيلوگرم"</f>
        <v>كيلوگرم</v>
      </c>
      <c r="J1534" s="1" t="str">
        <f>"1000000002"</f>
        <v>1000000002</v>
      </c>
      <c r="K1534" s="1" t="str">
        <f>"قير 85/100 - فله"</f>
        <v>قير 85/100 - فله</v>
      </c>
      <c r="L1534" s="1">
        <v>100</v>
      </c>
      <c r="M1534" s="1" t="str">
        <f>"مخازن قير اصفهان"</f>
        <v>مخازن قير اصفهان</v>
      </c>
      <c r="N1534" s="1">
        <v>10884</v>
      </c>
      <c r="O1534" s="1">
        <v>50037659</v>
      </c>
      <c r="P1534" s="1" t="str">
        <f>"  شهرداري گندمان"</f>
        <v xml:space="preserve">  شهرداري گندمان</v>
      </c>
      <c r="Q1534" s="1">
        <v>20</v>
      </c>
      <c r="R1534" s="1" t="str">
        <f>"فروش داخلي - سازمان شهرداري ها و دهياري هاي كشور"</f>
        <v>فروش داخلي - سازمان شهرداري ها و دهياري هاي كشور</v>
      </c>
      <c r="S1534" s="1" t="str">
        <f>"قرارداد فروش"</f>
        <v>قرارداد فروش</v>
      </c>
      <c r="T1534" s="1" t="str">
        <f>"ندارد"</f>
        <v>ندارد</v>
      </c>
      <c r="U1534" s="1" t="str">
        <f>"تعاوني جم گستر (1001 ج 89)"</f>
        <v>تعاوني جم گستر (1001 ج 89)</v>
      </c>
      <c r="V1534" s="1">
        <v>962000363</v>
      </c>
      <c r="W1534" s="1">
        <v>962000363</v>
      </c>
      <c r="X1534" s="1" t="str">
        <f>"1396529715"</f>
        <v>1396529715</v>
      </c>
      <c r="Y1534" s="1" t="str">
        <f>"96/09/18"</f>
        <v>96/09/18</v>
      </c>
      <c r="Z1534" s="1" t="str">
        <f>"38542مرحله دوم"</f>
        <v>38542مرحله دوم</v>
      </c>
      <c r="AA1534" s="1" t="str">
        <f>"شهرداريها"</f>
        <v>شهرداريها</v>
      </c>
      <c r="AB1534" s="1" t="str">
        <f>"96/09/11"</f>
        <v>96/09/11</v>
      </c>
      <c r="AC1534" s="1" t="str">
        <f>"استان چهارمحال بختياري"</f>
        <v>استان چهارمحال بختياري</v>
      </c>
      <c r="AD1534" s="1" t="str">
        <f>"96/09/13"</f>
        <v>96/09/13</v>
      </c>
      <c r="AE1534" s="1" t="str">
        <f>"تاييدشده"</f>
        <v>تاييدشده</v>
      </c>
      <c r="AF1534" s="1" t="str">
        <f>""</f>
        <v/>
      </c>
      <c r="AG1534" s="1" t="str">
        <f>""</f>
        <v/>
      </c>
      <c r="AH1534" s="1" t="str">
        <f>""</f>
        <v/>
      </c>
      <c r="AI1534" s="1" t="str">
        <f>""</f>
        <v/>
      </c>
      <c r="AJ1534" s="1" t="str">
        <f>""</f>
        <v/>
      </c>
      <c r="AK1534" s="1" t="str">
        <f>""</f>
        <v/>
      </c>
    </row>
    <row r="1535" spans="1:37">
      <c r="A1535" s="1">
        <v>42049</v>
      </c>
      <c r="B1535" s="1">
        <v>962000439</v>
      </c>
      <c r="C1535" s="1" t="str">
        <f>"تخليه اصفهان روبروي پليس راه اصفهان تهران جاده علويجه كيلومتر12كارخانه آسفالت افق راه ماندگار"</f>
        <v>تخليه اصفهان روبروي پليس راه اصفهان تهران جاده علويجه كيلومتر12كارخانه آسفالت افق راه ماندگار</v>
      </c>
      <c r="D1535" s="1">
        <v>12820</v>
      </c>
      <c r="E1535" s="1">
        <v>42049</v>
      </c>
      <c r="F1535" s="1">
        <v>96</v>
      </c>
      <c r="G1535" s="1">
        <v>0</v>
      </c>
      <c r="H1535" s="1" t="str">
        <f>"96/09/20"</f>
        <v>96/09/20</v>
      </c>
      <c r="I1535" s="1" t="str">
        <f>"كيلوگرم"</f>
        <v>كيلوگرم</v>
      </c>
      <c r="J1535" s="1" t="str">
        <f>"0000000076"</f>
        <v>0000000076</v>
      </c>
      <c r="K1535" s="1" t="str">
        <f>"قير 60/70 - فله"</f>
        <v>قير 60/70 - فله</v>
      </c>
      <c r="L1535" s="1">
        <v>100</v>
      </c>
      <c r="M1535" s="1" t="str">
        <f>"مخازن قير اصفهان"</f>
        <v>مخازن قير اصفهان</v>
      </c>
      <c r="N1535" s="1">
        <v>10678</v>
      </c>
      <c r="O1535" s="1">
        <v>50037761</v>
      </c>
      <c r="P1535" s="1" t="str">
        <f>"  شهرداري گزبرخوار"</f>
        <v xml:space="preserve">  شهرداري گزبرخوار</v>
      </c>
      <c r="Q1535" s="1">
        <v>20</v>
      </c>
      <c r="R1535" s="1" t="str">
        <f>"فروش داخلي - سازمان شهرداري ها و دهياري هاي كشور"</f>
        <v>فروش داخلي - سازمان شهرداري ها و دهياري هاي كشور</v>
      </c>
      <c r="S1535" s="1" t="str">
        <f>"قرارداد فروش"</f>
        <v>قرارداد فروش</v>
      </c>
      <c r="T1535" s="1" t="str">
        <f>"ندارد"</f>
        <v>ندارد</v>
      </c>
      <c r="U1535" s="1" t="str">
        <f>"تعاوني جم گستر (1001 ج 89)"</f>
        <v>تعاوني جم گستر (1001 ج 89)</v>
      </c>
      <c r="V1535" s="1">
        <v>962000439</v>
      </c>
      <c r="W1535" s="1">
        <v>962000439</v>
      </c>
      <c r="X1535" s="1" t="str">
        <f>"1396529711"</f>
        <v>1396529711</v>
      </c>
      <c r="Y1535" s="1" t="str">
        <f>"96/09/20"</f>
        <v>96/09/20</v>
      </c>
      <c r="Z1535" s="1" t="str">
        <f>"37227مرحله دوم"</f>
        <v>37227مرحله دوم</v>
      </c>
      <c r="AA1535" s="1" t="str">
        <f>"شهرداريها"</f>
        <v>شهرداريها</v>
      </c>
      <c r="AB1535" s="1" t="str">
        <f>"96/09/05"</f>
        <v>96/09/05</v>
      </c>
      <c r="AC1535" s="1" t="str">
        <f>"استان اصفهان"</f>
        <v>استان اصفهان</v>
      </c>
      <c r="AD1535" s="1" t="str">
        <f>"96/09/13"</f>
        <v>96/09/13</v>
      </c>
      <c r="AE1535" s="1" t="str">
        <f>"اختتام"</f>
        <v>اختتام</v>
      </c>
      <c r="AF1535" s="1" t="str">
        <f>""</f>
        <v/>
      </c>
      <c r="AG1535" s="1" t="str">
        <f>""</f>
        <v/>
      </c>
      <c r="AH1535" s="1" t="str">
        <f>""</f>
        <v/>
      </c>
      <c r="AI1535" s="1" t="str">
        <f>""</f>
        <v/>
      </c>
      <c r="AJ1535" s="1" t="str">
        <f>""</f>
        <v/>
      </c>
      <c r="AK1535" s="1" t="str">
        <f>""</f>
        <v/>
      </c>
    </row>
    <row r="1536" spans="1:37">
      <c r="A1536" s="1">
        <v>37908</v>
      </c>
      <c r="B1536" s="1">
        <v>962000472</v>
      </c>
      <c r="C1536" s="1" t="str">
        <f>"تخليه اصفهان شهرك صنعتي مباركه جنب پلي اكريل كارخانه آسفالت غفراني شركت پوياسازه ارمند"</f>
        <v>تخليه اصفهان شهرك صنعتي مباركه جنب پلي اكريل كارخانه آسفالت غفراني شركت پوياسازه ارمند</v>
      </c>
      <c r="D1536" s="1">
        <v>12820</v>
      </c>
      <c r="E1536" s="1">
        <v>37908</v>
      </c>
      <c r="F1536" s="1">
        <v>96</v>
      </c>
      <c r="G1536" s="1">
        <v>0</v>
      </c>
      <c r="H1536" s="1" t="str">
        <f>"96/09/20"</f>
        <v>96/09/20</v>
      </c>
      <c r="I1536" s="1" t="str">
        <f>"كيلوگرم"</f>
        <v>كيلوگرم</v>
      </c>
      <c r="J1536" s="1" t="str">
        <f>"0000000076"</f>
        <v>0000000076</v>
      </c>
      <c r="K1536" s="1" t="str">
        <f>"قير 60/70 - فله"</f>
        <v>قير 60/70 - فله</v>
      </c>
      <c r="L1536" s="1">
        <v>100</v>
      </c>
      <c r="M1536" s="1" t="str">
        <f>"مخازن قير اصفهان"</f>
        <v>مخازن قير اصفهان</v>
      </c>
      <c r="N1536" s="1">
        <v>10679</v>
      </c>
      <c r="O1536" s="1">
        <v>50037794</v>
      </c>
      <c r="P1536" s="1" t="str">
        <f>"  شهرداري ديزيچه"</f>
        <v xml:space="preserve">  شهرداري ديزيچه</v>
      </c>
      <c r="Q1536" s="1">
        <v>20</v>
      </c>
      <c r="R1536" s="1" t="str">
        <f>"فروش داخلي - سازمان شهرداري ها و دهياري هاي كشور"</f>
        <v>فروش داخلي - سازمان شهرداري ها و دهياري هاي كشور</v>
      </c>
      <c r="S1536" s="1" t="str">
        <f>"قرارداد فروش"</f>
        <v>قرارداد فروش</v>
      </c>
      <c r="T1536" s="1" t="str">
        <f>"ندارد"</f>
        <v>ندارد</v>
      </c>
      <c r="U1536" s="1" t="str">
        <f>"تعاوني جم گستر (1001 ج 89)"</f>
        <v>تعاوني جم گستر (1001 ج 89)</v>
      </c>
      <c r="V1536" s="1">
        <v>962000472</v>
      </c>
      <c r="W1536" s="1">
        <v>962000472</v>
      </c>
      <c r="X1536" s="1" t="str">
        <f>"1396529711"</f>
        <v>1396529711</v>
      </c>
      <c r="Y1536" s="1" t="str">
        <f>"96/09/20"</f>
        <v>96/09/20</v>
      </c>
      <c r="Z1536" s="1" t="str">
        <f>"37139مرحله دوم"</f>
        <v>37139مرحله دوم</v>
      </c>
      <c r="AA1536" s="1" t="str">
        <f>"شهرداريها"</f>
        <v>شهرداريها</v>
      </c>
      <c r="AB1536" s="1" t="str">
        <f>"96/09/05"</f>
        <v>96/09/05</v>
      </c>
      <c r="AC1536" s="1" t="str">
        <f>"استان اصفهان"</f>
        <v>استان اصفهان</v>
      </c>
      <c r="AD1536" s="1" t="str">
        <f>"96/09/13"</f>
        <v>96/09/13</v>
      </c>
      <c r="AE1536" s="1" t="str">
        <f>"اختتام"</f>
        <v>اختتام</v>
      </c>
      <c r="AF1536" s="1" t="str">
        <f>""</f>
        <v/>
      </c>
      <c r="AG1536" s="1" t="str">
        <f>""</f>
        <v/>
      </c>
      <c r="AH1536" s="1" t="str">
        <f>""</f>
        <v/>
      </c>
      <c r="AI1536" s="1" t="str">
        <f>""</f>
        <v/>
      </c>
      <c r="AJ1536" s="1" t="str">
        <f>""</f>
        <v/>
      </c>
      <c r="AK1536" s="1" t="str">
        <f>""</f>
        <v/>
      </c>
    </row>
    <row r="1537" spans="1:37">
      <c r="A1537" s="1">
        <v>50000</v>
      </c>
      <c r="B1537" s="1">
        <v>961100026</v>
      </c>
      <c r="C1537" s="1" t="str">
        <f>"تخليه-شهرستان آباده-روبروي کارخانه سيمان"</f>
        <v>تخليه-شهرستان آباده-روبروي کارخانه سيمان</v>
      </c>
      <c r="D1537" s="1">
        <v>8704</v>
      </c>
      <c r="E1537" s="1">
        <v>50000</v>
      </c>
      <c r="F1537" s="1">
        <v>96</v>
      </c>
      <c r="G1537" s="1">
        <v>0</v>
      </c>
      <c r="H1537" s="1" t="str">
        <f>"96/03/24"</f>
        <v>96/03/24</v>
      </c>
      <c r="I1537" s="1" t="str">
        <f>"كيلوگرم"</f>
        <v>كيلوگرم</v>
      </c>
      <c r="J1537" s="1" t="str">
        <f>"0000000076"</f>
        <v>0000000076</v>
      </c>
      <c r="K1537" s="1" t="str">
        <f>"قير 60/70 - فله"</f>
        <v>قير 60/70 - فله</v>
      </c>
      <c r="L1537" s="1">
        <v>100</v>
      </c>
      <c r="M1537" s="1" t="str">
        <f>"مخازن قير اصفهان"</f>
        <v>مخازن قير اصفهان</v>
      </c>
      <c r="N1537" s="1">
        <v>10683</v>
      </c>
      <c r="O1537" s="1">
        <v>50035010</v>
      </c>
      <c r="P1537" s="1" t="str">
        <f>"  عايق اندود شرق سيصدو دو آسيا"</f>
        <v xml:space="preserve">  عايق اندود شرق سيصدو دو آسيا</v>
      </c>
      <c r="Q1537" s="1">
        <v>11</v>
      </c>
      <c r="R1537" s="1" t="str">
        <f>"فروش داخلي تهران - بورس"</f>
        <v>فروش داخلي تهران - بورس</v>
      </c>
      <c r="S1537" s="1" t="str">
        <f>"قرارداد فروش"</f>
        <v>قرارداد فروش</v>
      </c>
      <c r="T1537" s="1" t="str">
        <f>"ندارد"</f>
        <v>ندارد</v>
      </c>
      <c r="U1537" s="1" t="str">
        <f>"تاج سعيد هوشنگ (1031ج 89)"</f>
        <v>تاج سعيد هوشنگ (1031ج 89)</v>
      </c>
      <c r="V1537" s="1">
        <v>961100026</v>
      </c>
      <c r="W1537" s="1">
        <v>961100026</v>
      </c>
      <c r="X1537" s="1" t="str">
        <f>"1396486574"</f>
        <v>1396486574</v>
      </c>
      <c r="Y1537" s="1" t="str">
        <f>"96/03/23"</f>
        <v>96/03/23</v>
      </c>
      <c r="Z1537" s="1" t="str">
        <f>"96-35645"</f>
        <v>96-35645</v>
      </c>
      <c r="AA1537" s="1" t="str">
        <f>"راه سازي"</f>
        <v>راه سازي</v>
      </c>
      <c r="AB1537" s="1" t="str">
        <f>"96/03/23"</f>
        <v>96/03/23</v>
      </c>
      <c r="AC1537" s="1" t="str">
        <f>"استان اصفهان"</f>
        <v>استان اصفهان</v>
      </c>
      <c r="AD1537" s="1" t="str">
        <f>"96/03/20"</f>
        <v>96/03/20</v>
      </c>
      <c r="AE1537" s="1" t="str">
        <f>"اختتام"</f>
        <v>اختتام</v>
      </c>
      <c r="AF1537" s="1" t="str">
        <f>""</f>
        <v/>
      </c>
      <c r="AG1537" s="1" t="str">
        <f>""</f>
        <v/>
      </c>
      <c r="AH1537" s="1" t="str">
        <f>""</f>
        <v/>
      </c>
      <c r="AI1537" s="1" t="str">
        <f>""</f>
        <v/>
      </c>
      <c r="AJ1537" s="1" t="str">
        <f>""</f>
        <v/>
      </c>
      <c r="AK1537" s="1" t="str">
        <f>""</f>
        <v/>
      </c>
    </row>
    <row r="1538" spans="1:37">
      <c r="A1538" s="1">
        <v>25000</v>
      </c>
      <c r="B1538" s="1">
        <v>961100070</v>
      </c>
      <c r="C1538" s="1" t="str">
        <f>"تخليه-شهرستان آباده-روبروي کارخانه سيمان"</f>
        <v>تخليه-شهرستان آباده-روبروي کارخانه سيمان</v>
      </c>
      <c r="D1538" s="1">
        <v>8954</v>
      </c>
      <c r="E1538" s="1">
        <v>25000</v>
      </c>
      <c r="F1538" s="1">
        <v>96</v>
      </c>
      <c r="G1538" s="1">
        <v>0</v>
      </c>
      <c r="H1538" s="1" t="str">
        <f>"96/07/02"</f>
        <v>96/07/02</v>
      </c>
      <c r="I1538" s="1" t="str">
        <f>"كيلوگرم"</f>
        <v>كيلوگرم</v>
      </c>
      <c r="J1538" s="1" t="str">
        <f>"0000000076"</f>
        <v>0000000076</v>
      </c>
      <c r="K1538" s="1" t="str">
        <f>"قير 60/70 - فله"</f>
        <v>قير 60/70 - فله</v>
      </c>
      <c r="L1538" s="1">
        <v>100</v>
      </c>
      <c r="M1538" s="1" t="str">
        <f>"مخازن قير اصفهان"</f>
        <v>مخازن قير اصفهان</v>
      </c>
      <c r="N1538" s="1">
        <v>10683</v>
      </c>
      <c r="O1538" s="1">
        <v>50036141</v>
      </c>
      <c r="P1538" s="1" t="str">
        <f>"  عايق اندود شرق سيصدو دو آسيا"</f>
        <v xml:space="preserve">  عايق اندود شرق سيصدو دو آسيا</v>
      </c>
      <c r="Q1538" s="1">
        <v>11</v>
      </c>
      <c r="R1538" s="1" t="str">
        <f>"فروش داخلي تهران - بورس"</f>
        <v>فروش داخلي تهران - بورس</v>
      </c>
      <c r="S1538" s="1" t="str">
        <f>"قرارداد فروش"</f>
        <v>قرارداد فروش</v>
      </c>
      <c r="T1538" s="1" t="str">
        <f>"ندارد"</f>
        <v>ندارد</v>
      </c>
      <c r="U1538" s="1" t="str">
        <f>"تاج سعيد هوشنگ (1031ج 89)"</f>
        <v>تاج سعيد هوشنگ (1031ج 89)</v>
      </c>
      <c r="V1538" s="1">
        <v>961100070</v>
      </c>
      <c r="W1538" s="1">
        <v>961100070</v>
      </c>
      <c r="X1538" s="1" t="str">
        <f>"1396513295"</f>
        <v>1396513295</v>
      </c>
      <c r="Y1538" s="1" t="str">
        <f>"96/07/02"</f>
        <v>96/07/02</v>
      </c>
      <c r="Z1538" s="1" t="str">
        <f>"96-36238"</f>
        <v>96-36238</v>
      </c>
      <c r="AA1538" s="1" t="str">
        <f>"راه سازي"</f>
        <v>راه سازي</v>
      </c>
      <c r="AB1538" s="1" t="str">
        <f>"96/07/02"</f>
        <v>96/07/02</v>
      </c>
      <c r="AC1538" s="1" t="str">
        <f>"استان فارس"</f>
        <v>استان فارس</v>
      </c>
      <c r="AD1538" s="1" t="str">
        <f>"96/06/28"</f>
        <v>96/06/28</v>
      </c>
      <c r="AE1538" s="1" t="str">
        <f>"اختتام"</f>
        <v>اختتام</v>
      </c>
      <c r="AF1538" s="1" t="str">
        <f>""</f>
        <v/>
      </c>
      <c r="AG1538" s="1" t="str">
        <f>""</f>
        <v/>
      </c>
      <c r="AH1538" s="1" t="str">
        <f>""</f>
        <v/>
      </c>
      <c r="AI1538" s="1" t="str">
        <f>""</f>
        <v/>
      </c>
      <c r="AJ1538" s="1" t="str">
        <f>""</f>
        <v/>
      </c>
      <c r="AK1538" s="1" t="str">
        <f>""</f>
        <v/>
      </c>
    </row>
    <row r="1539" spans="1:37">
      <c r="A1539" s="1">
        <v>118458</v>
      </c>
      <c r="B1539" s="1">
        <v>962000012</v>
      </c>
      <c r="C1539" s="1" t="str">
        <f>"تخليه -اصفهان نطنزكيلومتر5جاده گل آبادمقابل ايستگاه راه آهن واحدتوليدآسفالت گرم شركت ايران مترو"</f>
        <v>تخليه -اصفهان نطنزكيلومتر5جاده گل آبادمقابل ايستگاه راه آهن واحدتوليدآسفالت گرم شركت ايران مترو</v>
      </c>
      <c r="D1539" s="1">
        <v>9113</v>
      </c>
      <c r="E1539" s="1">
        <v>118458</v>
      </c>
      <c r="F1539" s="1">
        <v>96</v>
      </c>
      <c r="G1539" s="1">
        <v>0</v>
      </c>
      <c r="H1539" s="1" t="str">
        <f>"96/07/03"</f>
        <v>96/07/03</v>
      </c>
      <c r="I1539" s="1" t="str">
        <f>"كيلوگرم"</f>
        <v>كيلوگرم</v>
      </c>
      <c r="J1539" s="1" t="str">
        <f>"0000000076"</f>
        <v>0000000076</v>
      </c>
      <c r="K1539" s="1" t="str">
        <f>"قير 60/70 - فله"</f>
        <v>قير 60/70 - فله</v>
      </c>
      <c r="L1539" s="1">
        <v>100</v>
      </c>
      <c r="M1539" s="1" t="str">
        <f>"مخازن قير اصفهان"</f>
        <v>مخازن قير اصفهان</v>
      </c>
      <c r="N1539" s="1">
        <v>10685</v>
      </c>
      <c r="O1539" s="1">
        <v>50036153</v>
      </c>
      <c r="P1539" s="1" t="str">
        <f>"  شهرداري بادرود"</f>
        <v xml:space="preserve">  شهرداري بادرود</v>
      </c>
      <c r="Q1539" s="1">
        <v>20</v>
      </c>
      <c r="R1539" s="1" t="str">
        <f>"فروش داخلي - سازمان شهرداري ها و دهياري هاي كشور"</f>
        <v>فروش داخلي - سازمان شهرداري ها و دهياري هاي كشور</v>
      </c>
      <c r="S1539" s="1" t="str">
        <f>"قرارداد فروش"</f>
        <v>قرارداد فروش</v>
      </c>
      <c r="T1539" s="1" t="str">
        <f>"ندارد"</f>
        <v>ندارد</v>
      </c>
      <c r="U1539" s="1" t="str">
        <f>"تعاوني جم گستر (1001 ج 89)"</f>
        <v>تعاوني جم گستر (1001 ج 89)</v>
      </c>
      <c r="V1539" s="1">
        <v>962000012</v>
      </c>
      <c r="W1539" s="1">
        <v>962000012</v>
      </c>
      <c r="X1539" s="1" t="str">
        <f>"1396514467"</f>
        <v>1396514467</v>
      </c>
      <c r="Y1539" s="1" t="str">
        <f>"96/07/03"</f>
        <v>96/07/03</v>
      </c>
      <c r="Z1539" s="1" t="str">
        <f>"26880مرحله اول"</f>
        <v>26880مرحله اول</v>
      </c>
      <c r="AA1539" s="1" t="str">
        <f>"شهرداريها"</f>
        <v>شهرداريها</v>
      </c>
      <c r="AB1539" s="1" t="str">
        <f>"96/06/29"</f>
        <v>96/06/29</v>
      </c>
      <c r="AC1539" s="1" t="str">
        <f>"استان اصفهان"</f>
        <v>استان اصفهان</v>
      </c>
      <c r="AD1539" s="1" t="str">
        <f>"96/07/03"</f>
        <v>96/07/03</v>
      </c>
      <c r="AE1539" s="1" t="str">
        <f>"اختتام"</f>
        <v>اختتام</v>
      </c>
      <c r="AF1539" s="1" t="str">
        <f>""</f>
        <v/>
      </c>
      <c r="AG1539" s="1" t="str">
        <f>""</f>
        <v/>
      </c>
      <c r="AH1539" s="1" t="str">
        <f>""</f>
        <v/>
      </c>
      <c r="AI1539" s="1" t="str">
        <f>""</f>
        <v/>
      </c>
      <c r="AJ1539" s="1" t="str">
        <f>""</f>
        <v/>
      </c>
      <c r="AK1539" s="1" t="str">
        <f>""</f>
        <v/>
      </c>
    </row>
    <row r="1540" spans="1:37">
      <c r="A1540" s="1">
        <v>23000</v>
      </c>
      <c r="B1540" s="1">
        <v>961100002</v>
      </c>
      <c r="C1540" s="1" t="str">
        <f>"تخليه كردستان سنندج كيلومتر6جاده سنندج كرمانشاه مجتمع توليدي اييدر"</f>
        <v>تخليه كردستان سنندج كيلومتر6جاده سنندج كرمانشاه مجتمع توليدي اييدر</v>
      </c>
      <c r="D1540" s="1">
        <v>11482</v>
      </c>
      <c r="E1540" s="1">
        <v>22480</v>
      </c>
      <c r="F1540" s="1">
        <v>96</v>
      </c>
      <c r="G1540" s="1">
        <v>520</v>
      </c>
      <c r="H1540" s="1" t="str">
        <f>"96/01/23"</f>
        <v>96/01/23</v>
      </c>
      <c r="I1540" s="1" t="str">
        <f>"كيلوگرم"</f>
        <v>كيلوگرم</v>
      </c>
      <c r="J1540" s="1" t="str">
        <f>"1000000003"</f>
        <v>1000000003</v>
      </c>
      <c r="K1540" s="1" t="str">
        <f>"قير MC250"</f>
        <v>قير MC250</v>
      </c>
      <c r="L1540" s="1">
        <v>100</v>
      </c>
      <c r="M1540" s="1" t="str">
        <f>"مخازن قير اصفهان"</f>
        <v>مخازن قير اصفهان</v>
      </c>
      <c r="N1540" s="1">
        <v>4009</v>
      </c>
      <c r="O1540" s="1">
        <v>50034546</v>
      </c>
      <c r="P1540" s="1" t="str">
        <f>"  سازمان عمران و بازآفريني فضاي شهري شهرداري سنندج (2849000)"</f>
        <v xml:space="preserve">  سازمان عمران و بازآفريني فضاي شهري شهرداري سنندج (2849000)</v>
      </c>
      <c r="Q1540" s="1">
        <v>11</v>
      </c>
      <c r="R1540" s="1" t="str">
        <f>"فروش داخلي تهران - بورس"</f>
        <v>فروش داخلي تهران - بورس</v>
      </c>
      <c r="S1540" s="1" t="str">
        <f>"قرارداد فروش"</f>
        <v>قرارداد فروش</v>
      </c>
      <c r="T1540" s="1" t="str">
        <f>"ندارد"</f>
        <v>ندارد</v>
      </c>
      <c r="U1540" s="1" t="str">
        <f>"سازمان عمران و بازآفريني فضاي شهري شهرداري سنندج (2849000)"</f>
        <v>سازمان عمران و بازآفريني فضاي شهري شهرداري سنندج (2849000)</v>
      </c>
      <c r="V1540" s="1">
        <v>961100002</v>
      </c>
      <c r="W1540" s="1">
        <v>961100002</v>
      </c>
      <c r="X1540" s="1" t="str">
        <f>"1396472558"</f>
        <v>1396472558</v>
      </c>
      <c r="Y1540" s="1" t="str">
        <f>"96/01/21"</f>
        <v>96/01/21</v>
      </c>
      <c r="Z1540" s="1" t="str">
        <f>"95-35299"</f>
        <v>95-35299</v>
      </c>
      <c r="AA1540" s="1" t="str">
        <f>"شهرداريها"</f>
        <v>شهرداريها</v>
      </c>
      <c r="AB1540" s="1" t="str">
        <f>"96/01/21"</f>
        <v>96/01/21</v>
      </c>
      <c r="AC1540" s="1" t="str">
        <f>"استان كردستان"</f>
        <v>استان كردستان</v>
      </c>
      <c r="AD1540" s="1" t="str">
        <f>"96/01/19"</f>
        <v>96/01/19</v>
      </c>
      <c r="AE1540" s="1" t="str">
        <f>"اختتام"</f>
        <v>اختتام</v>
      </c>
      <c r="AF1540" s="1" t="str">
        <f>""</f>
        <v/>
      </c>
      <c r="AG1540" s="1" t="str">
        <f>""</f>
        <v/>
      </c>
      <c r="AH1540" s="1" t="str">
        <f>""</f>
        <v/>
      </c>
      <c r="AI1540" s="1" t="str">
        <f>""</f>
        <v/>
      </c>
      <c r="AJ1540" s="1" t="str">
        <f>""</f>
        <v/>
      </c>
      <c r="AK1540" s="1" t="str">
        <f>""</f>
        <v/>
      </c>
    </row>
    <row r="1541" spans="1:37">
      <c r="A1541" s="1">
        <v>34000</v>
      </c>
      <c r="B1541" s="1">
        <v>966200418</v>
      </c>
      <c r="C1541" s="1" t="str">
        <f>"تخليه - چهارمحال و بختياري-لردگان-خانميرزا-روستاي سلح چين-کارخانهآسفالت کوشک سازان سلح چين"</f>
        <v>تخليه - چهارمحال و بختياري-لردگان-خانميرزا-روستاي سلح چين-کارخانهآسفالت کوشک سازان سلح چين</v>
      </c>
      <c r="D1541" s="1">
        <v>12820</v>
      </c>
      <c r="E1541" s="1">
        <v>33000</v>
      </c>
      <c r="F1541" s="1">
        <v>96</v>
      </c>
      <c r="G1541" s="1">
        <v>1000</v>
      </c>
      <c r="H1541" s="1" t="str">
        <f>"96/09/12"</f>
        <v>96/09/12</v>
      </c>
      <c r="I1541" s="1" t="str">
        <f>"كيلوگرم"</f>
        <v>كيلوگرم</v>
      </c>
      <c r="J1541" s="1" t="str">
        <f>"1000000002"</f>
        <v>1000000002</v>
      </c>
      <c r="K1541" s="1" t="str">
        <f>"قير 85/100 - فله"</f>
        <v>قير 85/100 - فله</v>
      </c>
      <c r="L1541" s="1">
        <v>100</v>
      </c>
      <c r="M1541" s="1" t="str">
        <f>"مخازن قير اصفهان"</f>
        <v>مخازن قير اصفهان</v>
      </c>
      <c r="N1541" s="1">
        <v>11115</v>
      </c>
      <c r="O1541" s="1">
        <v>50037432</v>
      </c>
      <c r="P1541" s="1" t="str">
        <f>"  فني مهندسي استحکام سازه ارمند"</f>
        <v xml:space="preserve">  فني مهندسي استحکام سازه ارمند</v>
      </c>
      <c r="Q1541" s="1">
        <v>62</v>
      </c>
      <c r="R1541" s="1" t="str">
        <f>"فروش داخلي - سازمان بنيادمسكن انقلاب اسلامي"</f>
        <v>فروش داخلي - سازمان بنيادمسكن انقلاب اسلامي</v>
      </c>
      <c r="S1541" s="1" t="str">
        <f>"قرارداد فروش"</f>
        <v>قرارداد فروش</v>
      </c>
      <c r="T1541" s="1" t="str">
        <f>"ندارد"</f>
        <v>ندارد</v>
      </c>
      <c r="U1541" s="1" t="str">
        <f>"قره باغي مجيد(1871065)"</f>
        <v>قره باغي مجيد(1871065)</v>
      </c>
      <c r="V1541" s="1">
        <v>966200418</v>
      </c>
      <c r="W1541" s="1">
        <v>966200418</v>
      </c>
      <c r="X1541" s="1" t="str">
        <f>"1396529574"</f>
        <v>1396529574</v>
      </c>
      <c r="Y1541" s="1" t="str">
        <f>"96/09/12"</f>
        <v>96/09/12</v>
      </c>
      <c r="Z1541" s="1" t="str">
        <f>"40051/د"</f>
        <v>40051/د</v>
      </c>
      <c r="AA1541" s="1" t="str">
        <f>"بنيادمسكن انقلاب اسلامي"</f>
        <v>بنيادمسكن انقلاب اسلامي</v>
      </c>
      <c r="AB1541" s="1" t="str">
        <f>"96/09/11"</f>
        <v>96/09/11</v>
      </c>
      <c r="AC1541" s="1" t="str">
        <f>"استان چهارمحال بختياري"</f>
        <v>استان چهارمحال بختياري</v>
      </c>
      <c r="AD1541" s="1" t="str">
        <f>"96/09/12"</f>
        <v>96/09/12</v>
      </c>
      <c r="AE1541" s="1" t="str">
        <f>"اختتام"</f>
        <v>اختتام</v>
      </c>
      <c r="AF1541" s="1" t="str">
        <f>""</f>
        <v/>
      </c>
      <c r="AG1541" s="1" t="str">
        <f>""</f>
        <v/>
      </c>
      <c r="AH1541" s="1" t="str">
        <f>""</f>
        <v/>
      </c>
      <c r="AI1541" s="1" t="str">
        <f>""</f>
        <v/>
      </c>
      <c r="AJ1541" s="1" t="str">
        <f>""</f>
        <v/>
      </c>
      <c r="AK1541" s="1" t="str">
        <f>""</f>
        <v/>
      </c>
    </row>
    <row r="1542" spans="1:37">
      <c r="A1542" s="1">
        <v>381000</v>
      </c>
      <c r="B1542" s="1">
        <v>966200308</v>
      </c>
      <c r="C1542" s="1" t="str">
        <f>"تخليه-چهارمحال و بختياري- اردل- گندمکار-جنب تلمبه خانه شماره 6 شهيد جبار زارع- کارخانه آسفالت شرکت آزمون فلز پارس"</f>
        <v>تخليه-چهارمحال و بختياري- اردل- گندمکار-جنب تلمبه خانه شماره 6 شهيد جبار زارع- کارخانه آسفالت شرکت آزمون فلز پارس</v>
      </c>
      <c r="D1542" s="1">
        <v>9113</v>
      </c>
      <c r="E1542" s="1">
        <v>380140</v>
      </c>
      <c r="F1542" s="1">
        <v>96</v>
      </c>
      <c r="G1542" s="1">
        <v>860</v>
      </c>
      <c r="H1542" s="1" t="str">
        <f>"96/07/18"</f>
        <v>96/07/18</v>
      </c>
      <c r="I1542" s="1" t="str">
        <f>"كيلوگرم"</f>
        <v>كيلوگرم</v>
      </c>
      <c r="J1542" s="1" t="str">
        <f>"1000000002"</f>
        <v>1000000002</v>
      </c>
      <c r="K1542" s="1" t="str">
        <f>"قير 85/100 - فله"</f>
        <v>قير 85/100 - فله</v>
      </c>
      <c r="L1542" s="1">
        <v>100</v>
      </c>
      <c r="M1542" s="1" t="str">
        <f>"مخازن قير اصفهان"</f>
        <v>مخازن قير اصفهان</v>
      </c>
      <c r="N1542" s="1">
        <v>11124</v>
      </c>
      <c r="O1542" s="1">
        <v>50036663</v>
      </c>
      <c r="P1542" s="1" t="str">
        <f>"  آزمون فلز پارس"</f>
        <v xml:space="preserve">  آزمون فلز پارس</v>
      </c>
      <c r="Q1542" s="1">
        <v>62</v>
      </c>
      <c r="R1542" s="1" t="str">
        <f>"فروش داخلي - سازمان بنيادمسكن انقلاب اسلامي"</f>
        <v>فروش داخلي - سازمان بنيادمسكن انقلاب اسلامي</v>
      </c>
      <c r="S1542" s="1" t="str">
        <f>"قرارداد فروش"</f>
        <v>قرارداد فروش</v>
      </c>
      <c r="T1542" s="1" t="str">
        <f>"ندارد"</f>
        <v>ندارد</v>
      </c>
      <c r="U1542" s="1" t="str">
        <f>"قره باغي مجيد(1871065)"</f>
        <v>قره باغي مجيد(1871065)</v>
      </c>
      <c r="V1542" s="1">
        <v>966200308</v>
      </c>
      <c r="W1542" s="1">
        <v>966200308</v>
      </c>
      <c r="X1542" s="1" t="str">
        <f>"1396517670"</f>
        <v>1396517670</v>
      </c>
      <c r="Y1542" s="1" t="str">
        <f>"96/07/18"</f>
        <v>96/07/18</v>
      </c>
      <c r="Z1542" s="1" t="str">
        <f>"31769/د"</f>
        <v>31769/د</v>
      </c>
      <c r="AA1542" s="1" t="str">
        <f>"بنيادمسكن انقلاب اسلامي"</f>
        <v>بنيادمسكن انقلاب اسلامي</v>
      </c>
      <c r="AB1542" s="1" t="str">
        <f>"96/07/17"</f>
        <v>96/07/17</v>
      </c>
      <c r="AC1542" s="1" t="str">
        <f>"استان چهارمحال بختياري"</f>
        <v>استان چهارمحال بختياري</v>
      </c>
      <c r="AD1542" s="1" t="str">
        <f>"96/07/18"</f>
        <v>96/07/18</v>
      </c>
      <c r="AE1542" s="1" t="str">
        <f>"اختتام"</f>
        <v>اختتام</v>
      </c>
      <c r="AF1542" s="1" t="str">
        <f>""</f>
        <v/>
      </c>
      <c r="AG1542" s="1" t="str">
        <f>""</f>
        <v/>
      </c>
      <c r="AH1542" s="1" t="str">
        <f>""</f>
        <v/>
      </c>
      <c r="AI1542" s="1" t="str">
        <f>""</f>
        <v/>
      </c>
      <c r="AJ1542" s="1" t="str">
        <f>""</f>
        <v/>
      </c>
      <c r="AK1542" s="1" t="str">
        <f>""</f>
        <v/>
      </c>
    </row>
    <row r="1543" spans="1:37">
      <c r="A1543" s="1">
        <v>40000</v>
      </c>
      <c r="B1543" s="1">
        <v>966200419</v>
      </c>
      <c r="C1543" s="1" t="str">
        <f>"تخليه - لردگان - فلارد -سه راهي ارمند-تنگ لايبيد-کارخانه آسفالت موسوي"</f>
        <v>تخليه - لردگان - فلارد -سه راهي ارمند-تنگ لايبيد-کارخانه آسفالت موسوي</v>
      </c>
      <c r="D1543" s="1">
        <v>12820</v>
      </c>
      <c r="E1543" s="1">
        <v>39460</v>
      </c>
      <c r="F1543" s="1">
        <v>96</v>
      </c>
      <c r="G1543" s="1">
        <v>540</v>
      </c>
      <c r="H1543" s="1" t="str">
        <f>"96/09/12"</f>
        <v>96/09/12</v>
      </c>
      <c r="I1543" s="1" t="str">
        <f>"كيلوگرم"</f>
        <v>كيلوگرم</v>
      </c>
      <c r="J1543" s="1" t="str">
        <f>"1000000002"</f>
        <v>1000000002</v>
      </c>
      <c r="K1543" s="1" t="str">
        <f>"قير 85/100 - فله"</f>
        <v>قير 85/100 - فله</v>
      </c>
      <c r="L1543" s="1">
        <v>100</v>
      </c>
      <c r="M1543" s="1" t="str">
        <f>"مخازن قير اصفهان"</f>
        <v>مخازن قير اصفهان</v>
      </c>
      <c r="N1543" s="1">
        <v>11162</v>
      </c>
      <c r="O1543" s="1">
        <v>50037433</v>
      </c>
      <c r="P1543" s="1" t="str">
        <f>"  راه و باند آباد راهان لردگان"</f>
        <v xml:space="preserve">  راه و باند آباد راهان لردگان</v>
      </c>
      <c r="Q1543" s="1">
        <v>62</v>
      </c>
      <c r="R1543" s="1" t="str">
        <f>"فروش داخلي - سازمان بنيادمسكن انقلاب اسلامي"</f>
        <v>فروش داخلي - سازمان بنيادمسكن انقلاب اسلامي</v>
      </c>
      <c r="S1543" s="1" t="str">
        <f>"قرارداد فروش"</f>
        <v>قرارداد فروش</v>
      </c>
      <c r="T1543" s="1" t="str">
        <f>"ندارد"</f>
        <v>ندارد</v>
      </c>
      <c r="U1543" s="1" t="str">
        <f>"قره باغي مجيد(1871065)"</f>
        <v>قره باغي مجيد(1871065)</v>
      </c>
      <c r="V1543" s="1">
        <v>966200419</v>
      </c>
      <c r="W1543" s="1">
        <v>966200419</v>
      </c>
      <c r="X1543" s="1" t="str">
        <f>"1396529574"</f>
        <v>1396529574</v>
      </c>
      <c r="Y1543" s="1" t="str">
        <f>"96/09/12"</f>
        <v>96/09/12</v>
      </c>
      <c r="Z1543" s="1" t="str">
        <f>"40052/د"</f>
        <v>40052/د</v>
      </c>
      <c r="AA1543" s="1" t="str">
        <f>"بنيادمسكن انقلاب اسلامي"</f>
        <v>بنيادمسكن انقلاب اسلامي</v>
      </c>
      <c r="AB1543" s="1" t="str">
        <f>"96/09/11"</f>
        <v>96/09/11</v>
      </c>
      <c r="AC1543" s="1" t="str">
        <f>"استان چهارمحال بختياري"</f>
        <v>استان چهارمحال بختياري</v>
      </c>
      <c r="AD1543" s="1" t="str">
        <f>"96/09/12"</f>
        <v>96/09/12</v>
      </c>
      <c r="AE1543" s="1" t="str">
        <f>"اختتام"</f>
        <v>اختتام</v>
      </c>
      <c r="AF1543" s="1" t="str">
        <f>""</f>
        <v/>
      </c>
      <c r="AG1543" s="1" t="str">
        <f>""</f>
        <v/>
      </c>
      <c r="AH1543" s="1" t="str">
        <f>""</f>
        <v/>
      </c>
      <c r="AI1543" s="1" t="str">
        <f>""</f>
        <v/>
      </c>
      <c r="AJ1543" s="1" t="str">
        <f>""</f>
        <v/>
      </c>
      <c r="AK1543" s="1" t="str">
        <f>""</f>
        <v/>
      </c>
    </row>
    <row r="1544" spans="1:37">
      <c r="A1544" s="1">
        <v>93000</v>
      </c>
      <c r="B1544" s="1">
        <v>966200698</v>
      </c>
      <c r="C1544" s="1" t="str">
        <f>"تخليه - زنجان - کيلومتر 10جاده ترانزيتي زنجان ميانه دست چپ کارخانه آسفالت شرکت زنجان ره ساز"</f>
        <v>تخليه - زنجان - کيلومتر 10جاده ترانزيتي زنجان ميانه دست چپ کارخانه آسفالت شرکت زنجان ره ساز</v>
      </c>
      <c r="D1544" s="1">
        <v>13350</v>
      </c>
      <c r="E1544" s="1">
        <v>93000</v>
      </c>
      <c r="F1544" s="1">
        <v>96</v>
      </c>
      <c r="G1544" s="1">
        <v>0</v>
      </c>
      <c r="H1544" s="1" t="str">
        <f>"96/12/24"</f>
        <v>96/12/24</v>
      </c>
      <c r="I1544" s="1" t="str">
        <f>"كيلوگرم"</f>
        <v>كيلوگرم</v>
      </c>
      <c r="J1544" s="1" t="str">
        <f>"1000000002"</f>
        <v>1000000002</v>
      </c>
      <c r="K1544" s="1" t="str">
        <f>"قير 85/100 - فله"</f>
        <v>قير 85/100 - فله</v>
      </c>
      <c r="L1544" s="1">
        <v>100</v>
      </c>
      <c r="M1544" s="1" t="str">
        <f>"مخازن قير اصفهان"</f>
        <v>مخازن قير اصفهان</v>
      </c>
      <c r="N1544" s="1">
        <v>11237</v>
      </c>
      <c r="O1544" s="1">
        <v>50038974</v>
      </c>
      <c r="P1544" s="1" t="str">
        <f>"  بنياد مسکن انقلاب اسلامي زنجان"</f>
        <v xml:space="preserve">  بنياد مسکن انقلاب اسلامي زنجان</v>
      </c>
      <c r="Q1544" s="1">
        <v>62</v>
      </c>
      <c r="R1544" s="1" t="str">
        <f>"فروش داخلي - سازمان بنيادمسكن انقلاب اسلامي"</f>
        <v>فروش داخلي - سازمان بنيادمسكن انقلاب اسلامي</v>
      </c>
      <c r="S1544" s="1" t="str">
        <f>"قرارداد فروش"</f>
        <v>قرارداد فروش</v>
      </c>
      <c r="T1544" s="1" t="str">
        <f>"ندارد"</f>
        <v>ندارد</v>
      </c>
      <c r="U1544" s="1" t="str">
        <f>"فتاح زاده سيداحمد(3843011)"</f>
        <v>فتاح زاده سيداحمد(3843011)</v>
      </c>
      <c r="V1544" s="1">
        <v>966200698</v>
      </c>
      <c r="W1544" s="1">
        <v>966200698</v>
      </c>
      <c r="X1544" s="1" t="str">
        <f>"1396555241"</f>
        <v>1396555241</v>
      </c>
      <c r="Y1544" s="1" t="str">
        <f>"96/12/24"</f>
        <v>96/12/24</v>
      </c>
      <c r="Z1544" s="1" t="str">
        <f>"59214/د"</f>
        <v>59214/د</v>
      </c>
      <c r="AA1544" s="1" t="str">
        <f>"بنيادمسكن انقلاب اسلامي"</f>
        <v>بنيادمسكن انقلاب اسلامي</v>
      </c>
      <c r="AB1544" s="1" t="str">
        <f>"96/12/23"</f>
        <v>96/12/23</v>
      </c>
      <c r="AC1544" s="1" t="str">
        <f>"استان زنجان"</f>
        <v>استان زنجان</v>
      </c>
      <c r="AD1544" s="1" t="str">
        <f>"96/12/23"</f>
        <v>96/12/23</v>
      </c>
      <c r="AE1544" s="1" t="str">
        <f>"اختتام"</f>
        <v>اختتام</v>
      </c>
      <c r="AF1544" s="1" t="str">
        <f>""</f>
        <v/>
      </c>
      <c r="AG1544" s="1" t="str">
        <f>""</f>
        <v/>
      </c>
      <c r="AH1544" s="1" t="str">
        <f>""</f>
        <v/>
      </c>
      <c r="AI1544" s="1" t="str">
        <f>""</f>
        <v/>
      </c>
      <c r="AJ1544" s="1" t="str">
        <f>""</f>
        <v/>
      </c>
      <c r="AK1544" s="1" t="str">
        <f>""</f>
        <v/>
      </c>
    </row>
    <row r="1545" spans="1:37">
      <c r="A1545" s="1">
        <v>49000</v>
      </c>
      <c r="B1545" s="1">
        <v>966200357</v>
      </c>
      <c r="C1545" s="1" t="str">
        <f>"تخليه - چهارمحال-شهرکرد-فارسان-سه راهي پردنجان-روستاي چليچه-کارخانه آسفالت احمديه چليچه"</f>
        <v>تخليه - چهارمحال-شهرکرد-فارسان-سه راهي پردنجان-روستاي چليچه-کارخانه آسفالت احمديه چليچه</v>
      </c>
      <c r="D1545" s="1">
        <v>9416</v>
      </c>
      <c r="E1545" s="1">
        <v>48780</v>
      </c>
      <c r="F1545" s="1">
        <v>96</v>
      </c>
      <c r="G1545" s="1">
        <v>220</v>
      </c>
      <c r="H1545" s="1" t="str">
        <f>"96/08/09"</f>
        <v>96/08/09</v>
      </c>
      <c r="I1545" s="1" t="str">
        <f>"كيلوگرم"</f>
        <v>كيلوگرم</v>
      </c>
      <c r="J1545" s="1" t="str">
        <f>"1000000002"</f>
        <v>1000000002</v>
      </c>
      <c r="K1545" s="1" t="str">
        <f>"قير 85/100 - فله"</f>
        <v>قير 85/100 - فله</v>
      </c>
      <c r="L1545" s="1">
        <v>100</v>
      </c>
      <c r="M1545" s="1" t="str">
        <f>"مخازن قير اصفهان"</f>
        <v>مخازن قير اصفهان</v>
      </c>
      <c r="N1545" s="1">
        <v>11489</v>
      </c>
      <c r="O1545" s="1">
        <v>50036967</v>
      </c>
      <c r="P1545" s="1" t="str">
        <f>"  جهانبين ميزدج"</f>
        <v xml:space="preserve">  جهانبين ميزدج</v>
      </c>
      <c r="Q1545" s="1">
        <v>62</v>
      </c>
      <c r="R1545" s="1" t="str">
        <f>"فروش داخلي - سازمان بنيادمسكن انقلاب اسلامي"</f>
        <v>فروش داخلي - سازمان بنيادمسكن انقلاب اسلامي</v>
      </c>
      <c r="S1545" s="1" t="str">
        <f>"قرارداد فروش"</f>
        <v>قرارداد فروش</v>
      </c>
      <c r="T1545" s="1" t="str">
        <f>"ندارد"</f>
        <v>ندارد</v>
      </c>
      <c r="U1545" s="1" t="str">
        <f>"قره باغي مجيد(1871065)"</f>
        <v>قره باغي مجيد(1871065)</v>
      </c>
      <c r="V1545" s="1">
        <v>966200357</v>
      </c>
      <c r="W1545" s="1">
        <v>966200357</v>
      </c>
      <c r="X1545" s="1" t="str">
        <f>"1396522094"</f>
        <v>1396522094</v>
      </c>
      <c r="Y1545" s="1" t="str">
        <f>"96/08/09"</f>
        <v>96/08/09</v>
      </c>
      <c r="Z1545" s="1" t="str">
        <f>"35092/د"</f>
        <v>35092/د</v>
      </c>
      <c r="AA1545" s="1" t="str">
        <f>"بنيادمسكن انقلاب اسلامي"</f>
        <v>بنيادمسكن انقلاب اسلامي</v>
      </c>
      <c r="AB1545" s="1" t="str">
        <f>"96/08/07"</f>
        <v>96/08/07</v>
      </c>
      <c r="AC1545" s="1" t="str">
        <f>"استان چهارمحال بختياري"</f>
        <v>استان چهارمحال بختياري</v>
      </c>
      <c r="AD1545" s="1" t="str">
        <f>"96/08/08"</f>
        <v>96/08/08</v>
      </c>
      <c r="AE1545" s="1" t="str">
        <f>"اختتام"</f>
        <v>اختتام</v>
      </c>
      <c r="AF1545" s="1" t="str">
        <f>""</f>
        <v/>
      </c>
      <c r="AG1545" s="1" t="str">
        <f>""</f>
        <v/>
      </c>
      <c r="AH1545" s="1" t="str">
        <f>""</f>
        <v/>
      </c>
      <c r="AI1545" s="1" t="str">
        <f>""</f>
        <v/>
      </c>
      <c r="AJ1545" s="1" t="str">
        <f>""</f>
        <v/>
      </c>
      <c r="AK1545" s="1" t="str">
        <f>""</f>
        <v/>
      </c>
    </row>
    <row r="1546" spans="1:37">
      <c r="A1546" s="1">
        <v>44779</v>
      </c>
      <c r="B1546" s="1">
        <v>962000420</v>
      </c>
      <c r="C1546" s="1" t="str">
        <f>"تخليه اصفهان جاده علويجه كيلومتر12كارخانه افق راه ماندگار"</f>
        <v>تخليه اصفهان جاده علويجه كيلومتر12كارخانه افق راه ماندگار</v>
      </c>
      <c r="D1546" s="1">
        <v>12820</v>
      </c>
      <c r="E1546" s="1">
        <v>44779</v>
      </c>
      <c r="F1546" s="1">
        <v>96</v>
      </c>
      <c r="G1546" s="1">
        <v>0</v>
      </c>
      <c r="H1546" s="1" t="str">
        <f>"96/09/20"</f>
        <v>96/09/20</v>
      </c>
      <c r="I1546" s="1" t="str">
        <f>"كيلوگرم"</f>
        <v>كيلوگرم</v>
      </c>
      <c r="J1546" s="1" t="str">
        <f>"0000000076"</f>
        <v>0000000076</v>
      </c>
      <c r="K1546" s="1" t="str">
        <f>"قير 60/70 - فله"</f>
        <v>قير 60/70 - فله</v>
      </c>
      <c r="L1546" s="1">
        <v>100</v>
      </c>
      <c r="M1546" s="1" t="str">
        <f>"مخازن قير اصفهان"</f>
        <v>مخازن قير اصفهان</v>
      </c>
      <c r="N1546" s="1">
        <v>10691</v>
      </c>
      <c r="O1546" s="1">
        <v>50037733</v>
      </c>
      <c r="P1546" s="1" t="str">
        <f>"  شهرداري تيران"</f>
        <v xml:space="preserve">  شهرداري تيران</v>
      </c>
      <c r="Q1546" s="1">
        <v>20</v>
      </c>
      <c r="R1546" s="1" t="str">
        <f>"فروش داخلي - سازمان شهرداري ها و دهياري هاي كشور"</f>
        <v>فروش داخلي - سازمان شهرداري ها و دهياري هاي كشور</v>
      </c>
      <c r="S1546" s="1" t="str">
        <f>"قرارداد فروش"</f>
        <v>قرارداد فروش</v>
      </c>
      <c r="T1546" s="1" t="str">
        <f>"ندارد"</f>
        <v>ندارد</v>
      </c>
      <c r="U1546" s="1" t="str">
        <f>"تعاوني جم گستر (1001 ج 89)"</f>
        <v>تعاوني جم گستر (1001 ج 89)</v>
      </c>
      <c r="V1546" s="1">
        <v>962000420</v>
      </c>
      <c r="W1546" s="1">
        <v>962000420</v>
      </c>
      <c r="X1546" s="1" t="str">
        <f>"1396529711"</f>
        <v>1396529711</v>
      </c>
      <c r="Y1546" s="1" t="str">
        <f>"96/09/20"</f>
        <v>96/09/20</v>
      </c>
      <c r="Z1546" s="1" t="str">
        <f>"37118مرحله دوم"</f>
        <v>37118مرحله دوم</v>
      </c>
      <c r="AA1546" s="1" t="str">
        <f>"شهرداريها"</f>
        <v>شهرداريها</v>
      </c>
      <c r="AB1546" s="1" t="str">
        <f>"96/09/04"</f>
        <v>96/09/04</v>
      </c>
      <c r="AC1546" s="1" t="str">
        <f>"استان اصفهان"</f>
        <v>استان اصفهان</v>
      </c>
      <c r="AD1546" s="1" t="str">
        <f>"96/09/13"</f>
        <v>96/09/13</v>
      </c>
      <c r="AE1546" s="1" t="str">
        <f>"اختتام"</f>
        <v>اختتام</v>
      </c>
      <c r="AF1546" s="1" t="str">
        <f>""</f>
        <v/>
      </c>
      <c r="AG1546" s="1" t="str">
        <f>""</f>
        <v/>
      </c>
      <c r="AH1546" s="1" t="str">
        <f>""</f>
        <v/>
      </c>
      <c r="AI1546" s="1" t="str">
        <f>""</f>
        <v/>
      </c>
      <c r="AJ1546" s="1" t="str">
        <f>""</f>
        <v/>
      </c>
      <c r="AK1546" s="1" t="str">
        <f>""</f>
        <v/>
      </c>
    </row>
    <row r="1547" spans="1:37">
      <c r="A1547" s="1">
        <v>36266</v>
      </c>
      <c r="B1547" s="1">
        <v>962000458</v>
      </c>
      <c r="C1547" s="1" t="str">
        <f>"تخليه اصفهان جاده اصفهان تهران شركت خاك پي"</f>
        <v>تخليه اصفهان جاده اصفهان تهران شركت خاك پي</v>
      </c>
      <c r="D1547" s="1">
        <v>12820</v>
      </c>
      <c r="E1547" s="1">
        <v>36266</v>
      </c>
      <c r="F1547" s="1">
        <v>96</v>
      </c>
      <c r="G1547" s="1">
        <v>0</v>
      </c>
      <c r="H1547" s="1" t="str">
        <f>"96/09/20"</f>
        <v>96/09/20</v>
      </c>
      <c r="I1547" s="1" t="str">
        <f>"كيلوگرم"</f>
        <v>كيلوگرم</v>
      </c>
      <c r="J1547" s="1" t="str">
        <f>"0000000076"</f>
        <v>0000000076</v>
      </c>
      <c r="K1547" s="1" t="str">
        <f>"قير 60/70 - فله"</f>
        <v>قير 60/70 - فله</v>
      </c>
      <c r="L1547" s="1">
        <v>100</v>
      </c>
      <c r="M1547" s="1" t="str">
        <f>"مخازن قير اصفهان"</f>
        <v>مخازن قير اصفهان</v>
      </c>
      <c r="N1547" s="1">
        <v>10695</v>
      </c>
      <c r="O1547" s="1">
        <v>50037780</v>
      </c>
      <c r="P1547" s="1" t="str">
        <f>"  شهرداري جوشقان قالي"</f>
        <v xml:space="preserve">  شهرداري جوشقان قالي</v>
      </c>
      <c r="Q1547" s="1">
        <v>20</v>
      </c>
      <c r="R1547" s="1" t="str">
        <f>"فروش داخلي - سازمان شهرداري ها و دهياري هاي كشور"</f>
        <v>فروش داخلي - سازمان شهرداري ها و دهياري هاي كشور</v>
      </c>
      <c r="S1547" s="1" t="str">
        <f>"قرارداد فروش"</f>
        <v>قرارداد فروش</v>
      </c>
      <c r="T1547" s="1" t="str">
        <f>"ندارد"</f>
        <v>ندارد</v>
      </c>
      <c r="U1547" s="1" t="str">
        <f>"تعاوني جم گستر (1001 ج 89)"</f>
        <v>تعاوني جم گستر (1001 ج 89)</v>
      </c>
      <c r="V1547" s="1">
        <v>962000458</v>
      </c>
      <c r="W1547" s="1">
        <v>962000458</v>
      </c>
      <c r="X1547" s="1" t="str">
        <f>"1396529711"</f>
        <v>1396529711</v>
      </c>
      <c r="Y1547" s="1" t="str">
        <f>"96/09/20"</f>
        <v>96/09/20</v>
      </c>
      <c r="Z1547" s="1" t="str">
        <f>"37120مرحله دوم"</f>
        <v>37120مرحله دوم</v>
      </c>
      <c r="AA1547" s="1" t="str">
        <f>"شهرداريها"</f>
        <v>شهرداريها</v>
      </c>
      <c r="AB1547" s="1" t="str">
        <f>"96/09/04"</f>
        <v>96/09/04</v>
      </c>
      <c r="AC1547" s="1" t="str">
        <f>"استان اصفهان"</f>
        <v>استان اصفهان</v>
      </c>
      <c r="AD1547" s="1" t="str">
        <f>"96/09/13"</f>
        <v>96/09/13</v>
      </c>
      <c r="AE1547" s="1" t="str">
        <f>"اختتام"</f>
        <v>اختتام</v>
      </c>
      <c r="AF1547" s="1" t="str">
        <f>""</f>
        <v/>
      </c>
      <c r="AG1547" s="1" t="str">
        <f>""</f>
        <v/>
      </c>
      <c r="AH1547" s="1" t="str">
        <f>""</f>
        <v/>
      </c>
      <c r="AI1547" s="1" t="str">
        <f>""</f>
        <v/>
      </c>
      <c r="AJ1547" s="1" t="str">
        <f>""</f>
        <v/>
      </c>
      <c r="AK1547" s="1" t="str">
        <f>""</f>
        <v/>
      </c>
    </row>
    <row r="1548" spans="1:37">
      <c r="A1548" s="1">
        <v>38211</v>
      </c>
      <c r="B1548" s="1">
        <v>962000411</v>
      </c>
      <c r="C1548" s="1" t="str">
        <f>"تخليه اصفهان كيلومتر16محورنيك آبادحسن آبادكارخانه آسفالت گل راه نقش جهان"</f>
        <v>تخليه اصفهان كيلومتر16محورنيك آبادحسن آبادكارخانه آسفالت گل راه نقش جهان</v>
      </c>
      <c r="D1548" s="1">
        <v>12820</v>
      </c>
      <c r="E1548" s="1">
        <v>38211</v>
      </c>
      <c r="F1548" s="1">
        <v>96</v>
      </c>
      <c r="G1548" s="1">
        <v>0</v>
      </c>
      <c r="H1548" s="1" t="str">
        <f>"96/09/20"</f>
        <v>96/09/20</v>
      </c>
      <c r="I1548" s="1" t="str">
        <f>"كيلوگرم"</f>
        <v>كيلوگرم</v>
      </c>
      <c r="J1548" s="1" t="str">
        <f>"0000000076"</f>
        <v>0000000076</v>
      </c>
      <c r="K1548" s="1" t="str">
        <f>"قير 60/70 - فله"</f>
        <v>قير 60/70 - فله</v>
      </c>
      <c r="L1548" s="1">
        <v>100</v>
      </c>
      <c r="M1548" s="1" t="str">
        <f>"مخازن قير اصفهان"</f>
        <v>مخازن قير اصفهان</v>
      </c>
      <c r="N1548" s="1">
        <v>10696</v>
      </c>
      <c r="O1548" s="1">
        <v>50037724</v>
      </c>
      <c r="P1548" s="1" t="str">
        <f>"  شهرداري هرند"</f>
        <v xml:space="preserve">  شهرداري هرند</v>
      </c>
      <c r="Q1548" s="1">
        <v>20</v>
      </c>
      <c r="R1548" s="1" t="str">
        <f>"فروش داخلي - سازمان شهرداري ها و دهياري هاي كشور"</f>
        <v>فروش داخلي - سازمان شهرداري ها و دهياري هاي كشور</v>
      </c>
      <c r="S1548" s="1" t="str">
        <f>"قرارداد فروش"</f>
        <v>قرارداد فروش</v>
      </c>
      <c r="T1548" s="1" t="str">
        <f>"ندارد"</f>
        <v>ندارد</v>
      </c>
      <c r="U1548" s="1" t="str">
        <f>"تعاوني جم گستر (1001 ج 89)"</f>
        <v>تعاوني جم گستر (1001 ج 89)</v>
      </c>
      <c r="V1548" s="1">
        <v>962000411</v>
      </c>
      <c r="W1548" s="1">
        <v>962000411</v>
      </c>
      <c r="X1548" s="1" t="str">
        <f>"1396529711"</f>
        <v>1396529711</v>
      </c>
      <c r="Y1548" s="1" t="str">
        <f>"96/09/20"</f>
        <v>96/09/20</v>
      </c>
      <c r="Z1548" s="1" t="str">
        <f>"37280مرحله دوم"</f>
        <v>37280مرحله دوم</v>
      </c>
      <c r="AA1548" s="1" t="str">
        <f>"شهرداريها"</f>
        <v>شهرداريها</v>
      </c>
      <c r="AB1548" s="1" t="str">
        <f>"96/09/05"</f>
        <v>96/09/05</v>
      </c>
      <c r="AC1548" s="1" t="str">
        <f>"استان اصفهان"</f>
        <v>استان اصفهان</v>
      </c>
      <c r="AD1548" s="1" t="str">
        <f>"96/09/13"</f>
        <v>96/09/13</v>
      </c>
      <c r="AE1548" s="1" t="str">
        <f>"تاييدشده"</f>
        <v>تاييدشده</v>
      </c>
      <c r="AF1548" s="1" t="str">
        <f>""</f>
        <v/>
      </c>
      <c r="AG1548" s="1" t="str">
        <f>""</f>
        <v/>
      </c>
      <c r="AH1548" s="1" t="str">
        <f>""</f>
        <v/>
      </c>
      <c r="AI1548" s="1" t="str">
        <f>""</f>
        <v/>
      </c>
      <c r="AJ1548" s="1" t="str">
        <f>""</f>
        <v/>
      </c>
      <c r="AK1548" s="1" t="str">
        <f>""</f>
        <v/>
      </c>
    </row>
    <row r="1549" spans="1:37">
      <c r="A1549" s="1">
        <v>25000</v>
      </c>
      <c r="B1549" s="1">
        <v>961100008</v>
      </c>
      <c r="C1549" s="1" t="str">
        <f>"تخليه -دامغان -کيلومتر5جاده چشمه علي -کارخانه شهرداري دامغان"</f>
        <v>تخليه -دامغان -کيلومتر5جاده چشمه علي -کارخانه شهرداري دامغان</v>
      </c>
      <c r="D1549" s="1">
        <v>12482</v>
      </c>
      <c r="E1549" s="1">
        <v>23800</v>
      </c>
      <c r="F1549" s="1">
        <v>96</v>
      </c>
      <c r="G1549" s="1">
        <v>1200</v>
      </c>
      <c r="H1549" s="1" t="str">
        <f>"96/02/10"</f>
        <v>96/02/10</v>
      </c>
      <c r="I1549" s="1" t="str">
        <f>"كيلوگرم"</f>
        <v>كيلوگرم</v>
      </c>
      <c r="J1549" s="1" t="str">
        <f>"1000000003"</f>
        <v>1000000003</v>
      </c>
      <c r="K1549" s="1" t="str">
        <f>"قير MC250"</f>
        <v>قير MC250</v>
      </c>
      <c r="L1549" s="1">
        <v>100</v>
      </c>
      <c r="M1549" s="1" t="str">
        <f>"مخازن قير اصفهان"</f>
        <v>مخازن قير اصفهان</v>
      </c>
      <c r="N1549" s="1">
        <v>4111</v>
      </c>
      <c r="O1549" s="1">
        <v>50034718</v>
      </c>
      <c r="P1549" s="1" t="str">
        <f>"  شهرداري دامغان"</f>
        <v xml:space="preserve">  شهرداري دامغان</v>
      </c>
      <c r="Q1549" s="1">
        <v>11</v>
      </c>
      <c r="R1549" s="1" t="str">
        <f>"فروش داخلي تهران - بورس"</f>
        <v>فروش داخلي تهران - بورس</v>
      </c>
      <c r="S1549" s="1" t="str">
        <f>"قرارداد فروش"</f>
        <v>قرارداد فروش</v>
      </c>
      <c r="T1549" s="1" t="str">
        <f>"ندارد"</f>
        <v>ندارد</v>
      </c>
      <c r="U1549" s="1" t="str">
        <f>"خادم ناصر(1841042)"</f>
        <v>خادم ناصر(1841042)</v>
      </c>
      <c r="V1549" s="1">
        <v>961100008</v>
      </c>
      <c r="W1549" s="1">
        <v>961100008</v>
      </c>
      <c r="X1549" s="1" t="str">
        <f>"1396477330"</f>
        <v>1396477330</v>
      </c>
      <c r="Y1549" s="1" t="str">
        <f>"96/02/09"</f>
        <v>96/02/09</v>
      </c>
      <c r="Z1549" s="1" t="str">
        <f>"96-35389"</f>
        <v>96-35389</v>
      </c>
      <c r="AA1549" s="1" t="str">
        <f>"شهرداريها"</f>
        <v>شهرداريها</v>
      </c>
      <c r="AB1549" s="1" t="str">
        <f>"96/02/09"</f>
        <v>96/02/09</v>
      </c>
      <c r="AC1549" s="1" t="str">
        <f>"استان سمنان"</f>
        <v>استان سمنان</v>
      </c>
      <c r="AD1549" s="1" t="str">
        <f>"96/02/06"</f>
        <v>96/02/06</v>
      </c>
      <c r="AE1549" s="1" t="str">
        <f>"اختتام"</f>
        <v>اختتام</v>
      </c>
      <c r="AF1549" s="1" t="str">
        <f>""</f>
        <v/>
      </c>
      <c r="AG1549" s="1" t="str">
        <f>""</f>
        <v/>
      </c>
      <c r="AH1549" s="1" t="str">
        <f>""</f>
        <v/>
      </c>
      <c r="AI1549" s="1" t="str">
        <f>""</f>
        <v/>
      </c>
      <c r="AJ1549" s="1" t="str">
        <f>""</f>
        <v/>
      </c>
      <c r="AK1549" s="1" t="str">
        <f>""</f>
        <v/>
      </c>
    </row>
    <row r="1550" spans="1:37">
      <c r="A1550" s="1">
        <v>111780</v>
      </c>
      <c r="B1550" s="1">
        <v>962000080</v>
      </c>
      <c r="C1550" s="1" t="str">
        <f>"تخليه اصفهان خوانساركيلومتر5جاده رحمت آباد"</f>
        <v>تخليه اصفهان خوانساركيلومتر5جاده رحمت آباد</v>
      </c>
      <c r="D1550" s="1">
        <v>9113</v>
      </c>
      <c r="E1550" s="1">
        <v>111780</v>
      </c>
      <c r="F1550" s="1">
        <v>96</v>
      </c>
      <c r="G1550" s="1">
        <v>0</v>
      </c>
      <c r="H1550" s="1" t="str">
        <f>"96/07/03"</f>
        <v>96/07/03</v>
      </c>
      <c r="I1550" s="1" t="str">
        <f>"كيلوگرم"</f>
        <v>كيلوگرم</v>
      </c>
      <c r="J1550" s="1" t="str">
        <f>"0000000076"</f>
        <v>0000000076</v>
      </c>
      <c r="K1550" s="1" t="str">
        <f>"قير 60/70 - فله"</f>
        <v>قير 60/70 - فله</v>
      </c>
      <c r="L1550" s="1">
        <v>100</v>
      </c>
      <c r="M1550" s="1" t="str">
        <f>"مخازن قير اصفهان"</f>
        <v>مخازن قير اصفهان</v>
      </c>
      <c r="N1550" s="1">
        <v>10705</v>
      </c>
      <c r="O1550" s="1">
        <v>50036234</v>
      </c>
      <c r="P1550" s="1" t="str">
        <f>"  شهرداري گوگد"</f>
        <v xml:space="preserve">  شهرداري گوگد</v>
      </c>
      <c r="Q1550" s="1">
        <v>20</v>
      </c>
      <c r="R1550" s="1" t="str">
        <f>"فروش داخلي - سازمان شهرداري ها و دهياري هاي كشور"</f>
        <v>فروش داخلي - سازمان شهرداري ها و دهياري هاي كشور</v>
      </c>
      <c r="S1550" s="1" t="str">
        <f>"قرارداد فروش"</f>
        <v>قرارداد فروش</v>
      </c>
      <c r="T1550" s="1" t="str">
        <f>"ندارد"</f>
        <v>ندارد</v>
      </c>
      <c r="U1550" s="1" t="str">
        <f>"تعاوني جم گستر (1001 ج 89)"</f>
        <v>تعاوني جم گستر (1001 ج 89)</v>
      </c>
      <c r="V1550" s="1">
        <v>962000080</v>
      </c>
      <c r="W1550" s="1">
        <v>962000080</v>
      </c>
      <c r="X1550" s="1" t="str">
        <f>"1396514467"</f>
        <v>1396514467</v>
      </c>
      <c r="Y1550" s="1" t="str">
        <f>"96/07/03"</f>
        <v>96/07/03</v>
      </c>
      <c r="Z1550" s="1" t="str">
        <f>"26680مرحله اول"</f>
        <v>26680مرحله اول</v>
      </c>
      <c r="AA1550" s="1" t="str">
        <f>"شهرداريها"</f>
        <v>شهرداريها</v>
      </c>
      <c r="AB1550" s="1" t="str">
        <f>"96/06/29"</f>
        <v>96/06/29</v>
      </c>
      <c r="AC1550" s="1" t="str">
        <f>"استان اصفهان"</f>
        <v>استان اصفهان</v>
      </c>
      <c r="AD1550" s="1" t="str">
        <f>"96/07/03"</f>
        <v>96/07/03</v>
      </c>
      <c r="AE1550" s="1" t="str">
        <f>"تاييدشده"</f>
        <v>تاييدشده</v>
      </c>
      <c r="AF1550" s="1" t="str">
        <f>""</f>
        <v/>
      </c>
      <c r="AG1550" s="1" t="str">
        <f>""</f>
        <v/>
      </c>
      <c r="AH1550" s="1" t="str">
        <f>""</f>
        <v/>
      </c>
      <c r="AI1550" s="1" t="str">
        <f>""</f>
        <v/>
      </c>
      <c r="AJ1550" s="1" t="str">
        <f>""</f>
        <v/>
      </c>
      <c r="AK1550" s="1" t="str">
        <f>""</f>
        <v/>
      </c>
    </row>
    <row r="1551" spans="1:37">
      <c r="A1551" s="1">
        <v>39729</v>
      </c>
      <c r="B1551" s="1">
        <v>962000464</v>
      </c>
      <c r="C1551" s="1" t="str">
        <f>"تخليه اصفهان گلپايگان 5كيلومتري جاده خوانساركارخانه آسفالت صنعت راه گلپايگان"</f>
        <v>تخليه اصفهان گلپايگان 5كيلومتري جاده خوانساركارخانه آسفالت صنعت راه گلپايگان</v>
      </c>
      <c r="D1551" s="1">
        <v>12820</v>
      </c>
      <c r="E1551" s="1">
        <v>39729</v>
      </c>
      <c r="F1551" s="1">
        <v>96</v>
      </c>
      <c r="G1551" s="1">
        <v>0</v>
      </c>
      <c r="H1551" s="1" t="str">
        <f>"96/09/20"</f>
        <v>96/09/20</v>
      </c>
      <c r="I1551" s="1" t="str">
        <f>"كيلوگرم"</f>
        <v>كيلوگرم</v>
      </c>
      <c r="J1551" s="1" t="str">
        <f>"0000000076"</f>
        <v>0000000076</v>
      </c>
      <c r="K1551" s="1" t="str">
        <f>"قير 60/70 - فله"</f>
        <v>قير 60/70 - فله</v>
      </c>
      <c r="L1551" s="1">
        <v>100</v>
      </c>
      <c r="M1551" s="1" t="str">
        <f>"مخازن قير اصفهان"</f>
        <v>مخازن قير اصفهان</v>
      </c>
      <c r="N1551" s="1">
        <v>10705</v>
      </c>
      <c r="O1551" s="1">
        <v>50037786</v>
      </c>
      <c r="P1551" s="1" t="str">
        <f>"  شهرداري گوگد"</f>
        <v xml:space="preserve">  شهرداري گوگد</v>
      </c>
      <c r="Q1551" s="1">
        <v>20</v>
      </c>
      <c r="R1551" s="1" t="str">
        <f>"فروش داخلي - سازمان شهرداري ها و دهياري هاي كشور"</f>
        <v>فروش داخلي - سازمان شهرداري ها و دهياري هاي كشور</v>
      </c>
      <c r="S1551" s="1" t="str">
        <f>"قرارداد فروش"</f>
        <v>قرارداد فروش</v>
      </c>
      <c r="T1551" s="1" t="str">
        <f>"ندارد"</f>
        <v>ندارد</v>
      </c>
      <c r="U1551" s="1" t="str">
        <f>"تعاوني جم گستر (1001 ج 89)"</f>
        <v>تعاوني جم گستر (1001 ج 89)</v>
      </c>
      <c r="V1551" s="1">
        <v>962000464</v>
      </c>
      <c r="W1551" s="1">
        <v>962000464</v>
      </c>
      <c r="X1551" s="1" t="str">
        <f>"1396529711"</f>
        <v>1396529711</v>
      </c>
      <c r="Y1551" s="1" t="str">
        <f>"96/09/20"</f>
        <v>96/09/20</v>
      </c>
      <c r="Z1551" s="1" t="str">
        <f>"37231مرحله دوم"</f>
        <v>37231مرحله دوم</v>
      </c>
      <c r="AA1551" s="1" t="str">
        <f>"شهرداريها"</f>
        <v>شهرداريها</v>
      </c>
      <c r="AB1551" s="1" t="str">
        <f>"96/09/05"</f>
        <v>96/09/05</v>
      </c>
      <c r="AC1551" s="1" t="str">
        <f>"استان اصفهان"</f>
        <v>استان اصفهان</v>
      </c>
      <c r="AD1551" s="1" t="str">
        <f>"96/09/13"</f>
        <v>96/09/13</v>
      </c>
      <c r="AE1551" s="1" t="str">
        <f>"اختتام"</f>
        <v>اختتام</v>
      </c>
      <c r="AF1551" s="1" t="str">
        <f>""</f>
        <v/>
      </c>
      <c r="AG1551" s="1" t="str">
        <f>""</f>
        <v/>
      </c>
      <c r="AH1551" s="1" t="str">
        <f>""</f>
        <v/>
      </c>
      <c r="AI1551" s="1" t="str">
        <f>""</f>
        <v/>
      </c>
      <c r="AJ1551" s="1" t="str">
        <f>""</f>
        <v/>
      </c>
      <c r="AK1551" s="1" t="str">
        <f>""</f>
        <v/>
      </c>
    </row>
    <row r="1552" spans="1:37">
      <c r="A1552" s="1">
        <v>100000</v>
      </c>
      <c r="B1552" s="1">
        <v>961100114</v>
      </c>
      <c r="C1552" s="1" t="str">
        <f>"تخليه -خراسان جنوبي -شهرستان قاين -كارخانه آسفالت شهرداري قاين"</f>
        <v>تخليه -خراسان جنوبي -شهرستان قاين -كارخانه آسفالت شهرداري قاين</v>
      </c>
      <c r="D1552" s="1">
        <v>15977</v>
      </c>
      <c r="E1552" s="1">
        <v>98500</v>
      </c>
      <c r="F1552" s="1">
        <v>96</v>
      </c>
      <c r="G1552" s="1">
        <v>1500</v>
      </c>
      <c r="H1552" s="1" t="str">
        <f>"96/10/28"</f>
        <v>96/10/28</v>
      </c>
      <c r="I1552" s="1" t="str">
        <f>"كيلوگرم"</f>
        <v>كيلوگرم</v>
      </c>
      <c r="J1552" s="1" t="str">
        <f>"1000000003"</f>
        <v>1000000003</v>
      </c>
      <c r="K1552" s="1" t="str">
        <f>"قير MC250"</f>
        <v>قير MC250</v>
      </c>
      <c r="L1552" s="1">
        <v>100</v>
      </c>
      <c r="M1552" s="1" t="str">
        <f>"مخازن قير اصفهان"</f>
        <v>مخازن قير اصفهان</v>
      </c>
      <c r="N1552" s="1">
        <v>4046</v>
      </c>
      <c r="O1552" s="1">
        <v>50038238</v>
      </c>
      <c r="P1552" s="1" t="str">
        <f>"  شهرداري قاين"</f>
        <v xml:space="preserve">  شهرداري قاين</v>
      </c>
      <c r="Q1552" s="1">
        <v>11</v>
      </c>
      <c r="R1552" s="1" t="str">
        <f>"فروش داخلي تهران - بورس"</f>
        <v>فروش داخلي تهران - بورس</v>
      </c>
      <c r="S1552" s="1" t="str">
        <f>"قرارداد فروش"</f>
        <v>قرارداد فروش</v>
      </c>
      <c r="T1552" s="1" t="str">
        <f>"ندارد"</f>
        <v>ندارد</v>
      </c>
      <c r="U1552" s="1" t="str">
        <f>"آقا علي منوچهر(1016ج89)"</f>
        <v>آقا علي منوچهر(1016ج89)</v>
      </c>
      <c r="V1552" s="1">
        <v>961100114</v>
      </c>
      <c r="W1552" s="1">
        <v>961100114</v>
      </c>
      <c r="X1552" s="1" t="str">
        <f>"1396541325"</f>
        <v>1396541325</v>
      </c>
      <c r="Y1552" s="1" t="str">
        <f>"96/10/27"</f>
        <v>96/10/27</v>
      </c>
      <c r="Z1552" s="1" t="str">
        <f>"10864"</f>
        <v>10864</v>
      </c>
      <c r="AA1552" s="1" t="str">
        <f>"شهرداريها"</f>
        <v>شهرداريها</v>
      </c>
      <c r="AB1552" s="1" t="str">
        <f>"96/10/26"</f>
        <v>96/10/26</v>
      </c>
      <c r="AC1552" s="1" t="str">
        <f>"خراسان جنوبي"</f>
        <v>خراسان جنوبي</v>
      </c>
      <c r="AD1552" s="1" t="str">
        <f>"96/10/27"</f>
        <v>96/10/27</v>
      </c>
      <c r="AE1552" s="1" t="str">
        <f>"اختتام"</f>
        <v>اختتام</v>
      </c>
      <c r="AF1552" s="1" t="str">
        <f>""</f>
        <v/>
      </c>
      <c r="AG1552" s="1" t="str">
        <f>""</f>
        <v/>
      </c>
      <c r="AH1552" s="1" t="str">
        <f>""</f>
        <v/>
      </c>
      <c r="AI1552" s="1" t="str">
        <f>""</f>
        <v/>
      </c>
      <c r="AJ1552" s="1" t="str">
        <f>""</f>
        <v/>
      </c>
      <c r="AK1552" s="1" t="str">
        <f>""</f>
        <v/>
      </c>
    </row>
    <row r="1553" spans="1:37">
      <c r="A1553" s="1">
        <v>113537</v>
      </c>
      <c r="B1553" s="1">
        <v>962000039</v>
      </c>
      <c r="C1553" s="1" t="str">
        <f>"تخليه اصفهان جاده حبيب آبادجاده آجرشالباف كارخانه آسفالت زينبيه"</f>
        <v>تخليه اصفهان جاده حبيب آبادجاده آجرشالباف كارخانه آسفالت زينبيه</v>
      </c>
      <c r="D1553" s="1">
        <v>9113</v>
      </c>
      <c r="E1553" s="1">
        <v>111720</v>
      </c>
      <c r="F1553" s="1">
        <v>96</v>
      </c>
      <c r="G1553" s="1">
        <v>1817</v>
      </c>
      <c r="H1553" s="1" t="str">
        <f>"96/07/03"</f>
        <v>96/07/03</v>
      </c>
      <c r="I1553" s="1" t="str">
        <f>"كيلوگرم"</f>
        <v>كيلوگرم</v>
      </c>
      <c r="J1553" s="1" t="str">
        <f>"0000000076"</f>
        <v>0000000076</v>
      </c>
      <c r="K1553" s="1" t="str">
        <f>"قير 60/70 - فله"</f>
        <v>قير 60/70 - فله</v>
      </c>
      <c r="L1553" s="1">
        <v>100</v>
      </c>
      <c r="M1553" s="1" t="str">
        <f>"مخازن قير اصفهان"</f>
        <v>مخازن قير اصفهان</v>
      </c>
      <c r="N1553" s="1">
        <v>10743</v>
      </c>
      <c r="O1553" s="1">
        <v>50036185</v>
      </c>
      <c r="P1553" s="1" t="str">
        <f>"  شهرداري دستگرد"</f>
        <v xml:space="preserve">  شهرداري دستگرد</v>
      </c>
      <c r="Q1553" s="1">
        <v>20</v>
      </c>
      <c r="R1553" s="1" t="str">
        <f>"فروش داخلي - سازمان شهرداري ها و دهياري هاي كشور"</f>
        <v>فروش داخلي - سازمان شهرداري ها و دهياري هاي كشور</v>
      </c>
      <c r="S1553" s="1" t="str">
        <f>"قرارداد فروش"</f>
        <v>قرارداد فروش</v>
      </c>
      <c r="T1553" s="1" t="str">
        <f>"ندارد"</f>
        <v>ندارد</v>
      </c>
      <c r="U1553" s="1" t="str">
        <f>"تعاوني جم گستر (1001 ج 89)"</f>
        <v>تعاوني جم گستر (1001 ج 89)</v>
      </c>
      <c r="V1553" s="1">
        <v>962000039</v>
      </c>
      <c r="W1553" s="1">
        <v>962000039</v>
      </c>
      <c r="X1553" s="1" t="str">
        <f>"1396514467"</f>
        <v>1396514467</v>
      </c>
      <c r="Y1553" s="1" t="str">
        <f>"96/07/03"</f>
        <v>96/07/03</v>
      </c>
      <c r="Z1553" s="1" t="str">
        <f>"26807مرحله اول"</f>
        <v>26807مرحله اول</v>
      </c>
      <c r="AA1553" s="1" t="str">
        <f>"شهرداريها"</f>
        <v>شهرداريها</v>
      </c>
      <c r="AB1553" s="1" t="str">
        <f>"96/06/29"</f>
        <v>96/06/29</v>
      </c>
      <c r="AC1553" s="1" t="str">
        <f>"استان اصفهان"</f>
        <v>استان اصفهان</v>
      </c>
      <c r="AD1553" s="1" t="str">
        <f>"96/07/03"</f>
        <v>96/07/03</v>
      </c>
      <c r="AE1553" s="1" t="str">
        <f>"تاييدشده"</f>
        <v>تاييدشده</v>
      </c>
      <c r="AF1553" s="1" t="str">
        <f>""</f>
        <v/>
      </c>
      <c r="AG1553" s="1" t="str">
        <f>""</f>
        <v/>
      </c>
      <c r="AH1553" s="1" t="str">
        <f>""</f>
        <v/>
      </c>
      <c r="AI1553" s="1" t="str">
        <f>""</f>
        <v/>
      </c>
      <c r="AJ1553" s="1" t="str">
        <f>""</f>
        <v/>
      </c>
      <c r="AK1553" s="1" t="str">
        <f>""</f>
        <v/>
      </c>
    </row>
    <row r="1554" spans="1:37">
      <c r="A1554" s="1">
        <v>50000</v>
      </c>
      <c r="B1554" s="1">
        <v>961100105</v>
      </c>
      <c r="C1554" s="1" t="str">
        <f>"تخليه -اصفهان -گردنه زينل -كارخانه آسفالت سازمان عمران شهرداري اصفهان"</f>
        <v>تخليه -اصفهان -گردنه زينل -كارخانه آسفالت سازمان عمران شهرداري اصفهان</v>
      </c>
      <c r="D1554" s="1">
        <v>15977</v>
      </c>
      <c r="E1554" s="1">
        <v>50000</v>
      </c>
      <c r="F1554" s="1">
        <v>96</v>
      </c>
      <c r="G1554" s="1">
        <v>0</v>
      </c>
      <c r="H1554" s="1" t="str">
        <f>"96/10/13"</f>
        <v>96/10/13</v>
      </c>
      <c r="I1554" s="1" t="str">
        <f>"كيلوگرم"</f>
        <v>كيلوگرم</v>
      </c>
      <c r="J1554" s="1" t="str">
        <f>"1000000003"</f>
        <v>1000000003</v>
      </c>
      <c r="K1554" s="1" t="str">
        <f>"قير MC250"</f>
        <v>قير MC250</v>
      </c>
      <c r="L1554" s="1">
        <v>100</v>
      </c>
      <c r="M1554" s="1" t="str">
        <f>"مخازن قير اصفهان"</f>
        <v>مخازن قير اصفهان</v>
      </c>
      <c r="N1554" s="1">
        <v>7029</v>
      </c>
      <c r="O1554" s="1">
        <v>50038043</v>
      </c>
      <c r="P1554" s="1" t="str">
        <f>"  سازمان عمران شهرداري اصفهان(00104)"</f>
        <v xml:space="preserve">  سازمان عمران شهرداري اصفهان(00104)</v>
      </c>
      <c r="Q1554" s="1">
        <v>11</v>
      </c>
      <c r="R1554" s="1" t="str">
        <f>"فروش داخلي تهران - بورس"</f>
        <v>فروش داخلي تهران - بورس</v>
      </c>
      <c r="S1554" s="1" t="str">
        <f>"قرارداد فروش"</f>
        <v>قرارداد فروش</v>
      </c>
      <c r="T1554" s="1" t="str">
        <f>"ندارد"</f>
        <v>ندارد</v>
      </c>
      <c r="U1554" s="1" t="str">
        <f>"ريسماني حسن(1007ج89)"</f>
        <v>ريسماني حسن(1007ج89)</v>
      </c>
      <c r="V1554" s="1">
        <v>961100105</v>
      </c>
      <c r="W1554" s="1">
        <v>961100105</v>
      </c>
      <c r="X1554" s="1" t="str">
        <f>"1396536460"</f>
        <v>1396536460</v>
      </c>
      <c r="Y1554" s="1" t="str">
        <f>"96/10/11"</f>
        <v>96/10/11</v>
      </c>
      <c r="Z1554" s="1" t="str">
        <f>"ت/96/148"</f>
        <v>ت/96/148</v>
      </c>
      <c r="AA1554" s="1" t="str">
        <f>"شهرداريها"</f>
        <v>شهرداريها</v>
      </c>
      <c r="AB1554" s="1" t="str">
        <f>"96/09/29"</f>
        <v>96/09/29</v>
      </c>
      <c r="AC1554" s="1" t="str">
        <f>"استان اصفهان"</f>
        <v>استان اصفهان</v>
      </c>
      <c r="AD1554" s="1" t="str">
        <f>"96/10/10"</f>
        <v>96/10/10</v>
      </c>
      <c r="AE1554" s="1" t="str">
        <f>"اختتام"</f>
        <v>اختتام</v>
      </c>
      <c r="AF1554" s="1" t="str">
        <f>""</f>
        <v/>
      </c>
      <c r="AG1554" s="1" t="str">
        <f>""</f>
        <v/>
      </c>
      <c r="AH1554" s="1" t="str">
        <f>""</f>
        <v/>
      </c>
      <c r="AI1554" s="1" t="str">
        <f>""</f>
        <v/>
      </c>
      <c r="AJ1554" s="1" t="str">
        <f>""</f>
        <v/>
      </c>
      <c r="AK1554" s="1" t="str">
        <f>""</f>
        <v/>
      </c>
    </row>
    <row r="1555" spans="1:37">
      <c r="A1555" s="1">
        <v>66259</v>
      </c>
      <c r="B1555" s="1">
        <v>962000287</v>
      </c>
      <c r="C1555" s="1" t="str">
        <f>"تخليه خراسان رضوي جاده كاريزنوتايبادكارخانه آسفالت استحكام انديش طوس"</f>
        <v>تخليه خراسان رضوي جاده كاريزنوتايبادكارخانه آسفالت استحكام انديش طوس</v>
      </c>
      <c r="D1555" s="1">
        <v>9113</v>
      </c>
      <c r="E1555" s="1">
        <v>65261</v>
      </c>
      <c r="F1555" s="1">
        <v>96</v>
      </c>
      <c r="G1555" s="1">
        <v>998</v>
      </c>
      <c r="H1555" s="1" t="str">
        <f>"96/09/13"</f>
        <v>96/09/13</v>
      </c>
      <c r="I1555" s="1" t="str">
        <f>"كيلوگرم"</f>
        <v>كيلوگرم</v>
      </c>
      <c r="J1555" s="1" t="str">
        <f>"0000000076"</f>
        <v>0000000076</v>
      </c>
      <c r="K1555" s="1" t="str">
        <f>"قير 60/70 - فله"</f>
        <v>قير 60/70 - فله</v>
      </c>
      <c r="L1555" s="1">
        <v>100</v>
      </c>
      <c r="M1555" s="1" t="str">
        <f>"مخازن قير اصفهان"</f>
        <v>مخازن قير اصفهان</v>
      </c>
      <c r="N1555" s="1">
        <v>10793</v>
      </c>
      <c r="O1555" s="1">
        <v>50037487</v>
      </c>
      <c r="P1555" s="1" t="str">
        <f>"  شهرداري نصرآبادخراسان رضوي"</f>
        <v xml:space="preserve">  شهرداري نصرآبادخراسان رضوي</v>
      </c>
      <c r="Q1555" s="1">
        <v>20</v>
      </c>
      <c r="R1555" s="1" t="str">
        <f>"فروش داخلي - سازمان شهرداري ها و دهياري هاي كشور"</f>
        <v>فروش داخلي - سازمان شهرداري ها و دهياري هاي كشور</v>
      </c>
      <c r="S1555" s="1" t="str">
        <f>"قرارداد فروش"</f>
        <v>قرارداد فروش</v>
      </c>
      <c r="T1555" s="1" t="str">
        <f>"ندارد"</f>
        <v>ندارد</v>
      </c>
      <c r="U1555" s="1" t="str">
        <f>"تعاوني جم گستر (1001 ج 89)"</f>
        <v>تعاوني جم گستر (1001 ج 89)</v>
      </c>
      <c r="V1555" s="1">
        <v>962000287</v>
      </c>
      <c r="W1555" s="1">
        <v>962000287</v>
      </c>
      <c r="X1555" s="1" t="str">
        <f>"1396514467"</f>
        <v>1396514467</v>
      </c>
      <c r="Y1555" s="1" t="str">
        <f>"96/09/12"</f>
        <v>96/09/12</v>
      </c>
      <c r="Z1555" s="1" t="str">
        <f>"37064مرحله دوم"</f>
        <v>37064مرحله دوم</v>
      </c>
      <c r="AA1555" s="1" t="str">
        <f>"شهرداريها"</f>
        <v>شهرداريها</v>
      </c>
      <c r="AB1555" s="1" t="str">
        <f>"96/09/04"</f>
        <v>96/09/04</v>
      </c>
      <c r="AC1555" s="1" t="str">
        <f>"خراسان رضوي"</f>
        <v>خراسان رضوي</v>
      </c>
      <c r="AD1555" s="1" t="str">
        <f>"96/07/03"</f>
        <v>96/07/03</v>
      </c>
      <c r="AE1555" s="1" t="str">
        <f>"اختتام"</f>
        <v>اختتام</v>
      </c>
      <c r="AF1555" s="1" t="str">
        <f>""</f>
        <v/>
      </c>
      <c r="AG1555" s="1" t="str">
        <f>""</f>
        <v/>
      </c>
      <c r="AH1555" s="1" t="str">
        <f>""</f>
        <v/>
      </c>
      <c r="AI1555" s="1" t="str">
        <f>""</f>
        <v/>
      </c>
      <c r="AJ1555" s="1" t="str">
        <f>""</f>
        <v/>
      </c>
      <c r="AK1555" s="1" t="str">
        <f>""</f>
        <v/>
      </c>
    </row>
    <row r="1556" spans="1:37">
      <c r="A1556" s="1">
        <v>60032</v>
      </c>
      <c r="B1556" s="1">
        <v>962000307</v>
      </c>
      <c r="C1556" s="1" t="str">
        <f>"تخليه خراسان رضوي درگزكارخانه آسفالت شهرداري درگز"</f>
        <v>تخليه خراسان رضوي درگزكارخانه آسفالت شهرداري درگز</v>
      </c>
      <c r="D1556" s="1">
        <v>9113</v>
      </c>
      <c r="E1556" s="1">
        <v>58960</v>
      </c>
      <c r="F1556" s="1">
        <v>96</v>
      </c>
      <c r="G1556" s="1">
        <v>1072</v>
      </c>
      <c r="H1556" s="1" t="str">
        <f>"96/09/13"</f>
        <v>96/09/13</v>
      </c>
      <c r="I1556" s="1" t="str">
        <f>"كيلوگرم"</f>
        <v>كيلوگرم</v>
      </c>
      <c r="J1556" s="1" t="str">
        <f>"0000000076"</f>
        <v>0000000076</v>
      </c>
      <c r="K1556" s="1" t="str">
        <f>"قير 60/70 - فله"</f>
        <v>قير 60/70 - فله</v>
      </c>
      <c r="L1556" s="1">
        <v>100</v>
      </c>
      <c r="M1556" s="1" t="str">
        <f>"مخازن قير اصفهان"</f>
        <v>مخازن قير اصفهان</v>
      </c>
      <c r="N1556" s="1">
        <v>10825</v>
      </c>
      <c r="O1556" s="1">
        <v>50037509</v>
      </c>
      <c r="P1556" s="1" t="str">
        <f>"  شهرداري لطف آباد"</f>
        <v xml:space="preserve">  شهرداري لطف آباد</v>
      </c>
      <c r="Q1556" s="1">
        <v>20</v>
      </c>
      <c r="R1556" s="1" t="str">
        <f>"فروش داخلي - سازمان شهرداري ها و دهياري هاي كشور"</f>
        <v>فروش داخلي - سازمان شهرداري ها و دهياري هاي كشور</v>
      </c>
      <c r="S1556" s="1" t="str">
        <f>"قرارداد فروش"</f>
        <v>قرارداد فروش</v>
      </c>
      <c r="T1556" s="1" t="str">
        <f>"ندارد"</f>
        <v>ندارد</v>
      </c>
      <c r="U1556" s="1" t="str">
        <f>"تعاوني جم گستر (1001 ج 89)"</f>
        <v>تعاوني جم گستر (1001 ج 89)</v>
      </c>
      <c r="V1556" s="1">
        <v>962000307</v>
      </c>
      <c r="W1556" s="1">
        <v>962000307</v>
      </c>
      <c r="X1556" s="1" t="str">
        <f>"1396514467"</f>
        <v>1396514467</v>
      </c>
      <c r="Y1556" s="1" t="str">
        <f>"96/09/12"</f>
        <v>96/09/12</v>
      </c>
      <c r="Z1556" s="1" t="str">
        <f>"37059مرحله دوم"</f>
        <v>37059مرحله دوم</v>
      </c>
      <c r="AA1556" s="1" t="str">
        <f>"شهرداريها"</f>
        <v>شهرداريها</v>
      </c>
      <c r="AB1556" s="1" t="str">
        <f>"96/09/04"</f>
        <v>96/09/04</v>
      </c>
      <c r="AC1556" s="1" t="str">
        <f>"خراسان رضوي"</f>
        <v>خراسان رضوي</v>
      </c>
      <c r="AD1556" s="1" t="str">
        <f>"96/07/03"</f>
        <v>96/07/03</v>
      </c>
      <c r="AE1556" s="1" t="str">
        <f>"اختتام"</f>
        <v>اختتام</v>
      </c>
      <c r="AF1556" s="1" t="str">
        <f>""</f>
        <v/>
      </c>
      <c r="AG1556" s="1" t="str">
        <f>""</f>
        <v/>
      </c>
      <c r="AH1556" s="1" t="str">
        <f>""</f>
        <v/>
      </c>
      <c r="AI1556" s="1" t="str">
        <f>""</f>
        <v/>
      </c>
      <c r="AJ1556" s="1" t="str">
        <f>""</f>
        <v/>
      </c>
      <c r="AK1556" s="1" t="str">
        <f>""</f>
        <v/>
      </c>
    </row>
    <row r="1557" spans="1:37">
      <c r="A1557" s="1">
        <v>25000</v>
      </c>
      <c r="B1557" s="1">
        <v>961100131</v>
      </c>
      <c r="C1557" s="1" t="str">
        <f>"تخليه -اصفهان -گردنه زينل -كارخانه آسفالت سازمان عمران شهرداري اصفهان"</f>
        <v>تخليه -اصفهان -گردنه زينل -كارخانه آسفالت سازمان عمران شهرداري اصفهان</v>
      </c>
      <c r="D1557" s="1">
        <v>16650</v>
      </c>
      <c r="E1557" s="1">
        <v>24480</v>
      </c>
      <c r="F1557" s="1">
        <v>96</v>
      </c>
      <c r="G1557" s="1">
        <v>520</v>
      </c>
      <c r="H1557" s="1" t="str">
        <f>"96/12/19"</f>
        <v>96/12/19</v>
      </c>
      <c r="I1557" s="1" t="str">
        <f>"كيلوگرم"</f>
        <v>كيلوگرم</v>
      </c>
      <c r="J1557" s="1" t="str">
        <f>"1000000003"</f>
        <v>1000000003</v>
      </c>
      <c r="K1557" s="1" t="str">
        <f>"قير MC250"</f>
        <v>قير MC250</v>
      </c>
      <c r="L1557" s="1">
        <v>100</v>
      </c>
      <c r="M1557" s="1" t="str">
        <f>"مخازن قير اصفهان"</f>
        <v>مخازن قير اصفهان</v>
      </c>
      <c r="N1557" s="1">
        <v>7029</v>
      </c>
      <c r="O1557" s="1">
        <v>50038846</v>
      </c>
      <c r="P1557" s="1" t="str">
        <f>"  سازمان عمران شهرداري اصفهان(00104)"</f>
        <v xml:space="preserve">  سازمان عمران شهرداري اصفهان(00104)</v>
      </c>
      <c r="Q1557" s="1">
        <v>11</v>
      </c>
      <c r="R1557" s="1" t="str">
        <f>"فروش داخلي تهران - بورس"</f>
        <v>فروش داخلي تهران - بورس</v>
      </c>
      <c r="S1557" s="1" t="str">
        <f>"قرارداد فروش"</f>
        <v>قرارداد فروش</v>
      </c>
      <c r="T1557" s="1" t="str">
        <f>"ندارد"</f>
        <v>ندارد</v>
      </c>
      <c r="U1557" s="1" t="str">
        <f>"ريسماني حسن(1007ج89)"</f>
        <v>ريسماني حسن(1007ج89)</v>
      </c>
      <c r="V1557" s="1">
        <v>961100131</v>
      </c>
      <c r="W1557" s="1">
        <v>961100131</v>
      </c>
      <c r="X1557" s="1" t="str">
        <f>"1396553447"</f>
        <v>1396553447</v>
      </c>
      <c r="Y1557" s="1" t="str">
        <f>"96/12/16"</f>
        <v>96/12/16</v>
      </c>
      <c r="Z1557" s="1" t="str">
        <f>"ت/96/128"</f>
        <v>ت/96/128</v>
      </c>
      <c r="AA1557" s="1" t="str">
        <f>"شهرداريها"</f>
        <v>شهرداريها</v>
      </c>
      <c r="AB1557" s="1" t="str">
        <f>"96/12/15"</f>
        <v>96/12/15</v>
      </c>
      <c r="AC1557" s="1" t="str">
        <f>"استان اصفهان"</f>
        <v>استان اصفهان</v>
      </c>
      <c r="AD1557" s="1" t="str">
        <f>"96/12/16"</f>
        <v>96/12/16</v>
      </c>
      <c r="AE1557" s="1" t="str">
        <f>"اختتام"</f>
        <v>اختتام</v>
      </c>
      <c r="AF1557" s="1" t="str">
        <f>""</f>
        <v/>
      </c>
      <c r="AG1557" s="1" t="str">
        <f>""</f>
        <v/>
      </c>
      <c r="AH1557" s="1" t="str">
        <f>""</f>
        <v/>
      </c>
      <c r="AI1557" s="1" t="str">
        <f>""</f>
        <v/>
      </c>
      <c r="AJ1557" s="1" t="str">
        <f>""</f>
        <v/>
      </c>
      <c r="AK1557" s="1" t="str">
        <f>""</f>
        <v/>
      </c>
    </row>
    <row r="1558" spans="1:37">
      <c r="A1558" s="1">
        <v>15000</v>
      </c>
      <c r="B1558" s="1">
        <v>966200106</v>
      </c>
      <c r="C1558" s="1" t="str">
        <f>"تخليه-جاده اصفهان-تهران-نرسيده به شهر وزوان-سمت راست-کارخانه آسفالت محمدرضا مزروعي"</f>
        <v>تخليه-جاده اصفهان-تهران-نرسيده به شهر وزوان-سمت راست-کارخانه آسفالت محمدرضا مزروعي</v>
      </c>
      <c r="D1558" s="1">
        <v>12722</v>
      </c>
      <c r="E1558" s="1">
        <v>13800</v>
      </c>
      <c r="F1558" s="1">
        <v>96</v>
      </c>
      <c r="G1558" s="1">
        <v>1200</v>
      </c>
      <c r="H1558" s="1" t="str">
        <f>"96/03/09"</f>
        <v>96/03/09</v>
      </c>
      <c r="I1558" s="1" t="str">
        <f>"كيلوگرم"</f>
        <v>كيلوگرم</v>
      </c>
      <c r="J1558" s="1" t="str">
        <f>"1000000003"</f>
        <v>1000000003</v>
      </c>
      <c r="K1558" s="1" t="str">
        <f>"قير MC250"</f>
        <v>قير MC250</v>
      </c>
      <c r="L1558" s="1">
        <v>100</v>
      </c>
      <c r="M1558" s="1" t="str">
        <f>"مخازن قير اصفهان"</f>
        <v>مخازن قير اصفهان</v>
      </c>
      <c r="N1558" s="1">
        <v>7002</v>
      </c>
      <c r="O1558" s="1">
        <v>50034918</v>
      </c>
      <c r="P1558" s="1" t="str">
        <f>"  راه و ساختمان خاكپي"</f>
        <v xml:space="preserve">  راه و ساختمان خاكپي</v>
      </c>
      <c r="Q1558" s="1">
        <v>62</v>
      </c>
      <c r="R1558" s="1" t="str">
        <f>"فروش داخلي - سازمان بنيادمسكن انقلاب اسلامي"</f>
        <v>فروش داخلي - سازمان بنيادمسكن انقلاب اسلامي</v>
      </c>
      <c r="S1558" s="1" t="str">
        <f>"قرارداد فروش"</f>
        <v>قرارداد فروش</v>
      </c>
      <c r="T1558" s="1" t="str">
        <f>"ندارد"</f>
        <v>ندارد</v>
      </c>
      <c r="U1558" s="1" t="str">
        <f>"ريسماني حسن(1007ج89)"</f>
        <v>ريسماني حسن(1007ج89)</v>
      </c>
      <c r="V1558" s="1">
        <v>966200106</v>
      </c>
      <c r="W1558" s="1">
        <v>966200106</v>
      </c>
      <c r="X1558" s="1" t="str">
        <f>"1396484355"</f>
        <v>1396484355</v>
      </c>
      <c r="Y1558" s="1" t="str">
        <f>"96/03/09"</f>
        <v>96/03/09</v>
      </c>
      <c r="Z1558" s="1" t="str">
        <f>"7610/د"</f>
        <v>7610/د</v>
      </c>
      <c r="AA1558" s="1" t="str">
        <f>"بنيادمسكن انقلاب اسلامي"</f>
        <v>بنيادمسكن انقلاب اسلامي</v>
      </c>
      <c r="AB1558" s="1" t="str">
        <f>"96/02/31"</f>
        <v>96/02/31</v>
      </c>
      <c r="AC1558" s="1" t="str">
        <f>"استان اصفهان"</f>
        <v>استان اصفهان</v>
      </c>
      <c r="AD1558" s="1" t="str">
        <f>"96/03/09"</f>
        <v>96/03/09</v>
      </c>
      <c r="AE1558" s="1" t="str">
        <f>"اختتام"</f>
        <v>اختتام</v>
      </c>
      <c r="AF1558" s="1" t="str">
        <f>""</f>
        <v/>
      </c>
      <c r="AG1558" s="1" t="str">
        <f>""</f>
        <v/>
      </c>
      <c r="AH1558" s="1" t="str">
        <f>""</f>
        <v/>
      </c>
      <c r="AI1558" s="1" t="str">
        <f>""</f>
        <v/>
      </c>
      <c r="AJ1558" s="1" t="str">
        <f>""</f>
        <v/>
      </c>
      <c r="AK1558" s="1" t="str">
        <f>""</f>
        <v/>
      </c>
    </row>
    <row r="1559" spans="1:37">
      <c r="A1559" s="1">
        <v>60000</v>
      </c>
      <c r="B1559" s="1">
        <v>961100076</v>
      </c>
      <c r="C1559" s="1" t="str">
        <f>"تخليه -اصفهان -گردنه زينل -كارخانه آسفالت سازمان عمران شهرداري اصفهان"</f>
        <v>تخليه -اصفهان -گردنه زينل -كارخانه آسفالت سازمان عمران شهرداري اصفهان</v>
      </c>
      <c r="D1559" s="1">
        <v>12777</v>
      </c>
      <c r="E1559" s="1">
        <v>60000</v>
      </c>
      <c r="F1559" s="1">
        <v>96</v>
      </c>
      <c r="G1559" s="1">
        <v>0</v>
      </c>
      <c r="H1559" s="1" t="str">
        <f>"96/07/19"</f>
        <v>96/07/19</v>
      </c>
      <c r="I1559" s="1" t="str">
        <f>"كيلوگرم"</f>
        <v>كيلوگرم</v>
      </c>
      <c r="J1559" s="1" t="str">
        <f>"1000000003"</f>
        <v>1000000003</v>
      </c>
      <c r="K1559" s="1" t="str">
        <f>"قير MC250"</f>
        <v>قير MC250</v>
      </c>
      <c r="L1559" s="1">
        <v>100</v>
      </c>
      <c r="M1559" s="1" t="str">
        <f>"مخازن قير اصفهان"</f>
        <v>مخازن قير اصفهان</v>
      </c>
      <c r="N1559" s="1">
        <v>7029</v>
      </c>
      <c r="O1559" s="1">
        <v>50036680</v>
      </c>
      <c r="P1559" s="1" t="str">
        <f>"  سازمان عمران شهرداري اصفهان(00104)"</f>
        <v xml:space="preserve">  سازمان عمران شهرداري اصفهان(00104)</v>
      </c>
      <c r="Q1559" s="1">
        <v>11</v>
      </c>
      <c r="R1559" s="1" t="str">
        <f>"فروش داخلي تهران - بورس"</f>
        <v>فروش داخلي تهران - بورس</v>
      </c>
      <c r="S1559" s="1" t="str">
        <f>"قرارداد فروش"</f>
        <v>قرارداد فروش</v>
      </c>
      <c r="T1559" s="1" t="str">
        <f>"ندارد"</f>
        <v>ندارد</v>
      </c>
      <c r="U1559" s="1" t="str">
        <f>"ريسماني حسن(1007ج89)"</f>
        <v>ريسماني حسن(1007ج89)</v>
      </c>
      <c r="V1559" s="1">
        <v>961100076</v>
      </c>
      <c r="W1559" s="1">
        <v>961100076</v>
      </c>
      <c r="X1559" s="1" t="str">
        <f>"1396517668"</f>
        <v>1396517668</v>
      </c>
      <c r="Y1559" s="1" t="str">
        <f>"96/07/18"</f>
        <v>96/07/18</v>
      </c>
      <c r="Z1559" s="1" t="str">
        <f>"96/108"</f>
        <v>96/108</v>
      </c>
      <c r="AA1559" s="1" t="str">
        <f>"شهرداريها"</f>
        <v>شهرداريها</v>
      </c>
      <c r="AB1559" s="1" t="str">
        <f>"96/06/21"</f>
        <v>96/06/21</v>
      </c>
      <c r="AC1559" s="1" t="str">
        <f>"استان اصفهان"</f>
        <v>استان اصفهان</v>
      </c>
      <c r="AD1559" s="1" t="str">
        <f>"96/07/18"</f>
        <v>96/07/18</v>
      </c>
      <c r="AE1559" s="1" t="str">
        <f>"اختتام"</f>
        <v>اختتام</v>
      </c>
      <c r="AF1559" s="1" t="str">
        <f>""</f>
        <v/>
      </c>
      <c r="AG1559" s="1" t="str">
        <f>""</f>
        <v/>
      </c>
      <c r="AH1559" s="1" t="str">
        <f>""</f>
        <v/>
      </c>
      <c r="AI1559" s="1" t="str">
        <f>""</f>
        <v/>
      </c>
      <c r="AJ1559" s="1" t="str">
        <f>""</f>
        <v/>
      </c>
      <c r="AK1559" s="1" t="str">
        <f>""</f>
        <v/>
      </c>
    </row>
    <row r="1560" spans="1:37">
      <c r="A1560" s="1">
        <v>53404</v>
      </c>
      <c r="B1560" s="1">
        <v>962000334</v>
      </c>
      <c r="C1560" s="1" t="str">
        <f>"تخليه جاده نيشابورقوچان نرسيده به روستاي برگ شاهي شركت دنابنيان بيرجند"</f>
        <v>تخليه جاده نيشابورقوچان نرسيده به روستاي برگ شاهي شركت دنابنيان بيرجند</v>
      </c>
      <c r="D1560" s="1">
        <v>9113</v>
      </c>
      <c r="E1560" s="1">
        <v>52572</v>
      </c>
      <c r="F1560" s="1">
        <v>96</v>
      </c>
      <c r="G1560" s="1">
        <v>832</v>
      </c>
      <c r="H1560" s="1" t="str">
        <f>"96/09/13"</f>
        <v>96/09/13</v>
      </c>
      <c r="I1560" s="1" t="str">
        <f>"كيلوگرم"</f>
        <v>كيلوگرم</v>
      </c>
      <c r="J1560" s="1" t="str">
        <f>"0000000076"</f>
        <v>0000000076</v>
      </c>
      <c r="K1560" s="1" t="str">
        <f>"قير 60/70 - فله"</f>
        <v>قير 60/70 - فله</v>
      </c>
      <c r="L1560" s="1">
        <v>100</v>
      </c>
      <c r="M1560" s="1" t="str">
        <f>"مخازن قير اصفهان"</f>
        <v>مخازن قير اصفهان</v>
      </c>
      <c r="N1560" s="1">
        <v>10842</v>
      </c>
      <c r="O1560" s="1">
        <v>50037542</v>
      </c>
      <c r="P1560" s="1" t="str">
        <f>"  شهرداري چكنه"</f>
        <v xml:space="preserve">  شهرداري چكنه</v>
      </c>
      <c r="Q1560" s="1">
        <v>20</v>
      </c>
      <c r="R1560" s="1" t="str">
        <f>"فروش داخلي - سازمان شهرداري ها و دهياري هاي كشور"</f>
        <v>فروش داخلي - سازمان شهرداري ها و دهياري هاي كشور</v>
      </c>
      <c r="S1560" s="1" t="str">
        <f>"قرارداد فروش"</f>
        <v>قرارداد فروش</v>
      </c>
      <c r="T1560" s="1" t="str">
        <f>"ندارد"</f>
        <v>ندارد</v>
      </c>
      <c r="U1560" s="1" t="str">
        <f>"تعاوني جم گستر (1001 ج 89)"</f>
        <v>تعاوني جم گستر (1001 ج 89)</v>
      </c>
      <c r="V1560" s="1">
        <v>962000334</v>
      </c>
      <c r="W1560" s="1">
        <v>962000334</v>
      </c>
      <c r="X1560" s="1" t="str">
        <f>"1396514467"</f>
        <v>1396514467</v>
      </c>
      <c r="Y1560" s="1" t="str">
        <f>"96/09/12"</f>
        <v>96/09/12</v>
      </c>
      <c r="Z1560" s="1" t="str">
        <f>"37015مرحله دوم"</f>
        <v>37015مرحله دوم</v>
      </c>
      <c r="AA1560" s="1" t="str">
        <f>"شهرداريها"</f>
        <v>شهرداريها</v>
      </c>
      <c r="AB1560" s="1" t="str">
        <f>"96/09/04"</f>
        <v>96/09/04</v>
      </c>
      <c r="AC1560" s="1" t="str">
        <f>"خراسان رضوي"</f>
        <v>خراسان رضوي</v>
      </c>
      <c r="AD1560" s="1" t="str">
        <f>"96/07/03"</f>
        <v>96/07/03</v>
      </c>
      <c r="AE1560" s="1" t="str">
        <f>"اختتام"</f>
        <v>اختتام</v>
      </c>
      <c r="AF1560" s="1" t="str">
        <f>""</f>
        <v/>
      </c>
      <c r="AG1560" s="1" t="str">
        <f>""</f>
        <v/>
      </c>
      <c r="AH1560" s="1" t="str">
        <f>""</f>
        <v/>
      </c>
      <c r="AI1560" s="1" t="str">
        <f>""</f>
        <v/>
      </c>
      <c r="AJ1560" s="1" t="str">
        <f>""</f>
        <v/>
      </c>
      <c r="AK1560" s="1" t="str">
        <f>""</f>
        <v/>
      </c>
    </row>
    <row r="1561" spans="1:37">
      <c r="A1561" s="1">
        <v>151400</v>
      </c>
      <c r="B1561" s="1">
        <v>962000212</v>
      </c>
      <c r="C1561" s="1" t="str">
        <f>"تخليه -كهكيلويه وبويراحمد-ياسوج- دارشاهي- كيلومتر 35 جاده ياسوج به اصفهان"</f>
        <v>تخليه -كهكيلويه وبويراحمد-ياسوج- دارشاهي- كيلومتر 35 جاده ياسوج به اصفهان</v>
      </c>
      <c r="D1561" s="1">
        <v>9113</v>
      </c>
      <c r="E1561" s="1">
        <v>151400</v>
      </c>
      <c r="F1561" s="1">
        <v>96</v>
      </c>
      <c r="G1561" s="1">
        <v>0</v>
      </c>
      <c r="H1561" s="1" t="str">
        <f>"96/07/03"</f>
        <v>96/07/03</v>
      </c>
      <c r="I1561" s="1" t="str">
        <f>"كيلوگرم"</f>
        <v>كيلوگرم</v>
      </c>
      <c r="J1561" s="1" t="str">
        <f>"0000000076"</f>
        <v>0000000076</v>
      </c>
      <c r="K1561" s="1" t="str">
        <f>"قير 60/70 - فله"</f>
        <v>قير 60/70 - فله</v>
      </c>
      <c r="L1561" s="1">
        <v>100</v>
      </c>
      <c r="M1561" s="1" t="str">
        <f>"مخازن قير اصفهان"</f>
        <v>مخازن قير اصفهان</v>
      </c>
      <c r="N1561" s="1">
        <v>10860</v>
      </c>
      <c r="O1561" s="1">
        <v>50036448</v>
      </c>
      <c r="P1561" s="1" t="str">
        <f>"  شهرداري سي سخت"</f>
        <v xml:space="preserve">  شهرداري سي سخت</v>
      </c>
      <c r="Q1561" s="1">
        <v>20</v>
      </c>
      <c r="R1561" s="1" t="str">
        <f>"فروش داخلي - سازمان شهرداري ها و دهياري هاي كشور"</f>
        <v>فروش داخلي - سازمان شهرداري ها و دهياري هاي كشور</v>
      </c>
      <c r="S1561" s="1" t="str">
        <f>"قرارداد فروش"</f>
        <v>قرارداد فروش</v>
      </c>
      <c r="T1561" s="1" t="str">
        <f>"ندارد"</f>
        <v>ندارد</v>
      </c>
      <c r="U1561" s="1" t="str">
        <f>"تعاوني جم گستر (1001 ج 89)"</f>
        <v>تعاوني جم گستر (1001 ج 89)</v>
      </c>
      <c r="V1561" s="1">
        <v>962000212</v>
      </c>
      <c r="W1561" s="1">
        <v>962000212</v>
      </c>
      <c r="X1561" s="1" t="str">
        <f>"1396514467"</f>
        <v>1396514467</v>
      </c>
      <c r="Y1561" s="1" t="str">
        <f>"96/07/03"</f>
        <v>96/07/03</v>
      </c>
      <c r="Z1561" s="1" t="str">
        <f>"26976مرحله اول"</f>
        <v>26976مرحله اول</v>
      </c>
      <c r="AA1561" s="1" t="str">
        <f>"شهرداريها"</f>
        <v>شهرداريها</v>
      </c>
      <c r="AB1561" s="1" t="str">
        <f>"96/06/29"</f>
        <v>96/06/29</v>
      </c>
      <c r="AC1561" s="1" t="str">
        <f>"كهكيلويه و بوير احمد"</f>
        <v>كهكيلويه و بوير احمد</v>
      </c>
      <c r="AD1561" s="1" t="str">
        <f>"96/07/03"</f>
        <v>96/07/03</v>
      </c>
      <c r="AE1561" s="1" t="str">
        <f>"اختتام"</f>
        <v>اختتام</v>
      </c>
      <c r="AF1561" s="1" t="str">
        <f>""</f>
        <v/>
      </c>
      <c r="AG1561" s="1" t="str">
        <f>""</f>
        <v/>
      </c>
      <c r="AH1561" s="1" t="str">
        <f>""</f>
        <v/>
      </c>
      <c r="AI1561" s="1" t="str">
        <f>""</f>
        <v/>
      </c>
      <c r="AJ1561" s="1" t="str">
        <f>""</f>
        <v/>
      </c>
      <c r="AK1561" s="1" t="str">
        <f>""</f>
        <v/>
      </c>
    </row>
    <row r="1562" spans="1:37">
      <c r="A1562" s="1">
        <v>50000</v>
      </c>
      <c r="B1562" s="1">
        <v>966200015</v>
      </c>
      <c r="C1562" s="1" t="str">
        <f>"تخليه -اصفهان - كاشان - كيلومتر 19محور كاشان - قم شركت درم"</f>
        <v>تخليه -اصفهان - كاشان - كيلومتر 19محور كاشان - قم شركت درم</v>
      </c>
      <c r="D1562" s="1">
        <v>11482</v>
      </c>
      <c r="E1562" s="1">
        <v>48380</v>
      </c>
      <c r="F1562" s="1">
        <v>96</v>
      </c>
      <c r="G1562" s="1">
        <v>1620</v>
      </c>
      <c r="H1562" s="1" t="str">
        <f>"96/01/21"</f>
        <v>96/01/21</v>
      </c>
      <c r="I1562" s="1" t="str">
        <f>"كيلوگرم"</f>
        <v>كيلوگرم</v>
      </c>
      <c r="J1562" s="1" t="str">
        <f>"1000000003"</f>
        <v>1000000003</v>
      </c>
      <c r="K1562" s="1" t="str">
        <f>"قير MC250"</f>
        <v>قير MC250</v>
      </c>
      <c r="L1562" s="1">
        <v>100</v>
      </c>
      <c r="M1562" s="1" t="str">
        <f>"مخازن قير اصفهان"</f>
        <v>مخازن قير اصفهان</v>
      </c>
      <c r="N1562" s="1">
        <v>8073</v>
      </c>
      <c r="O1562" s="1">
        <v>50034476</v>
      </c>
      <c r="P1562" s="1" t="str">
        <f>"  درم"</f>
        <v xml:space="preserve">  درم</v>
      </c>
      <c r="Q1562" s="1">
        <v>62</v>
      </c>
      <c r="R1562" s="1" t="str">
        <f>"فروش داخلي - سازمان بنيادمسكن انقلاب اسلامي"</f>
        <v>فروش داخلي - سازمان بنيادمسكن انقلاب اسلامي</v>
      </c>
      <c r="S1562" s="1" t="str">
        <f>"قرارداد فروش"</f>
        <v>قرارداد فروش</v>
      </c>
      <c r="T1562" s="1" t="str">
        <f>"ندارد"</f>
        <v>ندارد</v>
      </c>
      <c r="U1562" s="1" t="str">
        <f>"كبيري رحمت اله(1024ج89)"</f>
        <v>كبيري رحمت اله(1024ج89)</v>
      </c>
      <c r="V1562" s="1">
        <v>966200015</v>
      </c>
      <c r="W1562" s="1">
        <v>966200015</v>
      </c>
      <c r="X1562" s="1" t="str">
        <f>"1396472724"</f>
        <v>1396472724</v>
      </c>
      <c r="Y1562" s="1" t="str">
        <f>"96/01/21"</f>
        <v>96/01/21</v>
      </c>
      <c r="Z1562" s="1" t="str">
        <f>"1087/د"</f>
        <v>1087/د</v>
      </c>
      <c r="AA1562" s="1" t="str">
        <f>"بنيادمسكن انقلاب اسلامي"</f>
        <v>بنيادمسكن انقلاب اسلامي</v>
      </c>
      <c r="AB1562" s="1" t="str">
        <f>"96/01/19"</f>
        <v>96/01/19</v>
      </c>
      <c r="AC1562" s="1" t="str">
        <f>"استان اصفهان"</f>
        <v>استان اصفهان</v>
      </c>
      <c r="AD1562" s="1" t="str">
        <f>"96/01/20"</f>
        <v>96/01/20</v>
      </c>
      <c r="AE1562" s="1" t="str">
        <f>"اختتام"</f>
        <v>اختتام</v>
      </c>
      <c r="AF1562" s="1" t="str">
        <f>""</f>
        <v/>
      </c>
      <c r="AG1562" s="1" t="str">
        <f>""</f>
        <v/>
      </c>
      <c r="AH1562" s="1" t="str">
        <f>""</f>
        <v/>
      </c>
      <c r="AI1562" s="1" t="str">
        <f>""</f>
        <v/>
      </c>
      <c r="AJ1562" s="1" t="str">
        <f>""</f>
        <v/>
      </c>
      <c r="AK1562" s="1" t="str">
        <f>""</f>
        <v/>
      </c>
    </row>
    <row r="1563" spans="1:37">
      <c r="A1563" s="1">
        <v>20000</v>
      </c>
      <c r="B1563" s="1">
        <v>966200405</v>
      </c>
      <c r="C1563" s="1" t="str">
        <f>"تخليه -اصفهان - كاشان - كيلومتر 19محور كاشان - قم شركت درم"</f>
        <v>تخليه -اصفهان - كاشان - كيلومتر 19محور كاشان - قم شركت درم</v>
      </c>
      <c r="D1563" s="1">
        <v>15947</v>
      </c>
      <c r="E1563" s="1">
        <v>19460</v>
      </c>
      <c r="F1563" s="1">
        <v>96</v>
      </c>
      <c r="G1563" s="1">
        <v>540</v>
      </c>
      <c r="H1563" s="1" t="str">
        <f>"96/09/08"</f>
        <v>96/09/08</v>
      </c>
      <c r="I1563" s="1" t="str">
        <f>"كيلوگرم"</f>
        <v>كيلوگرم</v>
      </c>
      <c r="J1563" s="1" t="str">
        <f>"1000000003"</f>
        <v>1000000003</v>
      </c>
      <c r="K1563" s="1" t="str">
        <f>"قير MC250"</f>
        <v>قير MC250</v>
      </c>
      <c r="L1563" s="1">
        <v>100</v>
      </c>
      <c r="M1563" s="1" t="str">
        <f>"مخازن قير اصفهان"</f>
        <v>مخازن قير اصفهان</v>
      </c>
      <c r="N1563" s="1">
        <v>8073</v>
      </c>
      <c r="O1563" s="1">
        <v>50037369</v>
      </c>
      <c r="P1563" s="1" t="str">
        <f>"  درم"</f>
        <v xml:space="preserve">  درم</v>
      </c>
      <c r="Q1563" s="1">
        <v>62</v>
      </c>
      <c r="R1563" s="1" t="str">
        <f>"فروش داخلي - سازمان بنيادمسكن انقلاب اسلامي"</f>
        <v>فروش داخلي - سازمان بنيادمسكن انقلاب اسلامي</v>
      </c>
      <c r="S1563" s="1" t="str">
        <f>"قرارداد فروش"</f>
        <v>قرارداد فروش</v>
      </c>
      <c r="T1563" s="1" t="str">
        <f>"ندارد"</f>
        <v>ندارد</v>
      </c>
      <c r="U1563" s="1" t="str">
        <f>"كبيري رحمت اله(1024ج89)"</f>
        <v>كبيري رحمت اله(1024ج89)</v>
      </c>
      <c r="V1563" s="1">
        <v>966200405</v>
      </c>
      <c r="W1563" s="1">
        <v>966200405</v>
      </c>
      <c r="X1563" s="1" t="str">
        <f>"1396529174"</f>
        <v>1396529174</v>
      </c>
      <c r="Y1563" s="1" t="str">
        <f>"96/09/08"</f>
        <v>96/09/08</v>
      </c>
      <c r="Z1563" s="1" t="str">
        <f>"37749/د"</f>
        <v>37749/د</v>
      </c>
      <c r="AA1563" s="1" t="str">
        <f>"بنيادمسكن انقلاب اسلامي"</f>
        <v>بنيادمسكن انقلاب اسلامي</v>
      </c>
      <c r="AB1563" s="1" t="str">
        <f>"96/08/23"</f>
        <v>96/08/23</v>
      </c>
      <c r="AC1563" s="1" t="str">
        <f>"استان اصفهان"</f>
        <v>استان اصفهان</v>
      </c>
      <c r="AD1563" s="1" t="str">
        <f>"96/09/08"</f>
        <v>96/09/08</v>
      </c>
      <c r="AE1563" s="1" t="str">
        <f>"اختتام"</f>
        <v>اختتام</v>
      </c>
      <c r="AF1563" s="1" t="str">
        <f>""</f>
        <v/>
      </c>
      <c r="AG1563" s="1" t="str">
        <f>""</f>
        <v/>
      </c>
      <c r="AH1563" s="1" t="str">
        <f>""</f>
        <v/>
      </c>
      <c r="AI1563" s="1" t="str">
        <f>""</f>
        <v/>
      </c>
      <c r="AJ1563" s="1" t="str">
        <f>""</f>
        <v/>
      </c>
      <c r="AK1563" s="1" t="str">
        <f>""</f>
        <v/>
      </c>
    </row>
    <row r="1564" spans="1:37">
      <c r="A1564" s="1">
        <v>20000</v>
      </c>
      <c r="B1564" s="1">
        <v>961100072</v>
      </c>
      <c r="C1564" s="1" t="str">
        <f>"تخليه -تهران -فرودگاه بين المللي امام خميني"</f>
        <v>تخليه -تهران -فرودگاه بين المللي امام خميني</v>
      </c>
      <c r="D1564" s="1">
        <v>12777</v>
      </c>
      <c r="E1564" s="1">
        <v>18860</v>
      </c>
      <c r="F1564" s="1">
        <v>96</v>
      </c>
      <c r="G1564" s="1">
        <v>1140</v>
      </c>
      <c r="H1564" s="1" t="str">
        <f>"96/07/13"</f>
        <v>96/07/13</v>
      </c>
      <c r="I1564" s="1" t="str">
        <f>"كيلوگرم"</f>
        <v>كيلوگرم</v>
      </c>
      <c r="J1564" s="1" t="str">
        <f>"1000000003"</f>
        <v>1000000003</v>
      </c>
      <c r="K1564" s="1" t="str">
        <f>"قير MC250"</f>
        <v>قير MC250</v>
      </c>
      <c r="L1564" s="1">
        <v>100</v>
      </c>
      <c r="M1564" s="1" t="str">
        <f>"مخازن قير اصفهان"</f>
        <v>مخازن قير اصفهان</v>
      </c>
      <c r="N1564" s="1">
        <v>8025</v>
      </c>
      <c r="O1564" s="1">
        <v>50036548</v>
      </c>
      <c r="P1564" s="1" t="str">
        <f>"  ملي ساختمان"</f>
        <v xml:space="preserve">  ملي ساختمان</v>
      </c>
      <c r="Q1564" s="1">
        <v>11</v>
      </c>
      <c r="R1564" s="1" t="str">
        <f>"فروش داخلي تهران - بورس"</f>
        <v>فروش داخلي تهران - بورس</v>
      </c>
      <c r="S1564" s="1" t="str">
        <f>"قرارداد فروش"</f>
        <v>قرارداد فروش</v>
      </c>
      <c r="T1564" s="1" t="str">
        <f>"ندارد"</f>
        <v>ندارد</v>
      </c>
      <c r="U1564" s="1" t="str">
        <f>"حسيني علي(1841001)"</f>
        <v>حسيني علي(1841001)</v>
      </c>
      <c r="V1564" s="1">
        <v>961100072</v>
      </c>
      <c r="W1564" s="1">
        <v>961100072</v>
      </c>
      <c r="X1564" s="1" t="str">
        <f>"1396514727"</f>
        <v>1396514727</v>
      </c>
      <c r="Y1564" s="1" t="str">
        <f>"96/07/12"</f>
        <v>96/07/12</v>
      </c>
      <c r="Z1564" s="1" t="str">
        <f>"96-36300"</f>
        <v>96-36300</v>
      </c>
      <c r="AA1564" s="1" t="str">
        <f>"راه سازي"</f>
        <v>راه سازي</v>
      </c>
      <c r="AB1564" s="1" t="str">
        <f>"96/07/12"</f>
        <v>96/07/12</v>
      </c>
      <c r="AC1564" s="1" t="str">
        <f>"استان تهران"</f>
        <v>استان تهران</v>
      </c>
      <c r="AD1564" s="1" t="str">
        <f>"96/07/04"</f>
        <v>96/07/04</v>
      </c>
      <c r="AE1564" s="1" t="str">
        <f>"اختتام"</f>
        <v>اختتام</v>
      </c>
      <c r="AF1564" s="1" t="str">
        <f>""</f>
        <v/>
      </c>
      <c r="AG1564" s="1" t="str">
        <f>""</f>
        <v/>
      </c>
      <c r="AH1564" s="1" t="str">
        <f>""</f>
        <v/>
      </c>
      <c r="AI1564" s="1" t="str">
        <f>""</f>
        <v/>
      </c>
      <c r="AJ1564" s="1" t="str">
        <f>""</f>
        <v/>
      </c>
      <c r="AK1564" s="1" t="str">
        <f>""</f>
        <v/>
      </c>
    </row>
    <row r="1565" spans="1:37">
      <c r="A1565" s="1">
        <v>20000</v>
      </c>
      <c r="B1565" s="1">
        <v>966200369</v>
      </c>
      <c r="C1565" s="1" t="str">
        <f>"كاشان -كيلو متر 19جاده قم -كاشان- شرکت درم"</f>
        <v>كاشان -كيلو متر 19جاده قم -كاشان- شرکت درم</v>
      </c>
      <c r="D1565" s="1">
        <v>13257</v>
      </c>
      <c r="E1565" s="1">
        <v>20000</v>
      </c>
      <c r="F1565" s="1">
        <v>96</v>
      </c>
      <c r="G1565" s="1">
        <v>0</v>
      </c>
      <c r="H1565" s="1" t="str">
        <f>"96/08/14"</f>
        <v>96/08/14</v>
      </c>
      <c r="I1565" s="1" t="str">
        <f>"كيلوگرم"</f>
        <v>كيلوگرم</v>
      </c>
      <c r="J1565" s="1" t="str">
        <f>"1000000003"</f>
        <v>1000000003</v>
      </c>
      <c r="K1565" s="1" t="str">
        <f>"قير MC250"</f>
        <v>قير MC250</v>
      </c>
      <c r="L1565" s="1">
        <v>100</v>
      </c>
      <c r="M1565" s="1" t="str">
        <f>"مخازن قير اصفهان"</f>
        <v>مخازن قير اصفهان</v>
      </c>
      <c r="N1565" s="1">
        <v>8073</v>
      </c>
      <c r="O1565" s="1">
        <v>50037053</v>
      </c>
      <c r="P1565" s="1" t="str">
        <f>"  درم"</f>
        <v xml:space="preserve">  درم</v>
      </c>
      <c r="Q1565" s="1">
        <v>62</v>
      </c>
      <c r="R1565" s="1" t="str">
        <f>"فروش داخلي - سازمان بنيادمسكن انقلاب اسلامي"</f>
        <v>فروش داخلي - سازمان بنيادمسكن انقلاب اسلامي</v>
      </c>
      <c r="S1565" s="1" t="str">
        <f>"قرارداد فروش"</f>
        <v>قرارداد فروش</v>
      </c>
      <c r="T1565" s="1" t="str">
        <f>"ندارد"</f>
        <v>ندارد</v>
      </c>
      <c r="U1565" s="1" t="str">
        <f>"كبيري رحمت اله(1024ج89)"</f>
        <v>كبيري رحمت اله(1024ج89)</v>
      </c>
      <c r="V1565" s="1">
        <v>966200369</v>
      </c>
      <c r="W1565" s="1">
        <v>966200369</v>
      </c>
      <c r="X1565" s="1" t="str">
        <f>"1396523700"</f>
        <v>1396523700</v>
      </c>
      <c r="Y1565" s="1" t="str">
        <f>"96/08/14"</f>
        <v>96/08/14</v>
      </c>
      <c r="Z1565" s="1" t="str">
        <f>"36114/د"</f>
        <v>36114/د</v>
      </c>
      <c r="AA1565" s="1" t="str">
        <f>"بنيادمسكن انقلاب اسلامي"</f>
        <v>بنيادمسكن انقلاب اسلامي</v>
      </c>
      <c r="AB1565" s="1" t="str">
        <f>"96/08/13"</f>
        <v>96/08/13</v>
      </c>
      <c r="AC1565" s="1" t="str">
        <f>"استان اصفهان"</f>
        <v>استان اصفهان</v>
      </c>
      <c r="AD1565" s="1" t="str">
        <f>"96/08/14"</f>
        <v>96/08/14</v>
      </c>
      <c r="AE1565" s="1" t="str">
        <f>"اختتام"</f>
        <v>اختتام</v>
      </c>
      <c r="AF1565" s="1" t="str">
        <f>""</f>
        <v/>
      </c>
      <c r="AG1565" s="1" t="str">
        <f>""</f>
        <v/>
      </c>
      <c r="AH1565" s="1" t="str">
        <f>""</f>
        <v/>
      </c>
      <c r="AI1565" s="1" t="str">
        <f>""</f>
        <v/>
      </c>
      <c r="AJ1565" s="1" t="str">
        <f>""</f>
        <v/>
      </c>
      <c r="AK1565" s="1" t="str">
        <f>""</f>
        <v/>
      </c>
    </row>
    <row r="1566" spans="1:37">
      <c r="A1566" s="1">
        <v>40000</v>
      </c>
      <c r="B1566" s="1">
        <v>961100121</v>
      </c>
      <c r="C1566" s="1" t="str">
        <f>"تخليه -محلات جاده زيزآب -كارخانه آسفالت شهرداري محلات"</f>
        <v>تخليه -محلات جاده زيزآب -كارخانه آسفالت شهرداري محلات</v>
      </c>
      <c r="D1566" s="1">
        <v>16500</v>
      </c>
      <c r="E1566" s="1">
        <v>38780</v>
      </c>
      <c r="F1566" s="1">
        <v>96</v>
      </c>
      <c r="G1566" s="1">
        <v>1220</v>
      </c>
      <c r="H1566" s="1" t="str">
        <f>"96/11/17"</f>
        <v>96/11/17</v>
      </c>
      <c r="I1566" s="1" t="str">
        <f>"كيلوگرم"</f>
        <v>كيلوگرم</v>
      </c>
      <c r="J1566" s="1" t="str">
        <f>"1000000003"</f>
        <v>1000000003</v>
      </c>
      <c r="K1566" s="1" t="str">
        <f>"قير MC250"</f>
        <v>قير MC250</v>
      </c>
      <c r="L1566" s="1">
        <v>100</v>
      </c>
      <c r="M1566" s="1" t="str">
        <f>"مخازن قير اصفهان"</f>
        <v>مخازن قير اصفهان</v>
      </c>
      <c r="N1566" s="1">
        <v>8199</v>
      </c>
      <c r="O1566" s="1">
        <v>50038415</v>
      </c>
      <c r="P1566" s="1" t="str">
        <f>"  شهرداري محلات"</f>
        <v xml:space="preserve">  شهرداري محلات</v>
      </c>
      <c r="Q1566" s="1">
        <v>11</v>
      </c>
      <c r="R1566" s="1" t="str">
        <f>"فروش داخلي تهران - بورس"</f>
        <v>فروش داخلي تهران - بورس</v>
      </c>
      <c r="S1566" s="1" t="str">
        <f>"قرارداد فروش"</f>
        <v>قرارداد فروش</v>
      </c>
      <c r="T1566" s="1" t="str">
        <f>"ندارد"</f>
        <v>ندارد</v>
      </c>
      <c r="U1566" s="1" t="str">
        <f>"عظيمي محمد(2842015)"</f>
        <v>عظيمي محمد(2842015)</v>
      </c>
      <c r="V1566" s="1">
        <v>961100121</v>
      </c>
      <c r="W1566" s="1">
        <v>961100121</v>
      </c>
      <c r="X1566" s="1" t="str">
        <f>"1396544896"</f>
        <v>1396544896</v>
      </c>
      <c r="Y1566" s="1" t="str">
        <f>"96/11/16"</f>
        <v>96/11/16</v>
      </c>
      <c r="Z1566" s="1" t="str">
        <f>"96-37148"</f>
        <v>96-37148</v>
      </c>
      <c r="AA1566" s="1" t="str">
        <f>"شهرداريها"</f>
        <v>شهرداريها</v>
      </c>
      <c r="AB1566" s="1" t="str">
        <f>"96/11/16"</f>
        <v>96/11/16</v>
      </c>
      <c r="AC1566" s="1" t="str">
        <f>"استان مركزي"</f>
        <v>استان مركزي</v>
      </c>
      <c r="AD1566" s="1" t="str">
        <f>"96/11/11"</f>
        <v>96/11/11</v>
      </c>
      <c r="AE1566" s="1" t="str">
        <f>"اختتام"</f>
        <v>اختتام</v>
      </c>
      <c r="AF1566" s="1" t="str">
        <f>""</f>
        <v/>
      </c>
      <c r="AG1566" s="1" t="str">
        <f>""</f>
        <v/>
      </c>
      <c r="AH1566" s="1" t="str">
        <f>""</f>
        <v/>
      </c>
      <c r="AI1566" s="1" t="str">
        <f>""</f>
        <v/>
      </c>
      <c r="AJ1566" s="1" t="str">
        <f>""</f>
        <v/>
      </c>
      <c r="AK1566" s="1" t="str">
        <f>""</f>
        <v/>
      </c>
    </row>
    <row r="1567" spans="1:37">
      <c r="A1567" s="1">
        <v>20000</v>
      </c>
      <c r="B1567" s="1">
        <v>966200603</v>
      </c>
      <c r="C1567" s="1" t="str">
        <f>"تخليه -كهگيلويه وبويراحمد-ياسوج جاده اصفهان كارخانه آسفالت جوكار"</f>
        <v>تخليه -كهگيلويه وبويراحمد-ياسوج جاده اصفهان كارخانه آسفالت جوكار</v>
      </c>
      <c r="D1567" s="1">
        <v>13350</v>
      </c>
      <c r="E1567" s="1">
        <v>19100</v>
      </c>
      <c r="F1567" s="1">
        <v>96</v>
      </c>
      <c r="G1567" s="1">
        <v>900</v>
      </c>
      <c r="H1567" s="1" t="str">
        <f>"96/12/09"</f>
        <v>96/12/09</v>
      </c>
      <c r="I1567" s="1" t="str">
        <f>"كيلوگرم"</f>
        <v>كيلوگرم</v>
      </c>
      <c r="J1567" s="1" t="str">
        <f>"0000000076"</f>
        <v>0000000076</v>
      </c>
      <c r="K1567" s="1" t="str">
        <f>"قير 60/70 - فله"</f>
        <v>قير 60/70 - فله</v>
      </c>
      <c r="L1567" s="1">
        <v>100</v>
      </c>
      <c r="M1567" s="1" t="str">
        <f>"مخازن قير اصفهان"</f>
        <v>مخازن قير اصفهان</v>
      </c>
      <c r="N1567" s="1">
        <v>10938</v>
      </c>
      <c r="O1567" s="1">
        <v>50038662</v>
      </c>
      <c r="P1567" s="1" t="str">
        <f>"  عمران صنعت چناران"</f>
        <v xml:space="preserve">  عمران صنعت چناران</v>
      </c>
      <c r="Q1567" s="1">
        <v>62</v>
      </c>
      <c r="R1567" s="1" t="str">
        <f>"فروش داخلي - سازمان بنيادمسكن انقلاب اسلامي"</f>
        <v>فروش داخلي - سازمان بنيادمسكن انقلاب اسلامي</v>
      </c>
      <c r="S1567" s="1" t="str">
        <f>"قرارداد فروش"</f>
        <v>قرارداد فروش</v>
      </c>
      <c r="T1567" s="1" t="str">
        <f>"ندارد"</f>
        <v>ندارد</v>
      </c>
      <c r="U1567" s="1" t="str">
        <f>"غلام نجفي سيامك‌‌‌‌‌‌(1881082)"</f>
        <v>غلام نجفي سيامك‌‌‌‌‌‌(1881082)</v>
      </c>
      <c r="V1567" s="1">
        <v>966200603</v>
      </c>
      <c r="W1567" s="1">
        <v>966200603</v>
      </c>
      <c r="X1567" s="1" t="str">
        <f>"1396551611"</f>
        <v>1396551611</v>
      </c>
      <c r="Y1567" s="1" t="str">
        <f>"96/12/09"</f>
        <v>96/12/09</v>
      </c>
      <c r="Z1567" s="1" t="str">
        <f>"55683/د"</f>
        <v>55683/د</v>
      </c>
      <c r="AA1567" s="1" t="str">
        <f>"بنيادمسكن انقلاب اسلامي"</f>
        <v>بنيادمسكن انقلاب اسلامي</v>
      </c>
      <c r="AB1567" s="1" t="str">
        <f>"96/12/08"</f>
        <v>96/12/08</v>
      </c>
      <c r="AC1567" s="1" t="str">
        <f>"كهكيلويه و بوير احمد"</f>
        <v>كهكيلويه و بوير احمد</v>
      </c>
      <c r="AD1567" s="1" t="str">
        <f>"96/12/09"</f>
        <v>96/12/09</v>
      </c>
      <c r="AE1567" s="1" t="str">
        <f>"اختتام"</f>
        <v>اختتام</v>
      </c>
      <c r="AF1567" s="1" t="str">
        <f>""</f>
        <v/>
      </c>
      <c r="AG1567" s="1" t="str">
        <f>""</f>
        <v/>
      </c>
      <c r="AH1567" s="1" t="str">
        <f>""</f>
        <v/>
      </c>
      <c r="AI1567" s="1" t="str">
        <f>""</f>
        <v/>
      </c>
      <c r="AJ1567" s="1" t="str">
        <f>""</f>
        <v/>
      </c>
      <c r="AK1567" s="1" t="str">
        <f>""</f>
        <v/>
      </c>
    </row>
    <row r="1568" spans="1:37">
      <c r="A1568" s="1">
        <v>130000</v>
      </c>
      <c r="B1568" s="1">
        <v>966200717</v>
      </c>
      <c r="C1568" s="1" t="str">
        <f>"تخليه كهگيلويه ياسوج پليس راه ياسوج اصفهان كارخانه آسفالت زارع"</f>
        <v>تخليه كهگيلويه ياسوج پليس راه ياسوج اصفهان كارخانه آسفالت زارع</v>
      </c>
      <c r="D1568" s="1">
        <v>13350</v>
      </c>
      <c r="E1568" s="1">
        <v>130000</v>
      </c>
      <c r="F1568" s="1">
        <v>96</v>
      </c>
      <c r="G1568" s="1">
        <v>0</v>
      </c>
      <c r="H1568" s="1" t="str">
        <f>"96/12/26"</f>
        <v>96/12/26</v>
      </c>
      <c r="I1568" s="1" t="str">
        <f>"كيلوگرم"</f>
        <v>كيلوگرم</v>
      </c>
      <c r="J1568" s="1" t="str">
        <f>"0000000076"</f>
        <v>0000000076</v>
      </c>
      <c r="K1568" s="1" t="str">
        <f>"قير 60/70 - فله"</f>
        <v>قير 60/70 - فله</v>
      </c>
      <c r="L1568" s="1">
        <v>100</v>
      </c>
      <c r="M1568" s="1" t="str">
        <f>"مخازن قير اصفهان"</f>
        <v>مخازن قير اصفهان</v>
      </c>
      <c r="N1568" s="1">
        <v>10938</v>
      </c>
      <c r="O1568" s="1">
        <v>50039077</v>
      </c>
      <c r="P1568" s="1" t="str">
        <f>"  عمران صنعت چناران"</f>
        <v xml:space="preserve">  عمران صنعت چناران</v>
      </c>
      <c r="Q1568" s="1">
        <v>62</v>
      </c>
      <c r="R1568" s="1" t="str">
        <f>"فروش داخلي - سازمان بنيادمسكن انقلاب اسلامي"</f>
        <v>فروش داخلي - سازمان بنيادمسكن انقلاب اسلامي</v>
      </c>
      <c r="S1568" s="1" t="str">
        <f>"قرارداد فروش"</f>
        <v>قرارداد فروش</v>
      </c>
      <c r="T1568" s="1" t="str">
        <f>"ندارد"</f>
        <v>ندارد</v>
      </c>
      <c r="U1568" s="1" t="str">
        <f>"غلام نجفي سيامك‌‌‌‌‌‌(1881082)"</f>
        <v>غلام نجفي سيامك‌‌‌‌‌‌(1881082)</v>
      </c>
      <c r="V1568" s="1">
        <v>966200717</v>
      </c>
      <c r="W1568" s="1">
        <v>966200717</v>
      </c>
      <c r="X1568" s="1" t="str">
        <f>"1396555371"</f>
        <v>1396555371</v>
      </c>
      <c r="Y1568" s="1" t="str">
        <f>"96/12/26"</f>
        <v>96/12/26</v>
      </c>
      <c r="Z1568" s="1" t="str">
        <f>"59316/د"</f>
        <v>59316/د</v>
      </c>
      <c r="AA1568" s="1" t="str">
        <f>"بنيادمسكن انقلاب اسلامي"</f>
        <v>بنيادمسكن انقلاب اسلامي</v>
      </c>
      <c r="AB1568" s="1" t="str">
        <f>"96/12/23"</f>
        <v>96/12/23</v>
      </c>
      <c r="AC1568" s="1" t="str">
        <f>"كهكيلويه و بوير احمد"</f>
        <v>كهكيلويه و بوير احمد</v>
      </c>
      <c r="AD1568" s="1" t="str">
        <f>"96/12/26"</f>
        <v>96/12/26</v>
      </c>
      <c r="AE1568" s="1" t="str">
        <f>"اختتام"</f>
        <v>اختتام</v>
      </c>
      <c r="AF1568" s="1" t="str">
        <f>""</f>
        <v/>
      </c>
      <c r="AG1568" s="1" t="str">
        <f>""</f>
        <v/>
      </c>
      <c r="AH1568" s="1" t="str">
        <f>""</f>
        <v/>
      </c>
      <c r="AI1568" s="1" t="str">
        <f>""</f>
        <v/>
      </c>
      <c r="AJ1568" s="1" t="str">
        <f>""</f>
        <v/>
      </c>
      <c r="AK1568" s="1" t="str">
        <f>""</f>
        <v/>
      </c>
    </row>
    <row r="1569" spans="1:37">
      <c r="A1569" s="1">
        <v>15000</v>
      </c>
      <c r="B1569" s="1">
        <v>966200676</v>
      </c>
      <c r="C1569" s="1" t="str">
        <f>"تخليه كهگيلويه ياسوج پليس راه اصفهان ياسوج كارخانه آسفالت داريوش جوكار"</f>
        <v>تخليه كهگيلويه ياسوج پليس راه اصفهان ياسوج كارخانه آسفالت داريوش جوكار</v>
      </c>
      <c r="D1569" s="1">
        <v>13350</v>
      </c>
      <c r="E1569" s="1">
        <v>15000</v>
      </c>
      <c r="F1569" s="1">
        <v>96</v>
      </c>
      <c r="G1569" s="1">
        <v>0</v>
      </c>
      <c r="H1569" s="1" t="str">
        <f>"96/12/16"</f>
        <v>96/12/16</v>
      </c>
      <c r="I1569" s="1" t="str">
        <f>"كيلوگرم"</f>
        <v>كيلوگرم</v>
      </c>
      <c r="J1569" s="1" t="str">
        <f>"0000000076"</f>
        <v>0000000076</v>
      </c>
      <c r="K1569" s="1" t="str">
        <f>"قير 60/70 - فله"</f>
        <v>قير 60/70 - فله</v>
      </c>
      <c r="L1569" s="1">
        <v>100</v>
      </c>
      <c r="M1569" s="1" t="str">
        <f>"مخازن قير اصفهان"</f>
        <v>مخازن قير اصفهان</v>
      </c>
      <c r="N1569" s="1">
        <v>11048</v>
      </c>
      <c r="O1569" s="1">
        <v>50038835</v>
      </c>
      <c r="P1569" s="1" t="str">
        <f>"  ويلا بوير"</f>
        <v xml:space="preserve">  ويلا بوير</v>
      </c>
      <c r="Q1569" s="1">
        <v>62</v>
      </c>
      <c r="R1569" s="1" t="str">
        <f>"فروش داخلي - سازمان بنيادمسكن انقلاب اسلامي"</f>
        <v>فروش داخلي - سازمان بنيادمسكن انقلاب اسلامي</v>
      </c>
      <c r="S1569" s="1" t="str">
        <f>"قرارداد فروش"</f>
        <v>قرارداد فروش</v>
      </c>
      <c r="T1569" s="1" t="str">
        <f>"ندارد"</f>
        <v>ندارد</v>
      </c>
      <c r="U1569" s="1" t="str">
        <f>"غلام نجفي سيامك‌‌‌‌‌‌(1881082)"</f>
        <v>غلام نجفي سيامك‌‌‌‌‌‌(1881082)</v>
      </c>
      <c r="V1569" s="1">
        <v>966200676</v>
      </c>
      <c r="W1569" s="1">
        <v>966200676</v>
      </c>
      <c r="X1569" s="1" t="str">
        <f>"1396553438"</f>
        <v>1396553438</v>
      </c>
      <c r="Y1569" s="1" t="str">
        <f>"96/12/16"</f>
        <v>96/12/16</v>
      </c>
      <c r="Z1569" s="1" t="str">
        <f>"57186/د"</f>
        <v>57186/د</v>
      </c>
      <c r="AA1569" s="1" t="str">
        <f>"بنيادمسكن انقلاب اسلامي"</f>
        <v>بنيادمسكن انقلاب اسلامي</v>
      </c>
      <c r="AB1569" s="1" t="str">
        <f>"96/12/15"</f>
        <v>96/12/15</v>
      </c>
      <c r="AC1569" s="1" t="str">
        <f>"كهكيلويه و بوير احمد"</f>
        <v>كهكيلويه و بوير احمد</v>
      </c>
      <c r="AD1569" s="1" t="str">
        <f>"96/12/16"</f>
        <v>96/12/16</v>
      </c>
      <c r="AE1569" s="1" t="str">
        <f>"اختتام"</f>
        <v>اختتام</v>
      </c>
      <c r="AF1569" s="1" t="str">
        <f>""</f>
        <v/>
      </c>
      <c r="AG1569" s="1" t="str">
        <f>""</f>
        <v/>
      </c>
      <c r="AH1569" s="1" t="str">
        <f>""</f>
        <v/>
      </c>
      <c r="AI1569" s="1" t="str">
        <f>""</f>
        <v/>
      </c>
      <c r="AJ1569" s="1" t="str">
        <f>""</f>
        <v/>
      </c>
      <c r="AK1569" s="1" t="str">
        <f>""</f>
        <v/>
      </c>
    </row>
    <row r="1570" spans="1:37">
      <c r="A1570" s="1">
        <v>137000</v>
      </c>
      <c r="B1570" s="1">
        <v>966200430</v>
      </c>
      <c r="C1570" s="1" t="str">
        <f>"تخليه خراسان جنوبي فردوس كارخانه آسفالت توس راديه"</f>
        <v>تخليه خراسان جنوبي فردوس كارخانه آسفالت توس راديه</v>
      </c>
      <c r="D1570" s="1">
        <v>12820</v>
      </c>
      <c r="E1570" s="1">
        <v>136080</v>
      </c>
      <c r="F1570" s="1">
        <v>96</v>
      </c>
      <c r="G1570" s="1">
        <v>920</v>
      </c>
      <c r="H1570" s="1" t="str">
        <f>"96/09/18"</f>
        <v>96/09/18</v>
      </c>
      <c r="I1570" s="1" t="str">
        <f>"كيلوگرم"</f>
        <v>كيلوگرم</v>
      </c>
      <c r="J1570" s="1" t="str">
        <f>"0000000076"</f>
        <v>0000000076</v>
      </c>
      <c r="K1570" s="1" t="str">
        <f>"قير 60/70 - فله"</f>
        <v>قير 60/70 - فله</v>
      </c>
      <c r="L1570" s="1">
        <v>100</v>
      </c>
      <c r="M1570" s="1" t="str">
        <f>"مخازن قير اصفهان"</f>
        <v>مخازن قير اصفهان</v>
      </c>
      <c r="N1570" s="1">
        <v>11053</v>
      </c>
      <c r="O1570" s="1">
        <v>50037557</v>
      </c>
      <c r="P1570" s="1" t="str">
        <f>"  آوارادين شرق"</f>
        <v xml:space="preserve">  آوارادين شرق</v>
      </c>
      <c r="Q1570" s="1">
        <v>62</v>
      </c>
      <c r="R1570" s="1" t="str">
        <f>"فروش داخلي - سازمان بنيادمسكن انقلاب اسلامي"</f>
        <v>فروش داخلي - سازمان بنيادمسكن انقلاب اسلامي</v>
      </c>
      <c r="S1570" s="1" t="str">
        <f>"قرارداد فروش"</f>
        <v>قرارداد فروش</v>
      </c>
      <c r="T1570" s="1" t="str">
        <f>"ندارد"</f>
        <v>ندارد</v>
      </c>
      <c r="U1570" s="1" t="str">
        <f>"كاردان اسپادان راه مصطفي  (1911100)"</f>
        <v>كاردان اسپادان راه مصطفي  (1911100)</v>
      </c>
      <c r="V1570" s="1">
        <v>966200430</v>
      </c>
      <c r="W1570" s="1">
        <v>966200430</v>
      </c>
      <c r="X1570" s="1" t="str">
        <f>"1396531057"</f>
        <v>1396531057</v>
      </c>
      <c r="Y1570" s="1" t="str">
        <f>"96/09/18"</f>
        <v>96/09/18</v>
      </c>
      <c r="Z1570" s="1" t="str">
        <f>"40622/د"</f>
        <v>40622/د</v>
      </c>
      <c r="AA1570" s="1" t="str">
        <f>"بنيادمسكن انقلاب اسلامي"</f>
        <v>بنيادمسكن انقلاب اسلامي</v>
      </c>
      <c r="AB1570" s="1" t="str">
        <f>"96/09/14"</f>
        <v>96/09/14</v>
      </c>
      <c r="AC1570" s="1" t="str">
        <f>"خراسان جنوبي"</f>
        <v>خراسان جنوبي</v>
      </c>
      <c r="AD1570" s="1" t="str">
        <f>"96/09/18"</f>
        <v>96/09/18</v>
      </c>
      <c r="AE1570" s="1" t="str">
        <f>"اختتام"</f>
        <v>اختتام</v>
      </c>
      <c r="AF1570" s="1" t="str">
        <f>""</f>
        <v/>
      </c>
      <c r="AG1570" s="1" t="str">
        <f>""</f>
        <v/>
      </c>
      <c r="AH1570" s="1" t="str">
        <f>""</f>
        <v/>
      </c>
      <c r="AI1570" s="1" t="str">
        <f>""</f>
        <v/>
      </c>
      <c r="AJ1570" s="1" t="str">
        <f>""</f>
        <v/>
      </c>
      <c r="AK1570" s="1" t="str">
        <f>""</f>
        <v/>
      </c>
    </row>
    <row r="1571" spans="1:37">
      <c r="A1571" s="1">
        <v>79000</v>
      </c>
      <c r="B1571" s="1">
        <v>966200442</v>
      </c>
      <c r="C1571" s="1" t="str">
        <f>"تخليه - کهگيلويه و بويراحمد-ياسوج-پليس راه ياسوج اصفهان-کارخانه آسفالت زارع"</f>
        <v>تخليه - کهگيلويه و بويراحمد-ياسوج-پليس راه ياسوج اصفهان-کارخانه آسفالت زارع</v>
      </c>
      <c r="D1571" s="1">
        <v>12820</v>
      </c>
      <c r="E1571" s="1">
        <v>77480</v>
      </c>
      <c r="F1571" s="1">
        <v>96</v>
      </c>
      <c r="G1571" s="1">
        <v>1520</v>
      </c>
      <c r="H1571" s="1" t="str">
        <f>"96/09/20"</f>
        <v>96/09/20</v>
      </c>
      <c r="I1571" s="1" t="str">
        <f>"كيلوگرم"</f>
        <v>كيلوگرم</v>
      </c>
      <c r="J1571" s="1" t="str">
        <f>"0000000076"</f>
        <v>0000000076</v>
      </c>
      <c r="K1571" s="1" t="str">
        <f>"قير 60/70 - فله"</f>
        <v>قير 60/70 - فله</v>
      </c>
      <c r="L1571" s="1">
        <v>100</v>
      </c>
      <c r="M1571" s="1" t="str">
        <f>"مخازن قير اصفهان"</f>
        <v>مخازن قير اصفهان</v>
      </c>
      <c r="N1571" s="1">
        <v>11055</v>
      </c>
      <c r="O1571" s="1">
        <v>50037634</v>
      </c>
      <c r="P1571" s="1" t="str">
        <f>"  بکتاش سازه زاگرس"</f>
        <v xml:space="preserve">  بکتاش سازه زاگرس</v>
      </c>
      <c r="Q1571" s="1">
        <v>62</v>
      </c>
      <c r="R1571" s="1" t="str">
        <f>"فروش داخلي - سازمان بنيادمسكن انقلاب اسلامي"</f>
        <v>فروش داخلي - سازمان بنيادمسكن انقلاب اسلامي</v>
      </c>
      <c r="S1571" s="1" t="str">
        <f>"قرارداد فروش"</f>
        <v>قرارداد فروش</v>
      </c>
      <c r="T1571" s="1" t="str">
        <f>"ندارد"</f>
        <v>ندارد</v>
      </c>
      <c r="U1571" s="1" t="str">
        <f>"غلام نجفي سيامك‌‌‌‌‌‌(1881082)"</f>
        <v>غلام نجفي سيامك‌‌‌‌‌‌(1881082)</v>
      </c>
      <c r="V1571" s="1">
        <v>966200442</v>
      </c>
      <c r="W1571" s="1">
        <v>966200442</v>
      </c>
      <c r="X1571" s="1" t="str">
        <f>"1396531357"</f>
        <v>1396531357</v>
      </c>
      <c r="Y1571" s="1" t="str">
        <f>"96/09/20"</f>
        <v>96/09/20</v>
      </c>
      <c r="Z1571" s="1" t="str">
        <f>"41342/د"</f>
        <v>41342/د</v>
      </c>
      <c r="AA1571" s="1" t="str">
        <f>"بنيادمسكن انقلاب اسلامي"</f>
        <v>بنيادمسكن انقلاب اسلامي</v>
      </c>
      <c r="AB1571" s="1" t="str">
        <f>"96/09/20"</f>
        <v>96/09/20</v>
      </c>
      <c r="AC1571" s="1" t="str">
        <f>"كهكيلويه و بوير احمد"</f>
        <v>كهكيلويه و بوير احمد</v>
      </c>
      <c r="AD1571" s="1" t="str">
        <f>"96/09/20"</f>
        <v>96/09/20</v>
      </c>
      <c r="AE1571" s="1" t="str">
        <f>"اختتام"</f>
        <v>اختتام</v>
      </c>
      <c r="AF1571" s="1" t="str">
        <f>""</f>
        <v/>
      </c>
      <c r="AG1571" s="1" t="str">
        <f>""</f>
        <v/>
      </c>
      <c r="AH1571" s="1" t="str">
        <f>""</f>
        <v/>
      </c>
      <c r="AI1571" s="1" t="str">
        <f>""</f>
        <v/>
      </c>
      <c r="AJ1571" s="1" t="str">
        <f>""</f>
        <v/>
      </c>
      <c r="AK1571" s="1" t="str">
        <f>""</f>
        <v/>
      </c>
    </row>
    <row r="1572" spans="1:37">
      <c r="A1572" s="1">
        <v>190000</v>
      </c>
      <c r="B1572" s="1">
        <v>966200728</v>
      </c>
      <c r="C1572" s="1" t="str">
        <f>"تخليه-گچساران-روستاي سعادت آباد-کارخانه آسفالت بهزادي"</f>
        <v>تخليه-گچساران-روستاي سعادت آباد-کارخانه آسفالت بهزادي</v>
      </c>
      <c r="D1572" s="1">
        <v>13350</v>
      </c>
      <c r="E1572" s="1">
        <v>189520</v>
      </c>
      <c r="F1572" s="1">
        <v>96</v>
      </c>
      <c r="G1572" s="1">
        <v>480</v>
      </c>
      <c r="H1572" s="1" t="str">
        <f>"96/12/26"</f>
        <v>96/12/26</v>
      </c>
      <c r="I1572" s="1" t="str">
        <f>"كيلوگرم"</f>
        <v>كيلوگرم</v>
      </c>
      <c r="J1572" s="1" t="str">
        <f>"0000000076"</f>
        <v>0000000076</v>
      </c>
      <c r="K1572" s="1" t="str">
        <f>"قير 60/70 - فله"</f>
        <v>قير 60/70 - فله</v>
      </c>
      <c r="L1572" s="1">
        <v>100</v>
      </c>
      <c r="M1572" s="1" t="str">
        <f>"مخازن قير اصفهان"</f>
        <v>مخازن قير اصفهان</v>
      </c>
      <c r="N1572" s="1">
        <v>11060</v>
      </c>
      <c r="O1572" s="1">
        <v>50039089</v>
      </c>
      <c r="P1572" s="1" t="str">
        <f>"  آتي سازان کهکشان"</f>
        <v xml:space="preserve">  آتي سازان کهکشان</v>
      </c>
      <c r="Q1572" s="1">
        <v>62</v>
      </c>
      <c r="R1572" s="1" t="str">
        <f>"فروش داخلي - سازمان بنيادمسكن انقلاب اسلامي"</f>
        <v>فروش داخلي - سازمان بنيادمسكن انقلاب اسلامي</v>
      </c>
      <c r="S1572" s="1" t="str">
        <f>"قرارداد فروش"</f>
        <v>قرارداد فروش</v>
      </c>
      <c r="T1572" s="1" t="str">
        <f>"ندارد"</f>
        <v>ندارد</v>
      </c>
      <c r="U1572" s="1" t="str">
        <f>"غلام نجفي سيامك‌‌‌‌‌‌(1881082)"</f>
        <v>غلام نجفي سيامك‌‌‌‌‌‌(1881082)</v>
      </c>
      <c r="V1572" s="1">
        <v>966200728</v>
      </c>
      <c r="W1572" s="1">
        <v>966200728</v>
      </c>
      <c r="X1572" s="1" t="str">
        <f>"1396555392"</f>
        <v>1396555392</v>
      </c>
      <c r="Y1572" s="1" t="str">
        <f>"96/12/26"</f>
        <v>96/12/26</v>
      </c>
      <c r="Z1572" s="1" t="str">
        <f>"59393/د"</f>
        <v>59393/د</v>
      </c>
      <c r="AA1572" s="1" t="str">
        <f>"بنيادمسكن انقلاب اسلامي"</f>
        <v>بنيادمسكن انقلاب اسلامي</v>
      </c>
      <c r="AB1572" s="1" t="str">
        <f>"96/12/23"</f>
        <v>96/12/23</v>
      </c>
      <c r="AC1572" s="1" t="str">
        <f>"كهكيلويه و بوير احمد"</f>
        <v>كهكيلويه و بوير احمد</v>
      </c>
      <c r="AD1572" s="1" t="str">
        <f>"96/12/26"</f>
        <v>96/12/26</v>
      </c>
      <c r="AE1572" s="1" t="str">
        <f>"اختتام"</f>
        <v>اختتام</v>
      </c>
      <c r="AF1572" s="1" t="str">
        <f>""</f>
        <v/>
      </c>
      <c r="AG1572" s="1" t="str">
        <f>""</f>
        <v/>
      </c>
      <c r="AH1572" s="1" t="str">
        <f>""</f>
        <v/>
      </c>
      <c r="AI1572" s="1" t="str">
        <f>""</f>
        <v/>
      </c>
      <c r="AJ1572" s="1" t="str">
        <f>""</f>
        <v/>
      </c>
      <c r="AK1572" s="1" t="str">
        <f>""</f>
        <v/>
      </c>
    </row>
    <row r="1573" spans="1:37">
      <c r="A1573" s="1">
        <v>15000</v>
      </c>
      <c r="B1573" s="1">
        <v>966200598</v>
      </c>
      <c r="C1573" s="1" t="str">
        <f>"تخليه-ياسوج-کمربندي ياسوج-کارخانه آسفالت جوکار"</f>
        <v>تخليه-ياسوج-کمربندي ياسوج-کارخانه آسفالت جوکار</v>
      </c>
      <c r="D1573" s="1">
        <v>13350</v>
      </c>
      <c r="E1573" s="1">
        <v>14800</v>
      </c>
      <c r="F1573" s="1">
        <v>96</v>
      </c>
      <c r="G1573" s="1">
        <v>200</v>
      </c>
      <c r="H1573" s="1" t="str">
        <f>"96/12/09"</f>
        <v>96/12/09</v>
      </c>
      <c r="I1573" s="1" t="str">
        <f>"كيلوگرم"</f>
        <v>كيلوگرم</v>
      </c>
      <c r="J1573" s="1" t="str">
        <f>"0000000076"</f>
        <v>0000000076</v>
      </c>
      <c r="K1573" s="1" t="str">
        <f>"قير 60/70 - فله"</f>
        <v>قير 60/70 - فله</v>
      </c>
      <c r="L1573" s="1">
        <v>100</v>
      </c>
      <c r="M1573" s="1" t="str">
        <f>"مخازن قير اصفهان"</f>
        <v>مخازن قير اصفهان</v>
      </c>
      <c r="N1573" s="1">
        <v>11063</v>
      </c>
      <c r="O1573" s="1">
        <v>50038657</v>
      </c>
      <c r="P1573" s="1" t="str">
        <f>"  مشاهير راه و پل"</f>
        <v xml:space="preserve">  مشاهير راه و پل</v>
      </c>
      <c r="Q1573" s="1">
        <v>62</v>
      </c>
      <c r="R1573" s="1" t="str">
        <f>"فروش داخلي - سازمان بنيادمسكن انقلاب اسلامي"</f>
        <v>فروش داخلي - سازمان بنيادمسكن انقلاب اسلامي</v>
      </c>
      <c r="S1573" s="1" t="str">
        <f>"قرارداد فروش"</f>
        <v>قرارداد فروش</v>
      </c>
      <c r="T1573" s="1" t="str">
        <f>"ندارد"</f>
        <v>ندارد</v>
      </c>
      <c r="U1573" s="1" t="str">
        <f>"غلام نجفي سيامك‌‌‌‌‌‌(1881082)"</f>
        <v>غلام نجفي سيامك‌‌‌‌‌‌(1881082)</v>
      </c>
      <c r="V1573" s="1">
        <v>966200598</v>
      </c>
      <c r="W1573" s="1">
        <v>966200598</v>
      </c>
      <c r="X1573" s="1" t="str">
        <f>"1396551611"</f>
        <v>1396551611</v>
      </c>
      <c r="Y1573" s="1" t="str">
        <f>"96/12/09"</f>
        <v>96/12/09</v>
      </c>
      <c r="Z1573" s="1" t="str">
        <f>"55676/د"</f>
        <v>55676/د</v>
      </c>
      <c r="AA1573" s="1" t="str">
        <f>"بنيادمسكن انقلاب اسلامي"</f>
        <v>بنيادمسكن انقلاب اسلامي</v>
      </c>
      <c r="AB1573" s="1" t="str">
        <f>"96/12/08"</f>
        <v>96/12/08</v>
      </c>
      <c r="AC1573" s="1" t="str">
        <f>"كهكيلويه و بوير احمد"</f>
        <v>كهكيلويه و بوير احمد</v>
      </c>
      <c r="AD1573" s="1" t="str">
        <f>"96/12/08"</f>
        <v>96/12/08</v>
      </c>
      <c r="AE1573" s="1" t="str">
        <f>"اختتام"</f>
        <v>اختتام</v>
      </c>
      <c r="AF1573" s="1" t="str">
        <f>""</f>
        <v/>
      </c>
      <c r="AG1573" s="1" t="str">
        <f>""</f>
        <v/>
      </c>
      <c r="AH1573" s="1" t="str">
        <f>""</f>
        <v/>
      </c>
      <c r="AI1573" s="1" t="str">
        <f>""</f>
        <v/>
      </c>
      <c r="AJ1573" s="1" t="str">
        <f>""</f>
        <v/>
      </c>
      <c r="AK1573" s="1" t="str">
        <f>""</f>
        <v/>
      </c>
    </row>
    <row r="1574" spans="1:37">
      <c r="A1574" s="1">
        <v>22000</v>
      </c>
      <c r="B1574" s="1">
        <v>966200290</v>
      </c>
      <c r="C1574" s="1" t="str">
        <f>"تخليه -ايلام سرابله سه راهي كارزان كارخانه سيمان -كارخانه آسفالت شركت خردادراه ساز"</f>
        <v>تخليه -ايلام سرابله سه راهي كارزان كارخانه سيمان -كارخانه آسفالت شركت خردادراه ساز</v>
      </c>
      <c r="D1574" s="1">
        <v>12777</v>
      </c>
      <c r="E1574" s="1">
        <v>20500</v>
      </c>
      <c r="F1574" s="1">
        <v>96</v>
      </c>
      <c r="G1574" s="1">
        <v>1500</v>
      </c>
      <c r="H1574" s="1" t="str">
        <f>"96/07/12"</f>
        <v>96/07/12</v>
      </c>
      <c r="I1574" s="1" t="str">
        <f>"كيلوگرم"</f>
        <v>كيلوگرم</v>
      </c>
      <c r="J1574" s="1" t="str">
        <f>"1000000003"</f>
        <v>1000000003</v>
      </c>
      <c r="K1574" s="1" t="str">
        <f>"قير MC250"</f>
        <v>قير MC250</v>
      </c>
      <c r="L1574" s="1">
        <v>100</v>
      </c>
      <c r="M1574" s="1" t="str">
        <f>"مخازن قير اصفهان"</f>
        <v>مخازن قير اصفهان</v>
      </c>
      <c r="N1574" s="1">
        <v>8597</v>
      </c>
      <c r="O1574" s="1">
        <v>50036535</v>
      </c>
      <c r="P1574" s="1" t="str">
        <f>"  خرداد راه ساز ايلام"</f>
        <v xml:space="preserve">  خرداد راه ساز ايلام</v>
      </c>
      <c r="Q1574" s="1">
        <v>62</v>
      </c>
      <c r="R1574" s="1" t="str">
        <f>"فروش داخلي - سازمان بنيادمسكن انقلاب اسلامي"</f>
        <v>فروش داخلي - سازمان بنيادمسكن انقلاب اسلامي</v>
      </c>
      <c r="S1574" s="1" t="str">
        <f>"قرارداد فروش"</f>
        <v>قرارداد فروش</v>
      </c>
      <c r="T1574" s="1" t="str">
        <f>"ندارد"</f>
        <v>ندارد</v>
      </c>
      <c r="U1574" s="1" t="str">
        <f>"عظيمي محمد(2842015)"</f>
        <v>عظيمي محمد(2842015)</v>
      </c>
      <c r="V1574" s="1">
        <v>966200290</v>
      </c>
      <c r="W1574" s="1">
        <v>966200290</v>
      </c>
      <c r="X1574" s="1" t="str">
        <f>"1396516804"</f>
        <v>1396516804</v>
      </c>
      <c r="Y1574" s="1" t="str">
        <f>"96/07/12"</f>
        <v>96/07/12</v>
      </c>
      <c r="Z1574" s="1" t="str">
        <f>"30480/د"</f>
        <v>30480/د</v>
      </c>
      <c r="AA1574" s="1" t="str">
        <f>"بنيادمسكن انقلاب اسلامي"</f>
        <v>بنيادمسكن انقلاب اسلامي</v>
      </c>
      <c r="AB1574" s="1" t="str">
        <f>"96/07/11"</f>
        <v>96/07/11</v>
      </c>
      <c r="AC1574" s="1" t="str">
        <f>"استان ايلام"</f>
        <v>استان ايلام</v>
      </c>
      <c r="AD1574" s="1" t="str">
        <f>"96/07/12"</f>
        <v>96/07/12</v>
      </c>
      <c r="AE1574" s="1" t="str">
        <f>"اختتام"</f>
        <v>اختتام</v>
      </c>
      <c r="AF1574" s="1" t="str">
        <f>""</f>
        <v/>
      </c>
      <c r="AG1574" s="1" t="str">
        <f>""</f>
        <v/>
      </c>
      <c r="AH1574" s="1" t="str">
        <f>""</f>
        <v/>
      </c>
      <c r="AI1574" s="1" t="str">
        <f>""</f>
        <v/>
      </c>
      <c r="AJ1574" s="1" t="str">
        <f>""</f>
        <v/>
      </c>
      <c r="AK1574" s="1" t="str">
        <f>""</f>
        <v/>
      </c>
    </row>
    <row r="1575" spans="1:37">
      <c r="A1575" s="1">
        <v>15000</v>
      </c>
      <c r="B1575" s="1">
        <v>966200058</v>
      </c>
      <c r="C1575" s="1" t="str">
        <f>"تخليه-محور نجف آباد -تيران- پشت شهرک صنعتي تيران"</f>
        <v>تخليه-محور نجف آباد -تيران- پشت شهرک صنعتي تيران</v>
      </c>
      <c r="D1575" s="1">
        <v>12482</v>
      </c>
      <c r="E1575" s="1">
        <v>14520</v>
      </c>
      <c r="F1575" s="1">
        <v>96</v>
      </c>
      <c r="G1575" s="1">
        <v>480</v>
      </c>
      <c r="H1575" s="1" t="str">
        <f>"96/02/13"</f>
        <v>96/02/13</v>
      </c>
      <c r="I1575" s="1" t="str">
        <f>"كيلوگرم"</f>
        <v>كيلوگرم</v>
      </c>
      <c r="J1575" s="1" t="str">
        <f>"1000000003"</f>
        <v>1000000003</v>
      </c>
      <c r="K1575" s="1" t="str">
        <f>"قير MC250"</f>
        <v>قير MC250</v>
      </c>
      <c r="L1575" s="1">
        <v>100</v>
      </c>
      <c r="M1575" s="1" t="str">
        <f>"مخازن قير اصفهان"</f>
        <v>مخازن قير اصفهان</v>
      </c>
      <c r="N1575" s="1">
        <v>8643</v>
      </c>
      <c r="O1575" s="1">
        <v>50034753</v>
      </c>
      <c r="P1575" s="1" t="str">
        <f>"  ميلاد راه سپاهان"</f>
        <v xml:space="preserve">  ميلاد راه سپاهان</v>
      </c>
      <c r="Q1575" s="1">
        <v>62</v>
      </c>
      <c r="R1575" s="1" t="str">
        <f>"فروش داخلي - سازمان بنيادمسكن انقلاب اسلامي"</f>
        <v>فروش داخلي - سازمان بنيادمسكن انقلاب اسلامي</v>
      </c>
      <c r="S1575" s="1" t="str">
        <f>"قرارداد فروش"</f>
        <v>قرارداد فروش</v>
      </c>
      <c r="T1575" s="1" t="str">
        <f>"ندارد"</f>
        <v>ندارد</v>
      </c>
      <c r="U1575" s="1" t="str">
        <f>"مرادي نجاتعلي(1020ج89)"</f>
        <v>مرادي نجاتعلي(1020ج89)</v>
      </c>
      <c r="V1575" s="1">
        <v>966200058</v>
      </c>
      <c r="W1575" s="1">
        <v>966200058</v>
      </c>
      <c r="X1575" s="1" t="str">
        <f>"1396477995"</f>
        <v>1396477995</v>
      </c>
      <c r="Y1575" s="1" t="str">
        <f>"96/02/13"</f>
        <v>96/02/13</v>
      </c>
      <c r="Z1575" s="1" t="str">
        <f>"4516/د"</f>
        <v>4516/د</v>
      </c>
      <c r="AA1575" s="1" t="str">
        <f>"بنيادمسكن انقلاب اسلامي"</f>
        <v>بنيادمسكن انقلاب اسلامي</v>
      </c>
      <c r="AB1575" s="1" t="str">
        <f>"96/02/11"</f>
        <v>96/02/11</v>
      </c>
      <c r="AC1575" s="1" t="str">
        <f>"استان اصفهان"</f>
        <v>استان اصفهان</v>
      </c>
      <c r="AD1575" s="1" t="str">
        <f>"96/02/12"</f>
        <v>96/02/12</v>
      </c>
      <c r="AE1575" s="1" t="str">
        <f>"اختتام"</f>
        <v>اختتام</v>
      </c>
      <c r="AF1575" s="1" t="str">
        <f>""</f>
        <v/>
      </c>
      <c r="AG1575" s="1" t="str">
        <f>""</f>
        <v/>
      </c>
      <c r="AH1575" s="1" t="str">
        <f>""</f>
        <v/>
      </c>
      <c r="AI1575" s="1" t="str">
        <f>""</f>
        <v/>
      </c>
      <c r="AJ1575" s="1" t="str">
        <f>""</f>
        <v/>
      </c>
      <c r="AK1575" s="1" t="str">
        <f>""</f>
        <v/>
      </c>
    </row>
    <row r="1576" spans="1:37">
      <c r="A1576" s="1">
        <v>20000</v>
      </c>
      <c r="B1576" s="1">
        <v>966200435</v>
      </c>
      <c r="C1576" s="1" t="str">
        <f>"تخليه - خراسان جنوبي - نهبندان-جاده روستايي سه فرسخ-کارخانه آسفالت شرکت گيتي گستر خاوران"</f>
        <v>تخليه - خراسان جنوبي - نهبندان-جاده روستايي سه فرسخ-کارخانه آسفالت شرکت گيتي گستر خاوران</v>
      </c>
      <c r="D1576" s="1">
        <v>15947</v>
      </c>
      <c r="E1576" s="1">
        <v>17800</v>
      </c>
      <c r="F1576" s="1">
        <v>96</v>
      </c>
      <c r="G1576" s="1">
        <v>2200</v>
      </c>
      <c r="H1576" s="1" t="str">
        <f>"96/09/18"</f>
        <v>96/09/18</v>
      </c>
      <c r="I1576" s="1" t="str">
        <f>"كيلوگرم"</f>
        <v>كيلوگرم</v>
      </c>
      <c r="J1576" s="1" t="str">
        <f>"1000000003"</f>
        <v>1000000003</v>
      </c>
      <c r="K1576" s="1" t="str">
        <f>"قير MC250"</f>
        <v>قير MC250</v>
      </c>
      <c r="L1576" s="1">
        <v>100</v>
      </c>
      <c r="M1576" s="1" t="str">
        <f>"مخازن قير اصفهان"</f>
        <v>مخازن قير اصفهان</v>
      </c>
      <c r="N1576" s="1">
        <v>8333</v>
      </c>
      <c r="O1576" s="1">
        <v>50037567</v>
      </c>
      <c r="P1576" s="1" t="str">
        <f>"  گيتي گسترخاوران"</f>
        <v xml:space="preserve">  گيتي گسترخاوران</v>
      </c>
      <c r="Q1576" s="1">
        <v>62</v>
      </c>
      <c r="R1576" s="1" t="str">
        <f>"فروش داخلي - سازمان بنيادمسكن انقلاب اسلامي"</f>
        <v>فروش داخلي - سازمان بنيادمسكن انقلاب اسلامي</v>
      </c>
      <c r="S1576" s="1" t="str">
        <f>"قرارداد فروش"</f>
        <v>قرارداد فروش</v>
      </c>
      <c r="T1576" s="1" t="str">
        <f>"ندارد"</f>
        <v>ندارد</v>
      </c>
      <c r="U1576" s="1" t="str">
        <f>"عزيزي صفر(1006ج 89)"</f>
        <v>عزيزي صفر(1006ج 89)</v>
      </c>
      <c r="V1576" s="1">
        <v>966200435</v>
      </c>
      <c r="W1576" s="1">
        <v>966200435</v>
      </c>
      <c r="X1576" s="1" t="str">
        <f>"1396531058"</f>
        <v>1396531058</v>
      </c>
      <c r="Y1576" s="1" t="str">
        <f>"96/09/18"</f>
        <v>96/09/18</v>
      </c>
      <c r="Z1576" s="1" t="str">
        <f>"40621/د"</f>
        <v>40621/د</v>
      </c>
      <c r="AA1576" s="1" t="str">
        <f>"بنيادمسكن انقلاب اسلامي"</f>
        <v>بنيادمسكن انقلاب اسلامي</v>
      </c>
      <c r="AB1576" s="1" t="str">
        <f>"96/09/14"</f>
        <v>96/09/14</v>
      </c>
      <c r="AC1576" s="1" t="str">
        <f>"خراسان جنوبي"</f>
        <v>خراسان جنوبي</v>
      </c>
      <c r="AD1576" s="1" t="str">
        <f>"96/09/18"</f>
        <v>96/09/18</v>
      </c>
      <c r="AE1576" s="1" t="str">
        <f>"اختتام"</f>
        <v>اختتام</v>
      </c>
      <c r="AF1576" s="1" t="str">
        <f>""</f>
        <v/>
      </c>
      <c r="AG1576" s="1" t="str">
        <f>""</f>
        <v/>
      </c>
      <c r="AH1576" s="1" t="str">
        <f>""</f>
        <v/>
      </c>
      <c r="AI1576" s="1" t="str">
        <f>""</f>
        <v/>
      </c>
      <c r="AJ1576" s="1" t="str">
        <f>""</f>
        <v/>
      </c>
      <c r="AK1576" s="1" t="str">
        <f>""</f>
        <v/>
      </c>
    </row>
    <row r="1577" spans="1:37">
      <c r="A1577" s="1">
        <v>59000</v>
      </c>
      <c r="B1577" s="1">
        <v>966200137</v>
      </c>
      <c r="C1577" s="1" t="str">
        <f>"تخليه -ايلام سرابله سه راهي كارزان كارخانه سيمان -كارخانه آسفالت شركت خردادراه ساز"</f>
        <v>تخليه -ايلام سرابله سه راهي كارزان كارخانه سيمان -كارخانه آسفالت شركت خردادراه ساز</v>
      </c>
      <c r="D1577" s="1">
        <v>12222</v>
      </c>
      <c r="E1577" s="1">
        <v>58040</v>
      </c>
      <c r="F1577" s="1">
        <v>96</v>
      </c>
      <c r="G1577" s="1">
        <v>960</v>
      </c>
      <c r="H1577" s="1" t="str">
        <f>"96/04/25"</f>
        <v>96/04/25</v>
      </c>
      <c r="I1577" s="1" t="str">
        <f>"كيلوگرم"</f>
        <v>كيلوگرم</v>
      </c>
      <c r="J1577" s="1" t="str">
        <f>"1000000003"</f>
        <v>1000000003</v>
      </c>
      <c r="K1577" s="1" t="str">
        <f>"قير MC250"</f>
        <v>قير MC250</v>
      </c>
      <c r="L1577" s="1">
        <v>100</v>
      </c>
      <c r="M1577" s="1" t="str">
        <f>"مخازن قير اصفهان"</f>
        <v>مخازن قير اصفهان</v>
      </c>
      <c r="N1577" s="1">
        <v>8597</v>
      </c>
      <c r="O1577" s="1">
        <v>50035215</v>
      </c>
      <c r="P1577" s="1" t="str">
        <f>"  خرداد راه ساز ايلام"</f>
        <v xml:space="preserve">  خرداد راه ساز ايلام</v>
      </c>
      <c r="Q1577" s="1">
        <v>62</v>
      </c>
      <c r="R1577" s="1" t="str">
        <f>"فروش داخلي - سازمان بنيادمسكن انقلاب اسلامي"</f>
        <v>فروش داخلي - سازمان بنيادمسكن انقلاب اسلامي</v>
      </c>
      <c r="S1577" s="1" t="str">
        <f>"قرارداد فروش"</f>
        <v>قرارداد فروش</v>
      </c>
      <c r="T1577" s="1" t="str">
        <f>"ندارد"</f>
        <v>ندارد</v>
      </c>
      <c r="U1577" s="1" t="str">
        <f>"عظيمي محمد(2842015)"</f>
        <v>عظيمي محمد(2842015)</v>
      </c>
      <c r="V1577" s="1">
        <v>966200137</v>
      </c>
      <c r="W1577" s="1">
        <v>966200137</v>
      </c>
      <c r="X1577" s="1" t="str">
        <f>"1396496983"</f>
        <v>1396496983</v>
      </c>
      <c r="Y1577" s="1" t="str">
        <f>"96/04/25"</f>
        <v>96/04/25</v>
      </c>
      <c r="Z1577" s="1" t="str">
        <f>"16082/د"</f>
        <v>16082/د</v>
      </c>
      <c r="AA1577" s="1" t="str">
        <f>"بنيادمسكن انقلاب اسلامي"</f>
        <v>بنيادمسكن انقلاب اسلامي</v>
      </c>
      <c r="AB1577" s="1" t="str">
        <f>"96/04/21"</f>
        <v>96/04/21</v>
      </c>
      <c r="AC1577" s="1" t="str">
        <f>"استان ايلام"</f>
        <v>استان ايلام</v>
      </c>
      <c r="AD1577" s="1" t="str">
        <f>"96/04/25"</f>
        <v>96/04/25</v>
      </c>
      <c r="AE1577" s="1" t="str">
        <f>"اختتام"</f>
        <v>اختتام</v>
      </c>
      <c r="AF1577" s="1" t="str">
        <f>""</f>
        <v/>
      </c>
      <c r="AG1577" s="1" t="str">
        <f>""</f>
        <v/>
      </c>
      <c r="AH1577" s="1" t="str">
        <f>""</f>
        <v/>
      </c>
      <c r="AI1577" s="1" t="str">
        <f>""</f>
        <v/>
      </c>
      <c r="AJ1577" s="1" t="str">
        <f>""</f>
        <v/>
      </c>
      <c r="AK1577" s="1" t="str">
        <f>""</f>
        <v/>
      </c>
    </row>
    <row r="1578" spans="1:37">
      <c r="A1578" s="1">
        <v>15000</v>
      </c>
      <c r="B1578" s="1">
        <v>966200684</v>
      </c>
      <c r="C1578" s="1" t="str">
        <f>"تخليه -اصفهان - كاشان - كيلومتر 19محور كاشان - قم شركت درم"</f>
        <v>تخليه -اصفهان - كاشان - كيلومتر 19محور كاشان - قم شركت درم</v>
      </c>
      <c r="D1578" s="1">
        <v>16650</v>
      </c>
      <c r="E1578" s="1">
        <v>15000</v>
      </c>
      <c r="F1578" s="1">
        <v>96</v>
      </c>
      <c r="G1578" s="1">
        <v>0</v>
      </c>
      <c r="H1578" s="1" t="str">
        <f>"96/12/20"</f>
        <v>96/12/20</v>
      </c>
      <c r="I1578" s="1" t="str">
        <f>"كيلوگرم"</f>
        <v>كيلوگرم</v>
      </c>
      <c r="J1578" s="1" t="str">
        <f>"1000000003"</f>
        <v>1000000003</v>
      </c>
      <c r="K1578" s="1" t="str">
        <f>"قير MC250"</f>
        <v>قير MC250</v>
      </c>
      <c r="L1578" s="1">
        <v>100</v>
      </c>
      <c r="M1578" s="1" t="str">
        <f>"مخازن قير اصفهان"</f>
        <v>مخازن قير اصفهان</v>
      </c>
      <c r="N1578" s="1">
        <v>8073</v>
      </c>
      <c r="O1578" s="1">
        <v>50038876</v>
      </c>
      <c r="P1578" s="1" t="str">
        <f>"  درم"</f>
        <v xml:space="preserve">  درم</v>
      </c>
      <c r="Q1578" s="1">
        <v>62</v>
      </c>
      <c r="R1578" s="1" t="str">
        <f>"فروش داخلي - سازمان بنيادمسكن انقلاب اسلامي"</f>
        <v>فروش داخلي - سازمان بنيادمسكن انقلاب اسلامي</v>
      </c>
      <c r="S1578" s="1" t="str">
        <f>"قرارداد فروش"</f>
        <v>قرارداد فروش</v>
      </c>
      <c r="T1578" s="1" t="str">
        <f>"ندارد"</f>
        <v>ندارد</v>
      </c>
      <c r="U1578" s="1" t="str">
        <f>"كبيري رحمت اله(1024ج89)"</f>
        <v>كبيري رحمت اله(1024ج89)</v>
      </c>
      <c r="V1578" s="1">
        <v>966200684</v>
      </c>
      <c r="W1578" s="1">
        <v>966200684</v>
      </c>
      <c r="X1578" s="1" t="str">
        <f>"1396553922"</f>
        <v>1396553922</v>
      </c>
      <c r="Y1578" s="1" t="str">
        <f>"96/12/20"</f>
        <v>96/12/20</v>
      </c>
      <c r="Z1578" s="1" t="str">
        <f>"58145/د"</f>
        <v>58145/د</v>
      </c>
      <c r="AA1578" s="1" t="str">
        <f>"بنيادمسكن انقلاب اسلامي"</f>
        <v>بنيادمسكن انقلاب اسلامي</v>
      </c>
      <c r="AB1578" s="1" t="str">
        <f>"96/12/19"</f>
        <v>96/12/19</v>
      </c>
      <c r="AC1578" s="1" t="str">
        <f>"استان اصفهان"</f>
        <v>استان اصفهان</v>
      </c>
      <c r="AD1578" s="1" t="str">
        <f>"96/12/20"</f>
        <v>96/12/20</v>
      </c>
      <c r="AE1578" s="1" t="str">
        <f>"اختتام"</f>
        <v>اختتام</v>
      </c>
      <c r="AF1578" s="1" t="str">
        <f>""</f>
        <v/>
      </c>
      <c r="AG1578" s="1" t="str">
        <f>""</f>
        <v/>
      </c>
      <c r="AH1578" s="1" t="str">
        <f>""</f>
        <v/>
      </c>
      <c r="AI1578" s="1" t="str">
        <f>""</f>
        <v/>
      </c>
      <c r="AJ1578" s="1" t="str">
        <f>""</f>
        <v/>
      </c>
      <c r="AK1578" s="1" t="str">
        <f>""</f>
        <v/>
      </c>
    </row>
    <row r="1579" spans="1:37">
      <c r="A1579" s="1">
        <v>31000</v>
      </c>
      <c r="B1579" s="1">
        <v>966200330</v>
      </c>
      <c r="C1579" s="1" t="str">
        <f>"تخليه-دماوند-معدن اسب چران-کارخانه کنوان پارس 1"</f>
        <v>تخليه-دماوند-معدن اسب چران-کارخانه کنوان پارس 1</v>
      </c>
      <c r="D1579" s="1">
        <v>12777</v>
      </c>
      <c r="E1579" s="1">
        <v>30800</v>
      </c>
      <c r="F1579" s="1">
        <v>96</v>
      </c>
      <c r="G1579" s="1">
        <v>200</v>
      </c>
      <c r="H1579" s="1" t="str">
        <f>"96/07/24"</f>
        <v>96/07/24</v>
      </c>
      <c r="I1579" s="1" t="str">
        <f>"كيلوگرم"</f>
        <v>كيلوگرم</v>
      </c>
      <c r="J1579" s="1" t="str">
        <f>"1000000003"</f>
        <v>1000000003</v>
      </c>
      <c r="K1579" s="1" t="str">
        <f>"قير MC250"</f>
        <v>قير MC250</v>
      </c>
      <c r="L1579" s="1">
        <v>100</v>
      </c>
      <c r="M1579" s="1" t="str">
        <f>"مخازن قير اصفهان"</f>
        <v>مخازن قير اصفهان</v>
      </c>
      <c r="N1579" s="1">
        <v>8766</v>
      </c>
      <c r="O1579" s="1">
        <v>50036760</v>
      </c>
      <c r="P1579" s="1" t="str">
        <f>"  آرمه سازسارويه"</f>
        <v xml:space="preserve">  آرمه سازسارويه</v>
      </c>
      <c r="Q1579" s="1">
        <v>62</v>
      </c>
      <c r="R1579" s="1" t="str">
        <f>"فروش داخلي - سازمان بنيادمسكن انقلاب اسلامي"</f>
        <v>فروش داخلي - سازمان بنيادمسكن انقلاب اسلامي</v>
      </c>
      <c r="S1579" s="1" t="str">
        <f>"قرارداد فروش"</f>
        <v>قرارداد فروش</v>
      </c>
      <c r="T1579" s="1" t="str">
        <f>"ندارد"</f>
        <v>ندارد</v>
      </c>
      <c r="U1579" s="1" t="str">
        <f>"خوش نيت مجتبي(1841021)"</f>
        <v>خوش نيت مجتبي(1841021)</v>
      </c>
      <c r="V1579" s="1">
        <v>966200330</v>
      </c>
      <c r="W1579" s="1">
        <v>966200330</v>
      </c>
      <c r="X1579" s="1" t="str">
        <f>"1396518905"</f>
        <v>1396518905</v>
      </c>
      <c r="Y1579" s="1" t="str">
        <f>"96/07/24"</f>
        <v>96/07/24</v>
      </c>
      <c r="Z1579" s="1" t="str">
        <f>"32911/د"</f>
        <v>32911/د</v>
      </c>
      <c r="AA1579" s="1" t="str">
        <f>"بنيادمسكن انقلاب اسلامي"</f>
        <v>بنيادمسكن انقلاب اسلامي</v>
      </c>
      <c r="AB1579" s="1" t="str">
        <f>"96/07/24"</f>
        <v>96/07/24</v>
      </c>
      <c r="AC1579" s="1" t="str">
        <f>"استان تهران"</f>
        <v>استان تهران</v>
      </c>
      <c r="AD1579" s="1" t="str">
        <f>"96/07/24"</f>
        <v>96/07/24</v>
      </c>
      <c r="AE1579" s="1" t="str">
        <f>"اختتام"</f>
        <v>اختتام</v>
      </c>
      <c r="AF1579" s="1" t="str">
        <f>""</f>
        <v/>
      </c>
      <c r="AG1579" s="1" t="str">
        <f>""</f>
        <v/>
      </c>
      <c r="AH1579" s="1" t="str">
        <f>""</f>
        <v/>
      </c>
      <c r="AI1579" s="1" t="str">
        <f>""</f>
        <v/>
      </c>
      <c r="AJ1579" s="1" t="str">
        <f>""</f>
        <v/>
      </c>
      <c r="AK1579" s="1" t="str">
        <f>""</f>
        <v/>
      </c>
    </row>
    <row r="1580" spans="1:37">
      <c r="A1580" s="1">
        <v>6000</v>
      </c>
      <c r="B1580" s="1">
        <v>966200511</v>
      </c>
      <c r="C1580" s="1" t="str">
        <f>"تخليه - سيستان و بلو چستان-سراوان-کيلومتر15 جاده سراوان-کهک-کارگاه شن و ماسه دهواري"</f>
        <v>تخليه - سيستان و بلو چستان-سراوان-کيلومتر15 جاده سراوان-کهک-کارگاه شن و ماسه دهواري</v>
      </c>
      <c r="D1580" s="1">
        <v>12850</v>
      </c>
      <c r="E1580" s="1">
        <v>6000</v>
      </c>
      <c r="F1580" s="1">
        <v>96</v>
      </c>
      <c r="G1580" s="1">
        <v>0</v>
      </c>
      <c r="H1580" s="1" t="str">
        <f>"96/10/19"</f>
        <v>96/10/19</v>
      </c>
      <c r="I1580" s="1" t="str">
        <f>"كيلوگرم"</f>
        <v>كيلوگرم</v>
      </c>
      <c r="J1580" s="1" t="str">
        <f>"0000000076"</f>
        <v>0000000076</v>
      </c>
      <c r="K1580" s="1" t="str">
        <f>"قير 60/70 - فله"</f>
        <v>قير 60/70 - فله</v>
      </c>
      <c r="L1580" s="1">
        <v>100</v>
      </c>
      <c r="M1580" s="1" t="str">
        <f>"مخازن قير اصفهان"</f>
        <v>مخازن قير اصفهان</v>
      </c>
      <c r="N1580" s="1">
        <v>11070</v>
      </c>
      <c r="O1580" s="1">
        <v>50038091</v>
      </c>
      <c r="P1580" s="1" t="str">
        <f>"  شايان نقشه جنوب"</f>
        <v xml:space="preserve">  شايان نقشه جنوب</v>
      </c>
      <c r="Q1580" s="1">
        <v>62</v>
      </c>
      <c r="R1580" s="1" t="str">
        <f>"فروش داخلي - سازمان بنيادمسكن انقلاب اسلامي"</f>
        <v>فروش داخلي - سازمان بنيادمسكن انقلاب اسلامي</v>
      </c>
      <c r="S1580" s="1" t="str">
        <f>"قرارداد فروش"</f>
        <v>قرارداد فروش</v>
      </c>
      <c r="T1580" s="1" t="str">
        <f>"ندارد"</f>
        <v>ندارد</v>
      </c>
      <c r="U1580" s="1" t="str">
        <f>"بهرام زنگنه (1038 ج 93)"</f>
        <v>بهرام زنگنه (1038 ج 93)</v>
      </c>
      <c r="V1580" s="1">
        <v>966200511</v>
      </c>
      <c r="W1580" s="1">
        <v>966200511</v>
      </c>
      <c r="X1580" s="1" t="str">
        <f>"1396538734"</f>
        <v>1396538734</v>
      </c>
      <c r="Y1580" s="1" t="str">
        <f>"96/10/19"</f>
        <v>96/10/19</v>
      </c>
      <c r="Z1580" s="1" t="str">
        <f>"45263/د"</f>
        <v>45263/د</v>
      </c>
      <c r="AA1580" s="1" t="str">
        <f>"بنيادمسكن انقلاب اسلامي"</f>
        <v>بنيادمسكن انقلاب اسلامي</v>
      </c>
      <c r="AB1580" s="1" t="str">
        <f>"96/10/12"</f>
        <v>96/10/12</v>
      </c>
      <c r="AC1580" s="1" t="str">
        <f>"استان سيستان بلوچستان"</f>
        <v>استان سيستان بلوچستان</v>
      </c>
      <c r="AD1580" s="1" t="str">
        <f>"96/10/19"</f>
        <v>96/10/19</v>
      </c>
      <c r="AE1580" s="1" t="str">
        <f>"اختتام"</f>
        <v>اختتام</v>
      </c>
      <c r="AF1580" s="1" t="str">
        <f>""</f>
        <v/>
      </c>
      <c r="AG1580" s="1" t="str">
        <f>""</f>
        <v/>
      </c>
      <c r="AH1580" s="1" t="str">
        <f>""</f>
        <v/>
      </c>
      <c r="AI1580" s="1" t="str">
        <f>""</f>
        <v/>
      </c>
      <c r="AJ1580" s="1" t="str">
        <f>""</f>
        <v/>
      </c>
      <c r="AK1580" s="1" t="str">
        <f>""</f>
        <v/>
      </c>
    </row>
    <row r="1581" spans="1:37">
      <c r="A1581" s="1">
        <v>530000</v>
      </c>
      <c r="B1581" s="1">
        <v>966200055</v>
      </c>
      <c r="C1581" s="1" t="str">
        <f>"تخليه -لرستان كوهدشت سه راهي زانوگه كارخانه آسفالت رضاسعادتي"</f>
        <v>تخليه -لرستان كوهدشت سه راهي زانوگه كارخانه آسفالت رضاسعادتي</v>
      </c>
      <c r="D1581" s="1">
        <v>8918</v>
      </c>
      <c r="E1581" s="1">
        <v>529420</v>
      </c>
      <c r="F1581" s="1">
        <v>96</v>
      </c>
      <c r="G1581" s="1">
        <v>580</v>
      </c>
      <c r="H1581" s="1" t="str">
        <f>"96/02/13"</f>
        <v>96/02/13</v>
      </c>
      <c r="I1581" s="1" t="str">
        <f>"كيلوگرم"</f>
        <v>كيلوگرم</v>
      </c>
      <c r="J1581" s="1" t="str">
        <f>"0000000076"</f>
        <v>0000000076</v>
      </c>
      <c r="K1581" s="1" t="str">
        <f>"قير 60/70 - فله"</f>
        <v>قير 60/70 - فله</v>
      </c>
      <c r="L1581" s="1">
        <v>100</v>
      </c>
      <c r="M1581" s="1" t="str">
        <f>"مخازن قير اصفهان"</f>
        <v>مخازن قير اصفهان</v>
      </c>
      <c r="N1581" s="1">
        <v>11081</v>
      </c>
      <c r="O1581" s="1">
        <v>50034749</v>
      </c>
      <c r="P1581" s="1" t="str">
        <f>"  استحكام بتون خرمي"</f>
        <v xml:space="preserve">  استحكام بتون خرمي</v>
      </c>
      <c r="Q1581" s="1">
        <v>62</v>
      </c>
      <c r="R1581" s="1" t="str">
        <f>"فروش داخلي - سازمان بنيادمسكن انقلاب اسلامي"</f>
        <v>فروش داخلي - سازمان بنيادمسكن انقلاب اسلامي</v>
      </c>
      <c r="S1581" s="1" t="str">
        <f>"قرارداد فروش"</f>
        <v>قرارداد فروش</v>
      </c>
      <c r="T1581" s="1" t="str">
        <f>"ندارد"</f>
        <v>ندارد</v>
      </c>
      <c r="U1581" s="1" t="str">
        <f>"عظيمي محمد(2842015)"</f>
        <v>عظيمي محمد(2842015)</v>
      </c>
      <c r="V1581" s="1">
        <v>966200055</v>
      </c>
      <c r="W1581" s="1">
        <v>966200055</v>
      </c>
      <c r="X1581" s="1" t="str">
        <f>"1396477992"</f>
        <v>1396477992</v>
      </c>
      <c r="Y1581" s="1" t="str">
        <f>"96/02/13"</f>
        <v>96/02/13</v>
      </c>
      <c r="Z1581" s="1" t="str">
        <f>"4651/د"</f>
        <v>4651/د</v>
      </c>
      <c r="AA1581" s="1" t="str">
        <f>"بنيادمسكن انقلاب اسلامي"</f>
        <v>بنيادمسكن انقلاب اسلامي</v>
      </c>
      <c r="AB1581" s="1" t="str">
        <f>"96/02/11"</f>
        <v>96/02/11</v>
      </c>
      <c r="AC1581" s="1" t="str">
        <f>"لرستان"</f>
        <v>لرستان</v>
      </c>
      <c r="AD1581" s="1" t="str">
        <f>"96/02/12"</f>
        <v>96/02/12</v>
      </c>
      <c r="AE1581" s="1" t="str">
        <f>"اختتام"</f>
        <v>اختتام</v>
      </c>
      <c r="AF1581" s="1" t="str">
        <f>""</f>
        <v/>
      </c>
      <c r="AG1581" s="1" t="str">
        <f>""</f>
        <v/>
      </c>
      <c r="AH1581" s="1" t="str">
        <f>""</f>
        <v/>
      </c>
      <c r="AI1581" s="1" t="str">
        <f>""</f>
        <v/>
      </c>
      <c r="AJ1581" s="1" t="str">
        <f>""</f>
        <v/>
      </c>
      <c r="AK1581" s="1" t="str">
        <f>""</f>
        <v/>
      </c>
    </row>
    <row r="1582" spans="1:37">
      <c r="A1582" s="1">
        <v>15000</v>
      </c>
      <c r="B1582" s="1">
        <v>966200199</v>
      </c>
      <c r="C1582" s="1" t="str">
        <f>"تخليه-ايلام-جاده ايلام-بدره-کارخانه آسفالت شرکت ايلام راهبان"</f>
        <v>تخليه-ايلام-جاده ايلام-بدره-کارخانه آسفالت شرکت ايلام راهبان</v>
      </c>
      <c r="D1582" s="1">
        <v>12222</v>
      </c>
      <c r="E1582" s="1">
        <v>13740</v>
      </c>
      <c r="F1582" s="1">
        <v>96</v>
      </c>
      <c r="G1582" s="1">
        <v>1260</v>
      </c>
      <c r="H1582" s="1" t="str">
        <f>"96/05/25"</f>
        <v>96/05/25</v>
      </c>
      <c r="I1582" s="1" t="str">
        <f>"كيلوگرم"</f>
        <v>كيلوگرم</v>
      </c>
      <c r="J1582" s="1" t="str">
        <f>"1000000003"</f>
        <v>1000000003</v>
      </c>
      <c r="K1582" s="1" t="str">
        <f>"قير MC250"</f>
        <v>قير MC250</v>
      </c>
      <c r="L1582" s="1">
        <v>100</v>
      </c>
      <c r="M1582" s="1" t="str">
        <f>"مخازن قير اصفهان"</f>
        <v>مخازن قير اصفهان</v>
      </c>
      <c r="N1582" s="1">
        <v>9296</v>
      </c>
      <c r="O1582" s="1">
        <v>50035689</v>
      </c>
      <c r="P1582" s="1" t="str">
        <f>"  ايلام راه بان"</f>
        <v xml:space="preserve">  ايلام راه بان</v>
      </c>
      <c r="Q1582" s="1">
        <v>62</v>
      </c>
      <c r="R1582" s="1" t="str">
        <f>"فروش داخلي - سازمان بنيادمسكن انقلاب اسلامي"</f>
        <v>فروش داخلي - سازمان بنيادمسكن انقلاب اسلامي</v>
      </c>
      <c r="S1582" s="1" t="str">
        <f>"قرارداد فروش"</f>
        <v>قرارداد فروش</v>
      </c>
      <c r="T1582" s="1" t="str">
        <f>"ندارد"</f>
        <v>ندارد</v>
      </c>
      <c r="U1582" s="1" t="str">
        <f>"عظيمي محمد(2842015)"</f>
        <v>عظيمي محمد(2842015)</v>
      </c>
      <c r="V1582" s="1">
        <v>966200199</v>
      </c>
      <c r="W1582" s="1">
        <v>966200199</v>
      </c>
      <c r="X1582" s="1" t="str">
        <f>"1396506152"</f>
        <v>1396506152</v>
      </c>
      <c r="Y1582" s="1" t="str">
        <f>"96/05/25"</f>
        <v>96/05/25</v>
      </c>
      <c r="Z1582" s="1" t="str">
        <f>"22064/د"</f>
        <v>22064/د</v>
      </c>
      <c r="AA1582" s="1" t="str">
        <f>"بنيادمسكن انقلاب اسلامي"</f>
        <v>بنيادمسكن انقلاب اسلامي</v>
      </c>
      <c r="AB1582" s="1" t="str">
        <f>"96/05/24"</f>
        <v>96/05/24</v>
      </c>
      <c r="AC1582" s="1" t="str">
        <f>"استان ايلام"</f>
        <v>استان ايلام</v>
      </c>
      <c r="AD1582" s="1" t="str">
        <f>"96/05/25"</f>
        <v>96/05/25</v>
      </c>
      <c r="AE1582" s="1" t="str">
        <f>"اختتام"</f>
        <v>اختتام</v>
      </c>
      <c r="AF1582" s="1" t="str">
        <f>""</f>
        <v/>
      </c>
      <c r="AG1582" s="1" t="str">
        <f>""</f>
        <v/>
      </c>
      <c r="AH1582" s="1" t="str">
        <f>""</f>
        <v/>
      </c>
      <c r="AI1582" s="1" t="str">
        <f>""</f>
        <v/>
      </c>
      <c r="AJ1582" s="1" t="str">
        <f>""</f>
        <v/>
      </c>
      <c r="AK1582" s="1" t="str">
        <f>""</f>
        <v/>
      </c>
    </row>
    <row r="1583" spans="1:37">
      <c r="A1583" s="1">
        <v>77000</v>
      </c>
      <c r="B1583" s="1">
        <v>966300011</v>
      </c>
      <c r="C1583" s="1" t="str">
        <f>"تخليه اصفهان اشترجان شهرك صنعتي اشترجان شركت افروزشهركردكارخانه آسفالت راه آژند"</f>
        <v>تخليه اصفهان اشترجان شهرك صنعتي اشترجان شركت افروزشهركردكارخانه آسفالت راه آژند</v>
      </c>
      <c r="D1583" s="1">
        <v>9416</v>
      </c>
      <c r="E1583" s="1">
        <v>76700</v>
      </c>
      <c r="F1583" s="1">
        <v>96</v>
      </c>
      <c r="G1583" s="1">
        <v>300</v>
      </c>
      <c r="H1583" s="1" t="str">
        <f>"96/08/13"</f>
        <v>96/08/13</v>
      </c>
      <c r="I1583" s="1" t="str">
        <f>"كيلوگرم"</f>
        <v>كيلوگرم</v>
      </c>
      <c r="J1583" s="1" t="str">
        <f>"0000000076"</f>
        <v>0000000076</v>
      </c>
      <c r="K1583" s="1" t="str">
        <f>"قير 60/70 - فله"</f>
        <v>قير 60/70 - فله</v>
      </c>
      <c r="L1583" s="1">
        <v>100</v>
      </c>
      <c r="M1583" s="1" t="str">
        <f>"مخازن قير اصفهان"</f>
        <v>مخازن قير اصفهان</v>
      </c>
      <c r="N1583" s="1">
        <v>11098</v>
      </c>
      <c r="O1583" s="1">
        <v>50037028</v>
      </c>
      <c r="P1583" s="1" t="str">
        <f>"  اداره كل نوسازي توسعه وتجهيزمدارس استان اصفهان"</f>
        <v xml:space="preserve">  اداره كل نوسازي توسعه وتجهيزمدارس استان اصفهان</v>
      </c>
      <c r="Q1583" s="1">
        <v>63</v>
      </c>
      <c r="R1583" s="1" t="str">
        <f>"سازمان نوسازي،توسعه و تجهيز مدارس كشور"</f>
        <v>سازمان نوسازي،توسعه و تجهيز مدارس كشور</v>
      </c>
      <c r="S1583" s="1" t="str">
        <f>"قرارداد فروش"</f>
        <v>قرارداد فروش</v>
      </c>
      <c r="T1583" s="1" t="str">
        <f>"ندارد"</f>
        <v>ندارد</v>
      </c>
      <c r="U1583" s="1" t="str">
        <f>"سيفي پور عبدالمجيد(1009ج89)"</f>
        <v>سيفي پور عبدالمجيد(1009ج89)</v>
      </c>
      <c r="V1583" s="1">
        <v>966300011</v>
      </c>
      <c r="W1583" s="1">
        <v>966300011</v>
      </c>
      <c r="X1583" s="1" t="str">
        <f>"1396523520"</f>
        <v>1396523520</v>
      </c>
      <c r="Y1583" s="1" t="str">
        <f>"96/08/13"</f>
        <v>96/08/13</v>
      </c>
      <c r="Z1583" s="1" t="str">
        <f>"3-96/422-21100"</f>
        <v>3-96/422-21100</v>
      </c>
      <c r="AA1583" s="1" t="str">
        <f>"سازمان نوسازي توسعه وتجهيزمدارس كشور"</f>
        <v>سازمان نوسازي توسعه وتجهيزمدارس كشور</v>
      </c>
      <c r="AB1583" s="1" t="str">
        <f>"96/08/09"</f>
        <v>96/08/09</v>
      </c>
      <c r="AC1583" s="1" t="str">
        <f>"استان اصفهان"</f>
        <v>استان اصفهان</v>
      </c>
      <c r="AD1583" s="1" t="str">
        <f>"96/08/13"</f>
        <v>96/08/13</v>
      </c>
      <c r="AE1583" s="1" t="str">
        <f>"اختتام"</f>
        <v>اختتام</v>
      </c>
      <c r="AF1583" s="1" t="str">
        <f>""</f>
        <v/>
      </c>
      <c r="AG1583" s="1" t="str">
        <f>""</f>
        <v/>
      </c>
      <c r="AH1583" s="1" t="str">
        <f>""</f>
        <v/>
      </c>
      <c r="AI1583" s="1" t="str">
        <f>""</f>
        <v/>
      </c>
      <c r="AJ1583" s="1" t="str">
        <f>""</f>
        <v/>
      </c>
      <c r="AK1583" s="1" t="str">
        <f>""</f>
        <v/>
      </c>
    </row>
    <row r="1584" spans="1:37">
      <c r="A1584" s="1">
        <v>97000</v>
      </c>
      <c r="B1584" s="1">
        <v>966300012</v>
      </c>
      <c r="C1584" s="1" t="str">
        <f>"تخليه اصفهان اشارجان شهرك صنعتي اشترجان شركت آرادراه آژندكارخانه آسفالت راه آژند"</f>
        <v>تخليه اصفهان اشارجان شهرك صنعتي اشترجان شركت آرادراه آژندكارخانه آسفالت راه آژند</v>
      </c>
      <c r="D1584" s="1">
        <v>9416</v>
      </c>
      <c r="E1584" s="1">
        <v>95220</v>
      </c>
      <c r="F1584" s="1">
        <v>96</v>
      </c>
      <c r="G1584" s="1">
        <v>1780</v>
      </c>
      <c r="H1584" s="1" t="str">
        <f>"96/08/13"</f>
        <v>96/08/13</v>
      </c>
      <c r="I1584" s="1" t="str">
        <f>"كيلوگرم"</f>
        <v>كيلوگرم</v>
      </c>
      <c r="J1584" s="1" t="str">
        <f>"0000000076"</f>
        <v>0000000076</v>
      </c>
      <c r="K1584" s="1" t="str">
        <f>"قير 60/70 - فله"</f>
        <v>قير 60/70 - فله</v>
      </c>
      <c r="L1584" s="1">
        <v>100</v>
      </c>
      <c r="M1584" s="1" t="str">
        <f>"مخازن قير اصفهان"</f>
        <v>مخازن قير اصفهان</v>
      </c>
      <c r="N1584" s="1">
        <v>11098</v>
      </c>
      <c r="O1584" s="1">
        <v>50037030</v>
      </c>
      <c r="P1584" s="1" t="str">
        <f>"  اداره كل نوسازي توسعه وتجهيزمدارس استان اصفهان"</f>
        <v xml:space="preserve">  اداره كل نوسازي توسعه وتجهيزمدارس استان اصفهان</v>
      </c>
      <c r="Q1584" s="1">
        <v>63</v>
      </c>
      <c r="R1584" s="1" t="str">
        <f>"سازمان نوسازي،توسعه و تجهيز مدارس كشور"</f>
        <v>سازمان نوسازي،توسعه و تجهيز مدارس كشور</v>
      </c>
      <c r="S1584" s="1" t="str">
        <f>"قرارداد فروش"</f>
        <v>قرارداد فروش</v>
      </c>
      <c r="T1584" s="1" t="str">
        <f>"ندارد"</f>
        <v>ندارد</v>
      </c>
      <c r="U1584" s="1" t="str">
        <f>"سيفي پور عبدالمجيد(1009ج89)"</f>
        <v>سيفي پور عبدالمجيد(1009ج89)</v>
      </c>
      <c r="V1584" s="1">
        <v>966300012</v>
      </c>
      <c r="W1584" s="1">
        <v>966300012</v>
      </c>
      <c r="X1584" s="1" t="str">
        <f>"1396523520"</f>
        <v>1396523520</v>
      </c>
      <c r="Y1584" s="1" t="str">
        <f>"96/08/13"</f>
        <v>96/08/13</v>
      </c>
      <c r="Z1584" s="1" t="str">
        <f>"3-96/422-21101"</f>
        <v>3-96/422-21101</v>
      </c>
      <c r="AA1584" s="1" t="str">
        <f>"سازمان نوسازي توسعه وتجهيزمدارس كشور"</f>
        <v>سازمان نوسازي توسعه وتجهيزمدارس كشور</v>
      </c>
      <c r="AB1584" s="1" t="str">
        <f>"96/08/09"</f>
        <v>96/08/09</v>
      </c>
      <c r="AC1584" s="1" t="str">
        <f>"استان اصفهان"</f>
        <v>استان اصفهان</v>
      </c>
      <c r="AD1584" s="1" t="str">
        <f>"96/08/13"</f>
        <v>96/08/13</v>
      </c>
      <c r="AE1584" s="1" t="str">
        <f>"اختتام"</f>
        <v>اختتام</v>
      </c>
      <c r="AF1584" s="1" t="str">
        <f>""</f>
        <v/>
      </c>
      <c r="AG1584" s="1" t="str">
        <f>""</f>
        <v/>
      </c>
      <c r="AH1584" s="1" t="str">
        <f>""</f>
        <v/>
      </c>
      <c r="AI1584" s="1" t="str">
        <f>""</f>
        <v/>
      </c>
      <c r="AJ1584" s="1" t="str">
        <f>""</f>
        <v/>
      </c>
      <c r="AK1584" s="1" t="str">
        <f>""</f>
        <v/>
      </c>
    </row>
    <row r="1585" spans="1:37">
      <c r="A1585" s="1">
        <v>56000</v>
      </c>
      <c r="B1585" s="1">
        <v>966300055</v>
      </c>
      <c r="C1585" s="1" t="str">
        <f>"تخليه اصفهان منطقه صنعتي اشترجان خيابان 11شركت آرشيت عمران پارس كارخانه آسفالت راه آژند"</f>
        <v>تخليه اصفهان منطقه صنعتي اشترجان خيابان 11شركت آرشيت عمران پارس كارخانه آسفالت راه آژند</v>
      </c>
      <c r="D1585" s="1">
        <v>12850</v>
      </c>
      <c r="E1585" s="1">
        <v>56000</v>
      </c>
      <c r="F1585" s="1">
        <v>96</v>
      </c>
      <c r="G1585" s="1">
        <v>0</v>
      </c>
      <c r="H1585" s="1" t="str">
        <f>"96/10/27"</f>
        <v>96/10/27</v>
      </c>
      <c r="I1585" s="1" t="str">
        <f>"كيلوگرم"</f>
        <v>كيلوگرم</v>
      </c>
      <c r="J1585" s="1" t="str">
        <f>"0000000076"</f>
        <v>0000000076</v>
      </c>
      <c r="K1585" s="1" t="str">
        <f>"قير 60/70 - فله"</f>
        <v>قير 60/70 - فله</v>
      </c>
      <c r="L1585" s="1">
        <v>100</v>
      </c>
      <c r="M1585" s="1" t="str">
        <f>"مخازن قير اصفهان"</f>
        <v>مخازن قير اصفهان</v>
      </c>
      <c r="N1585" s="1">
        <v>11098</v>
      </c>
      <c r="O1585" s="1">
        <v>50038217</v>
      </c>
      <c r="P1585" s="1" t="str">
        <f>"  اداره كل نوسازي توسعه وتجهيزمدارس استان اصفهان"</f>
        <v xml:space="preserve">  اداره كل نوسازي توسعه وتجهيزمدارس استان اصفهان</v>
      </c>
      <c r="Q1585" s="1">
        <v>63</v>
      </c>
      <c r="R1585" s="1" t="str">
        <f>"سازمان نوسازي،توسعه و تجهيز مدارس كشور"</f>
        <v>سازمان نوسازي،توسعه و تجهيز مدارس كشور</v>
      </c>
      <c r="S1585" s="1" t="str">
        <f>"قرارداد فروش"</f>
        <v>قرارداد فروش</v>
      </c>
      <c r="T1585" s="1" t="str">
        <f>"ندارد"</f>
        <v>ندارد</v>
      </c>
      <c r="U1585" s="1" t="str">
        <f>"سيفي پور عبدالمجيد(1009ج89)"</f>
        <v>سيفي پور عبدالمجيد(1009ج89)</v>
      </c>
      <c r="V1585" s="1">
        <v>966300055</v>
      </c>
      <c r="W1585" s="1">
        <v>966300055</v>
      </c>
      <c r="X1585" s="1" t="str">
        <f>"1396541467"</f>
        <v>1396541467</v>
      </c>
      <c r="Y1585" s="1" t="str">
        <f>"96/10/27"</f>
        <v>96/10/27</v>
      </c>
      <c r="Z1585" s="1" t="str">
        <f>"3-96/910-28377"</f>
        <v>3-96/910-28377</v>
      </c>
      <c r="AA1585" s="1" t="str">
        <f>"سازمان نوسازي توسعه وتجهيزمدارس كشور"</f>
        <v>سازمان نوسازي توسعه وتجهيزمدارس كشور</v>
      </c>
      <c r="AB1585" s="1" t="str">
        <f>"96/10/24"</f>
        <v>96/10/24</v>
      </c>
      <c r="AC1585" s="1" t="str">
        <f>"استان اصفهان"</f>
        <v>استان اصفهان</v>
      </c>
      <c r="AD1585" s="1" t="str">
        <f>"96/10/27"</f>
        <v>96/10/27</v>
      </c>
      <c r="AE1585" s="1" t="str">
        <f>"اختتام"</f>
        <v>اختتام</v>
      </c>
      <c r="AF1585" s="1" t="str">
        <f>""</f>
        <v/>
      </c>
      <c r="AG1585" s="1" t="str">
        <f>""</f>
        <v/>
      </c>
      <c r="AH1585" s="1" t="str">
        <f>""</f>
        <v/>
      </c>
      <c r="AI1585" s="1" t="str">
        <f>""</f>
        <v/>
      </c>
      <c r="AJ1585" s="1" t="str">
        <f>""</f>
        <v/>
      </c>
      <c r="AK1585" s="1" t="str">
        <f>""</f>
        <v/>
      </c>
    </row>
    <row r="1586" spans="1:37">
      <c r="A1586" s="1">
        <v>69000</v>
      </c>
      <c r="B1586" s="1">
        <v>966300059</v>
      </c>
      <c r="C1586" s="1" t="str">
        <f>"تخليه اصفهان اشارجان شهرك صنعتي اشترجان شركت آرادراه آژندكارخانه آسفالت راه آژند"</f>
        <v>تخليه اصفهان اشارجان شهرك صنعتي اشترجان شركت آرادراه آژندكارخانه آسفالت راه آژند</v>
      </c>
      <c r="D1586" s="1">
        <v>13200</v>
      </c>
      <c r="E1586" s="1">
        <v>69000</v>
      </c>
      <c r="F1586" s="1">
        <v>96</v>
      </c>
      <c r="G1586" s="1">
        <v>0</v>
      </c>
      <c r="H1586" s="1" t="str">
        <f>"96/11/11"</f>
        <v>96/11/11</v>
      </c>
      <c r="I1586" s="1" t="str">
        <f>"كيلوگرم"</f>
        <v>كيلوگرم</v>
      </c>
      <c r="J1586" s="1" t="str">
        <f>"0000000076"</f>
        <v>0000000076</v>
      </c>
      <c r="K1586" s="1" t="str">
        <f>"قير 60/70 - فله"</f>
        <v>قير 60/70 - فله</v>
      </c>
      <c r="L1586" s="1">
        <v>100</v>
      </c>
      <c r="M1586" s="1" t="str">
        <f>"مخازن قير اصفهان"</f>
        <v>مخازن قير اصفهان</v>
      </c>
      <c r="N1586" s="1">
        <v>11098</v>
      </c>
      <c r="O1586" s="1">
        <v>50038336</v>
      </c>
      <c r="P1586" s="1" t="str">
        <f>"  اداره كل نوسازي توسعه وتجهيزمدارس استان اصفهان"</f>
        <v xml:space="preserve">  اداره كل نوسازي توسعه وتجهيزمدارس استان اصفهان</v>
      </c>
      <c r="Q1586" s="1">
        <v>63</v>
      </c>
      <c r="R1586" s="1" t="str">
        <f>"سازمان نوسازي،توسعه و تجهيز مدارس كشور"</f>
        <v>سازمان نوسازي،توسعه و تجهيز مدارس كشور</v>
      </c>
      <c r="S1586" s="1" t="str">
        <f>"قرارداد فروش"</f>
        <v>قرارداد فروش</v>
      </c>
      <c r="T1586" s="1" t="str">
        <f>"ندارد"</f>
        <v>ندارد</v>
      </c>
      <c r="U1586" s="1" t="str">
        <f>"سيفي پور عبدالمجيد(1009ج89)"</f>
        <v>سيفي پور عبدالمجيد(1009ج89)</v>
      </c>
      <c r="V1586" s="1">
        <v>966300059</v>
      </c>
      <c r="W1586" s="1">
        <v>966300059</v>
      </c>
      <c r="X1586" s="1" t="str">
        <f>"1396544895"</f>
        <v>1396544895</v>
      </c>
      <c r="Y1586" s="1" t="str">
        <f>"96/11/11"</f>
        <v>96/11/11</v>
      </c>
      <c r="Z1586" s="1" t="str">
        <f>"3-96/424-30052"</f>
        <v>3-96/424-30052</v>
      </c>
      <c r="AA1586" s="1" t="str">
        <f>"سازمان نوسازي توسعه وتجهيزمدارس كشور"</f>
        <v>سازمان نوسازي توسعه وتجهيزمدارس كشور</v>
      </c>
      <c r="AB1586" s="1" t="str">
        <f>"96/11/09"</f>
        <v>96/11/09</v>
      </c>
      <c r="AC1586" s="1" t="str">
        <f>"استان اصفهان"</f>
        <v>استان اصفهان</v>
      </c>
      <c r="AD1586" s="1" t="str">
        <f>"96/11/11"</f>
        <v>96/11/11</v>
      </c>
      <c r="AE1586" s="1" t="str">
        <f>"اختتام"</f>
        <v>اختتام</v>
      </c>
      <c r="AF1586" s="1" t="str">
        <f>""</f>
        <v/>
      </c>
      <c r="AG1586" s="1" t="str">
        <f>""</f>
        <v/>
      </c>
      <c r="AH1586" s="1" t="str">
        <f>""</f>
        <v/>
      </c>
      <c r="AI1586" s="1" t="str">
        <f>""</f>
        <v/>
      </c>
      <c r="AJ1586" s="1" t="str">
        <f>""</f>
        <v/>
      </c>
      <c r="AK1586" s="1" t="str">
        <f>""</f>
        <v/>
      </c>
    </row>
    <row r="1587" spans="1:37">
      <c r="A1587" s="1">
        <v>109000</v>
      </c>
      <c r="B1587" s="1">
        <v>966300075</v>
      </c>
      <c r="C1587" s="1" t="str">
        <f>"تخليه اصفهان خورو بيابانك جاده جعفرآبادكيلومتر7كارخانه آسفالت رحيمي"</f>
        <v>تخليه اصفهان خورو بيابانك جاده جعفرآبادكيلومتر7كارخانه آسفالت رحيمي</v>
      </c>
      <c r="D1587" s="1">
        <v>13350</v>
      </c>
      <c r="E1587" s="1">
        <v>108120</v>
      </c>
      <c r="F1587" s="1">
        <v>96</v>
      </c>
      <c r="G1587" s="1">
        <v>880</v>
      </c>
      <c r="H1587" s="1" t="str">
        <f>"96/12/20"</f>
        <v>96/12/20</v>
      </c>
      <c r="I1587" s="1" t="str">
        <f>"كيلوگرم"</f>
        <v>كيلوگرم</v>
      </c>
      <c r="J1587" s="1" t="str">
        <f>"0000000076"</f>
        <v>0000000076</v>
      </c>
      <c r="K1587" s="1" t="str">
        <f>"قير 60/70 - فله"</f>
        <v>قير 60/70 - فله</v>
      </c>
      <c r="L1587" s="1">
        <v>100</v>
      </c>
      <c r="M1587" s="1" t="str">
        <f>"مخازن قير اصفهان"</f>
        <v>مخازن قير اصفهان</v>
      </c>
      <c r="N1587" s="1">
        <v>11098</v>
      </c>
      <c r="O1587" s="1">
        <v>50038872</v>
      </c>
      <c r="P1587" s="1" t="str">
        <f>"  اداره كل نوسازي توسعه وتجهيزمدارس استان اصفهان"</f>
        <v xml:space="preserve">  اداره كل نوسازي توسعه وتجهيزمدارس استان اصفهان</v>
      </c>
      <c r="Q1587" s="1">
        <v>63</v>
      </c>
      <c r="R1587" s="1" t="str">
        <f>"سازمان نوسازي،توسعه و تجهيز مدارس كشور"</f>
        <v>سازمان نوسازي،توسعه و تجهيز مدارس كشور</v>
      </c>
      <c r="S1587" s="1" t="str">
        <f>"قرارداد فروش"</f>
        <v>قرارداد فروش</v>
      </c>
      <c r="T1587" s="1" t="str">
        <f>"ندارد"</f>
        <v>ندارد</v>
      </c>
      <c r="U1587" s="1" t="str">
        <f>"عزيزي صفر(1006ج 89)"</f>
        <v>عزيزي صفر(1006ج 89)</v>
      </c>
      <c r="V1587" s="1">
        <v>966300075</v>
      </c>
      <c r="W1587" s="1">
        <v>966300075</v>
      </c>
      <c r="X1587" s="1" t="str">
        <f>"1396553912"</f>
        <v>1396553912</v>
      </c>
      <c r="Y1587" s="1" t="str">
        <f>"96/12/20"</f>
        <v>96/12/20</v>
      </c>
      <c r="Z1587" s="1" t="str">
        <f>"3-96/424-33585"</f>
        <v>3-96/424-33585</v>
      </c>
      <c r="AA1587" s="1" t="str">
        <f>"سازمان نوسازي توسعه وتجهيزمدارس كشور"</f>
        <v>سازمان نوسازي توسعه وتجهيزمدارس كشور</v>
      </c>
      <c r="AB1587" s="1" t="str">
        <f>"96/12/16"</f>
        <v>96/12/16</v>
      </c>
      <c r="AC1587" s="1" t="str">
        <f>"استان اصفهان"</f>
        <v>استان اصفهان</v>
      </c>
      <c r="AD1587" s="1" t="str">
        <f>"96/12/20"</f>
        <v>96/12/20</v>
      </c>
      <c r="AE1587" s="1" t="str">
        <f>"اختتام"</f>
        <v>اختتام</v>
      </c>
      <c r="AF1587" s="1" t="str">
        <f>""</f>
        <v/>
      </c>
      <c r="AG1587" s="1" t="str">
        <f>""</f>
        <v/>
      </c>
      <c r="AH1587" s="1" t="str">
        <f>""</f>
        <v/>
      </c>
      <c r="AI1587" s="1" t="str">
        <f>""</f>
        <v/>
      </c>
      <c r="AJ1587" s="1" t="str">
        <f>""</f>
        <v/>
      </c>
      <c r="AK1587" s="1" t="str">
        <f>""</f>
        <v/>
      </c>
    </row>
    <row r="1588" spans="1:37">
      <c r="A1588" s="1">
        <v>45000</v>
      </c>
      <c r="B1588" s="1">
        <v>966300077</v>
      </c>
      <c r="C1588" s="1" t="str">
        <f>"تخليه اصفهان اشترجان شهرك صنعتي اشترجان شركت افروزشهركردكارخانه آسفالت راه آژند"</f>
        <v>تخليه اصفهان اشترجان شهرك صنعتي اشترجان شركت افروزشهركردكارخانه آسفالت راه آژند</v>
      </c>
      <c r="D1588" s="1">
        <v>13350</v>
      </c>
      <c r="E1588" s="1">
        <v>45000</v>
      </c>
      <c r="F1588" s="1">
        <v>96</v>
      </c>
      <c r="G1588" s="1">
        <v>0</v>
      </c>
      <c r="H1588" s="1" t="str">
        <f>"96/12/20"</f>
        <v>96/12/20</v>
      </c>
      <c r="I1588" s="1" t="str">
        <f>"كيلوگرم"</f>
        <v>كيلوگرم</v>
      </c>
      <c r="J1588" s="1" t="str">
        <f>"0000000076"</f>
        <v>0000000076</v>
      </c>
      <c r="K1588" s="1" t="str">
        <f>"قير 60/70 - فله"</f>
        <v>قير 60/70 - فله</v>
      </c>
      <c r="L1588" s="1">
        <v>100</v>
      </c>
      <c r="M1588" s="1" t="str">
        <f>"مخازن قير اصفهان"</f>
        <v>مخازن قير اصفهان</v>
      </c>
      <c r="N1588" s="1">
        <v>11098</v>
      </c>
      <c r="O1588" s="1">
        <v>50038874</v>
      </c>
      <c r="P1588" s="1" t="str">
        <f>"  اداره كل نوسازي توسعه وتجهيزمدارس استان اصفهان"</f>
        <v xml:space="preserve">  اداره كل نوسازي توسعه وتجهيزمدارس استان اصفهان</v>
      </c>
      <c r="Q1588" s="1">
        <v>63</v>
      </c>
      <c r="R1588" s="1" t="str">
        <f>"سازمان نوسازي،توسعه و تجهيز مدارس كشور"</f>
        <v>سازمان نوسازي،توسعه و تجهيز مدارس كشور</v>
      </c>
      <c r="S1588" s="1" t="str">
        <f>"قرارداد فروش"</f>
        <v>قرارداد فروش</v>
      </c>
      <c r="T1588" s="1" t="str">
        <f>"ندارد"</f>
        <v>ندارد</v>
      </c>
      <c r="U1588" s="1" t="str">
        <f>"سيفي پور عبدالمجيد(1009ج89)"</f>
        <v>سيفي پور عبدالمجيد(1009ج89)</v>
      </c>
      <c r="V1588" s="1">
        <v>966300077</v>
      </c>
      <c r="W1588" s="1">
        <v>966300077</v>
      </c>
      <c r="X1588" s="1" t="str">
        <f>"1396553912"</f>
        <v>1396553912</v>
      </c>
      <c r="Y1588" s="1" t="str">
        <f>"96/12/20"</f>
        <v>96/12/20</v>
      </c>
      <c r="Z1588" s="1" t="str">
        <f>"3-96/422-33410"</f>
        <v>3-96/422-33410</v>
      </c>
      <c r="AA1588" s="1" t="str">
        <f>"سازمان نوسازي توسعه وتجهيزمدارس كشور"</f>
        <v>سازمان نوسازي توسعه وتجهيزمدارس كشور</v>
      </c>
      <c r="AB1588" s="1" t="str">
        <f>"96/12/14"</f>
        <v>96/12/14</v>
      </c>
      <c r="AC1588" s="1" t="str">
        <f>"استان اصفهان"</f>
        <v>استان اصفهان</v>
      </c>
      <c r="AD1588" s="1" t="str">
        <f>"96/12/20"</f>
        <v>96/12/20</v>
      </c>
      <c r="AE1588" s="1" t="str">
        <f>"اختتام"</f>
        <v>اختتام</v>
      </c>
      <c r="AF1588" s="1" t="str">
        <f>""</f>
        <v/>
      </c>
      <c r="AG1588" s="1" t="str">
        <f>""</f>
        <v/>
      </c>
      <c r="AH1588" s="1" t="str">
        <f>""</f>
        <v/>
      </c>
      <c r="AI1588" s="1" t="str">
        <f>""</f>
        <v/>
      </c>
      <c r="AJ1588" s="1" t="str">
        <f>""</f>
        <v/>
      </c>
      <c r="AK1588" s="1" t="str">
        <f>""</f>
        <v/>
      </c>
    </row>
    <row r="1589" spans="1:37">
      <c r="A1589" s="1">
        <v>2000</v>
      </c>
      <c r="B1589" s="1">
        <v>961100136</v>
      </c>
      <c r="C1589" s="1" t="str">
        <f>"تخليه اصفهان خيابان زينبيه خ حبيب آبادخ شالباف شركت اوج بنا پايداركارخانه آسفالت مهدي"</f>
        <v>تخليه اصفهان خيابان زينبيه خ حبيب آبادخ شالباف شركت اوج بنا پايداركارخانه آسفالت مهدي</v>
      </c>
      <c r="D1589" s="1">
        <v>13350</v>
      </c>
      <c r="E1589" s="1">
        <v>2000</v>
      </c>
      <c r="F1589" s="1">
        <v>96</v>
      </c>
      <c r="G1589" s="1">
        <v>0</v>
      </c>
      <c r="H1589" s="1" t="str">
        <f>"96/12/23"</f>
        <v>96/12/23</v>
      </c>
      <c r="I1589" s="1" t="str">
        <f>"كيلوگرم"</f>
        <v>كيلوگرم</v>
      </c>
      <c r="J1589" s="1" t="str">
        <f>"0000000076"</f>
        <v>0000000076</v>
      </c>
      <c r="K1589" s="1" t="str">
        <f>"قير 60/70 - فله"</f>
        <v>قير 60/70 - فله</v>
      </c>
      <c r="L1589" s="1">
        <v>100</v>
      </c>
      <c r="M1589" s="1" t="str">
        <f>"مخازن قير اصفهان"</f>
        <v>مخازن قير اصفهان</v>
      </c>
      <c r="N1589" s="1">
        <v>11098</v>
      </c>
      <c r="O1589" s="1">
        <v>50038952</v>
      </c>
      <c r="P1589" s="1" t="str">
        <f>"  اداره كل نوسازي توسعه وتجهيزمدارس استان اصفهان"</f>
        <v xml:space="preserve">  اداره كل نوسازي توسعه وتجهيزمدارس استان اصفهان</v>
      </c>
      <c r="Q1589" s="1">
        <v>11</v>
      </c>
      <c r="R1589" s="1" t="str">
        <f>"فروش داخلي تهران - بورس"</f>
        <v>فروش داخلي تهران - بورس</v>
      </c>
      <c r="S1589" s="1" t="str">
        <f>"قرارداد فروش"</f>
        <v>قرارداد فروش</v>
      </c>
      <c r="T1589" s="1" t="str">
        <f>"ندارد"</f>
        <v>ندارد</v>
      </c>
      <c r="U1589" s="1" t="str">
        <f>"مرادي نجاتعلي(1020ج89)"</f>
        <v>مرادي نجاتعلي(1020ج89)</v>
      </c>
      <c r="V1589" s="1">
        <v>961100136</v>
      </c>
      <c r="W1589" s="1">
        <v>961100136</v>
      </c>
      <c r="X1589" s="1" t="str">
        <f>"1396555236"</f>
        <v>1396555236</v>
      </c>
      <c r="Y1589" s="1" t="str">
        <f>"96/12/23"</f>
        <v>96/12/23</v>
      </c>
      <c r="Z1589" s="1" t="str">
        <f>"3-96/910-34179"</f>
        <v>3-96/910-34179</v>
      </c>
      <c r="AA1589" s="1" t="str">
        <f>"سازمان نوسازي توسعه وتجهيزمدارس كشور"</f>
        <v>سازمان نوسازي توسعه وتجهيزمدارس كشور</v>
      </c>
      <c r="AB1589" s="1" t="str">
        <f>"96/12/22"</f>
        <v>96/12/22</v>
      </c>
      <c r="AC1589" s="1" t="str">
        <f>"استان اصفهان"</f>
        <v>استان اصفهان</v>
      </c>
      <c r="AD1589" s="1" t="str">
        <f>"96/12/23"</f>
        <v>96/12/23</v>
      </c>
      <c r="AE1589" s="1" t="str">
        <f>"اختتام"</f>
        <v>اختتام</v>
      </c>
      <c r="AF1589" s="1" t="str">
        <f>""</f>
        <v/>
      </c>
      <c r="AG1589" s="1" t="str">
        <f>""</f>
        <v/>
      </c>
      <c r="AH1589" s="1" t="str">
        <f>""</f>
        <v/>
      </c>
      <c r="AI1589" s="1" t="str">
        <f>""</f>
        <v/>
      </c>
      <c r="AJ1589" s="1" t="str">
        <f>""</f>
        <v/>
      </c>
      <c r="AK1589" s="1" t="str">
        <f>""</f>
        <v/>
      </c>
    </row>
    <row r="1590" spans="1:37">
      <c r="A1590" s="1">
        <v>50080</v>
      </c>
      <c r="B1590" s="1">
        <v>962000360</v>
      </c>
      <c r="C1590" s="1" t="str">
        <f>"تخليه - چهارمحال و بختياري- جاده بروجن-مبارکه-معدن شن و ماسه قاميشلو شرکت تک شن"</f>
        <v>تخليه - چهارمحال و بختياري- جاده بروجن-مبارکه-معدن شن و ماسه قاميشلو شرکت تک شن</v>
      </c>
      <c r="D1590" s="1">
        <v>12820</v>
      </c>
      <c r="E1590" s="1">
        <v>50080</v>
      </c>
      <c r="F1590" s="1">
        <v>96</v>
      </c>
      <c r="G1590" s="1">
        <v>0</v>
      </c>
      <c r="H1590" s="1" t="str">
        <f>"96/09/19"</f>
        <v>96/09/19</v>
      </c>
      <c r="I1590" s="1" t="str">
        <f>"كيلوگرم"</f>
        <v>كيلوگرم</v>
      </c>
      <c r="J1590" s="1" t="str">
        <f>"1000000002"</f>
        <v>1000000002</v>
      </c>
      <c r="K1590" s="1" t="str">
        <f>"قير 85/100 - فله"</f>
        <v>قير 85/100 - فله</v>
      </c>
      <c r="L1590" s="1">
        <v>100</v>
      </c>
      <c r="M1590" s="1" t="str">
        <f>"مخازن قير اصفهان"</f>
        <v>مخازن قير اصفهان</v>
      </c>
      <c r="N1590" s="1">
        <v>7150</v>
      </c>
      <c r="O1590" s="1">
        <v>50037655</v>
      </c>
      <c r="P1590" s="1" t="str">
        <f>"  شهرداري بلداجي"</f>
        <v xml:space="preserve">  شهرداري بلداجي</v>
      </c>
      <c r="Q1590" s="1">
        <v>20</v>
      </c>
      <c r="R1590" s="1" t="str">
        <f>"فروش داخلي - سازمان شهرداري ها و دهياري هاي كشور"</f>
        <v>فروش داخلي - سازمان شهرداري ها و دهياري هاي كشور</v>
      </c>
      <c r="S1590" s="1" t="str">
        <f>"قرارداد فروش"</f>
        <v>قرارداد فروش</v>
      </c>
      <c r="T1590" s="1" t="str">
        <f>"ندارد"</f>
        <v>ندارد</v>
      </c>
      <c r="U1590" s="1" t="str">
        <f>"تعاوني جم گستر (1001 ج 89)"</f>
        <v>تعاوني جم گستر (1001 ج 89)</v>
      </c>
      <c r="V1590" s="1">
        <v>962000360</v>
      </c>
      <c r="W1590" s="1">
        <v>962000360</v>
      </c>
      <c r="X1590" s="1" t="str">
        <f>"1396529715"</f>
        <v>1396529715</v>
      </c>
      <c r="Y1590" s="1" t="str">
        <f>"96/09/18"</f>
        <v>96/09/18</v>
      </c>
      <c r="Z1590" s="1" t="str">
        <f>"38472مرحله دوم"</f>
        <v>38472مرحله دوم</v>
      </c>
      <c r="AA1590" s="1" t="str">
        <f>"شهرداريها"</f>
        <v>شهرداريها</v>
      </c>
      <c r="AB1590" s="1" t="str">
        <f>"96/09/11"</f>
        <v>96/09/11</v>
      </c>
      <c r="AC1590" s="1" t="str">
        <f>"استان چهارمحال بختياري"</f>
        <v>استان چهارمحال بختياري</v>
      </c>
      <c r="AD1590" s="1" t="str">
        <f>"96/09/13"</f>
        <v>96/09/13</v>
      </c>
      <c r="AE1590" s="1" t="str">
        <f>"تاييدشده"</f>
        <v>تاييدشده</v>
      </c>
      <c r="AF1590" s="1" t="str">
        <f>""</f>
        <v/>
      </c>
      <c r="AG1590" s="1" t="str">
        <f>""</f>
        <v/>
      </c>
      <c r="AH1590" s="1" t="str">
        <f>""</f>
        <v/>
      </c>
      <c r="AI1590" s="1" t="str">
        <f>""</f>
        <v/>
      </c>
      <c r="AJ1590" s="1" t="str">
        <f>""</f>
        <v/>
      </c>
      <c r="AK1590" s="1" t="str">
        <f>""</f>
        <v/>
      </c>
    </row>
    <row r="1591" spans="1:37">
      <c r="A1591" s="1">
        <v>50000</v>
      </c>
      <c r="B1591" s="1">
        <v>961100009</v>
      </c>
      <c r="C1591" s="1" t="str">
        <f>"تخليه -ساوه كيلومتر 5جاده همدان دست راست مجتمع توليدي سازمان عمران شهر داري"</f>
        <v>تخليه -ساوه كيلومتر 5جاده همدان دست راست مجتمع توليدي سازمان عمران شهر داري</v>
      </c>
      <c r="D1591" s="1">
        <v>12482</v>
      </c>
      <c r="E1591" s="1">
        <v>49440</v>
      </c>
      <c r="F1591" s="1">
        <v>96</v>
      </c>
      <c r="G1591" s="1">
        <v>560</v>
      </c>
      <c r="H1591" s="1" t="str">
        <f>"96/02/10"</f>
        <v>96/02/10</v>
      </c>
      <c r="I1591" s="1" t="str">
        <f>"كيلوگرم"</f>
        <v>كيلوگرم</v>
      </c>
      <c r="J1591" s="1" t="str">
        <f>"1000000003"</f>
        <v>1000000003</v>
      </c>
      <c r="K1591" s="1" t="str">
        <f>"قير MC250"</f>
        <v>قير MC250</v>
      </c>
      <c r="L1591" s="1">
        <v>100</v>
      </c>
      <c r="M1591" s="1" t="str">
        <f>"مخازن قير اصفهان"</f>
        <v>مخازن قير اصفهان</v>
      </c>
      <c r="N1591" s="1">
        <v>9409</v>
      </c>
      <c r="O1591" s="1">
        <v>50034722</v>
      </c>
      <c r="P1591" s="1" t="str">
        <f>"  شهرداري ساوه"</f>
        <v xml:space="preserve">  شهرداري ساوه</v>
      </c>
      <c r="Q1591" s="1">
        <v>11</v>
      </c>
      <c r="R1591" s="1" t="str">
        <f>"فروش داخلي تهران - بورس"</f>
        <v>فروش داخلي تهران - بورس</v>
      </c>
      <c r="S1591" s="1" t="str">
        <f>"قرارداد فروش"</f>
        <v>قرارداد فروش</v>
      </c>
      <c r="T1591" s="1" t="str">
        <f>"ندارد"</f>
        <v>ندارد</v>
      </c>
      <c r="U1591" s="1" t="str">
        <f>"اميري علي(2842011)"</f>
        <v>اميري علي(2842011)</v>
      </c>
      <c r="V1591" s="1">
        <v>961100009</v>
      </c>
      <c r="W1591" s="1">
        <v>961100009</v>
      </c>
      <c r="X1591" s="1" t="str">
        <f>"1396477522"</f>
        <v>1396477522</v>
      </c>
      <c r="Y1591" s="1" t="str">
        <f>"96/02/10"</f>
        <v>96/02/10</v>
      </c>
      <c r="Z1591" s="1" t="str">
        <f>"16/2138"</f>
        <v>16/2138</v>
      </c>
      <c r="AA1591" s="1" t="str">
        <f>"شهرداريها"</f>
        <v>شهرداريها</v>
      </c>
      <c r="AB1591" s="1" t="str">
        <f>"96/02/03"</f>
        <v>96/02/03</v>
      </c>
      <c r="AC1591" s="1" t="str">
        <f>"استان مركزي"</f>
        <v>استان مركزي</v>
      </c>
      <c r="AD1591" s="1" t="str">
        <f>"96/02/09"</f>
        <v>96/02/09</v>
      </c>
      <c r="AE1591" s="1" t="str">
        <f>"اختتام"</f>
        <v>اختتام</v>
      </c>
      <c r="AF1591" s="1" t="str">
        <f>""</f>
        <v/>
      </c>
      <c r="AG1591" s="1" t="str">
        <f>""</f>
        <v/>
      </c>
      <c r="AH1591" s="1" t="str">
        <f>""</f>
        <v/>
      </c>
      <c r="AI1591" s="1" t="str">
        <f>""</f>
        <v/>
      </c>
      <c r="AJ1591" s="1" t="str">
        <f>""</f>
        <v/>
      </c>
      <c r="AK1591" s="1" t="str">
        <f>""</f>
        <v/>
      </c>
    </row>
    <row r="1592" spans="1:37">
      <c r="A1592" s="1">
        <v>50000</v>
      </c>
      <c r="B1592" s="1">
        <v>961100109</v>
      </c>
      <c r="C1592" s="1" t="str">
        <f>"تخليه - اصفهان-نايين-کيلومتر 15 جاده نايين-اصفهان-باند برگشت-کارخانه آسفالت پليمر راه هشت بهشت"</f>
        <v>تخليه - اصفهان-نايين-کيلومتر 15 جاده نايين-اصفهان-باند برگشت-کارخانه آسفالت پليمر راه هشت بهشت</v>
      </c>
      <c r="D1592" s="1">
        <v>15977</v>
      </c>
      <c r="E1592" s="1">
        <v>44420</v>
      </c>
      <c r="F1592" s="1">
        <v>96</v>
      </c>
      <c r="G1592" s="1">
        <v>5580</v>
      </c>
      <c r="H1592" s="1" t="str">
        <f>"96/10/19"</f>
        <v>96/10/19</v>
      </c>
      <c r="I1592" s="1" t="str">
        <f>"كيلوگرم"</f>
        <v>كيلوگرم</v>
      </c>
      <c r="J1592" s="1" t="str">
        <f>"1000000003"</f>
        <v>1000000003</v>
      </c>
      <c r="K1592" s="1" t="str">
        <f>"قير MC250"</f>
        <v>قير MC250</v>
      </c>
      <c r="L1592" s="1">
        <v>100</v>
      </c>
      <c r="M1592" s="1" t="str">
        <f>"مخازن قير اصفهان"</f>
        <v>مخازن قير اصفهان</v>
      </c>
      <c r="N1592" s="1">
        <v>8391</v>
      </c>
      <c r="O1592" s="1">
        <v>50038084</v>
      </c>
      <c r="P1592" s="1" t="str">
        <f>"  جهاد نصر لرستان"</f>
        <v xml:space="preserve">  جهاد نصر لرستان</v>
      </c>
      <c r="Q1592" s="1">
        <v>11</v>
      </c>
      <c r="R1592" s="1" t="str">
        <f>"فروش داخلي تهران - بورس"</f>
        <v>فروش داخلي تهران - بورس</v>
      </c>
      <c r="S1592" s="1" t="str">
        <f>"قرارداد فروش"</f>
        <v>قرارداد فروش</v>
      </c>
      <c r="T1592" s="1" t="str">
        <f>"ندارد"</f>
        <v>ندارد</v>
      </c>
      <c r="U1592" s="1" t="str">
        <f>"ريسماني حسن(1007ج89)"</f>
        <v>ريسماني حسن(1007ج89)</v>
      </c>
      <c r="V1592" s="1">
        <v>961100109</v>
      </c>
      <c r="W1592" s="1">
        <v>961100109</v>
      </c>
      <c r="X1592" s="1" t="str">
        <f>"1396537704"</f>
        <v>1396537704</v>
      </c>
      <c r="Y1592" s="1" t="str">
        <f>"96/10/17"</f>
        <v>96/10/17</v>
      </c>
      <c r="Z1592" s="1" t="str">
        <f>"96-36927"</f>
        <v>96-36927</v>
      </c>
      <c r="AA1592" s="1" t="str">
        <f>"راه سازي"</f>
        <v>راه سازي</v>
      </c>
      <c r="AB1592" s="1" t="str">
        <f>"96/10/17"</f>
        <v>96/10/17</v>
      </c>
      <c r="AC1592" s="1" t="str">
        <f>"استان اصفهان"</f>
        <v>استان اصفهان</v>
      </c>
      <c r="AD1592" s="1" t="str">
        <f>"96/10/13"</f>
        <v>96/10/13</v>
      </c>
      <c r="AE1592" s="1" t="str">
        <f>"اختتام"</f>
        <v>اختتام</v>
      </c>
      <c r="AF1592" s="1" t="str">
        <f>""</f>
        <v/>
      </c>
      <c r="AG1592" s="1" t="str">
        <f>""</f>
        <v/>
      </c>
      <c r="AH1592" s="1" t="str">
        <f>""</f>
        <v/>
      </c>
      <c r="AI1592" s="1" t="str">
        <f>""</f>
        <v/>
      </c>
      <c r="AJ1592" s="1" t="str">
        <f>""</f>
        <v/>
      </c>
      <c r="AK1592" s="1" t="str">
        <f>""</f>
        <v/>
      </c>
    </row>
    <row r="1593" spans="1:37">
      <c r="A1593" s="1">
        <v>34463</v>
      </c>
      <c r="B1593" s="1">
        <v>962000273</v>
      </c>
      <c r="C1593" s="1" t="str">
        <f>"تخليه خراسان جنوبي شهرعشق آبادابتداي ورودي بلوارامام علي (ع )"</f>
        <v>تخليه خراسان جنوبي شهرعشق آبادابتداي ورودي بلوارامام علي (ع )</v>
      </c>
      <c r="D1593" s="1">
        <v>15947</v>
      </c>
      <c r="E1593" s="1">
        <v>33331</v>
      </c>
      <c r="F1593" s="1">
        <v>96</v>
      </c>
      <c r="G1593" s="1">
        <v>1132</v>
      </c>
      <c r="H1593" s="1" t="str">
        <f>"96/09/13"</f>
        <v>96/09/13</v>
      </c>
      <c r="I1593" s="1" t="str">
        <f>"كيلوگرم"</f>
        <v>كيلوگرم</v>
      </c>
      <c r="J1593" s="1" t="str">
        <f>"1000000003"</f>
        <v>1000000003</v>
      </c>
      <c r="K1593" s="1" t="str">
        <f>"قير MC250"</f>
        <v>قير MC250</v>
      </c>
      <c r="L1593" s="1">
        <v>100</v>
      </c>
      <c r="M1593" s="1" t="str">
        <f>"مخازن قير اصفهان"</f>
        <v>مخازن قير اصفهان</v>
      </c>
      <c r="N1593" s="1">
        <v>9795</v>
      </c>
      <c r="O1593" s="1">
        <v>50037459</v>
      </c>
      <c r="P1593" s="1" t="str">
        <f>"  شهرداري عشق آباد"</f>
        <v xml:space="preserve">  شهرداري عشق آباد</v>
      </c>
      <c r="Q1593" s="1">
        <v>20</v>
      </c>
      <c r="R1593" s="1" t="str">
        <f>"فروش داخلي - سازمان شهرداري ها و دهياري هاي كشور"</f>
        <v>فروش داخلي - سازمان شهرداري ها و دهياري هاي كشور</v>
      </c>
      <c r="S1593" s="1" t="str">
        <f>"قرارداد فروش"</f>
        <v>قرارداد فروش</v>
      </c>
      <c r="T1593" s="1" t="str">
        <f>"ندارد"</f>
        <v>ندارد</v>
      </c>
      <c r="U1593" s="1" t="str">
        <f>"تعاوني جم گستر (1001 ج 89)"</f>
        <v>تعاوني جم گستر (1001 ج 89)</v>
      </c>
      <c r="V1593" s="1">
        <v>962000273</v>
      </c>
      <c r="W1593" s="1">
        <v>962000273</v>
      </c>
      <c r="X1593" s="1" t="str">
        <f>"1396529722"</f>
        <v>1396529722</v>
      </c>
      <c r="Y1593" s="1" t="str">
        <f>"96/09/13"</f>
        <v>96/09/13</v>
      </c>
      <c r="Z1593" s="1" t="str">
        <f>"37079مرحله دوم"</f>
        <v>37079مرحله دوم</v>
      </c>
      <c r="AA1593" s="1" t="str">
        <f>"شهرداريها"</f>
        <v>شهرداريها</v>
      </c>
      <c r="AB1593" s="1" t="str">
        <f>"96/09/04"</f>
        <v>96/09/04</v>
      </c>
      <c r="AC1593" s="1" t="str">
        <f>"خراسان رضوي"</f>
        <v>خراسان رضوي</v>
      </c>
      <c r="AD1593" s="1" t="str">
        <f>"96/09/13"</f>
        <v>96/09/13</v>
      </c>
      <c r="AE1593" s="1" t="str">
        <f>"اختتام"</f>
        <v>اختتام</v>
      </c>
      <c r="AF1593" s="1" t="str">
        <f>""</f>
        <v/>
      </c>
      <c r="AG1593" s="1" t="str">
        <f>""</f>
        <v/>
      </c>
      <c r="AH1593" s="1" t="str">
        <f>""</f>
        <v/>
      </c>
      <c r="AI1593" s="1" t="str">
        <f>""</f>
        <v/>
      </c>
      <c r="AJ1593" s="1" t="str">
        <f>""</f>
        <v/>
      </c>
      <c r="AK1593" s="1" t="str">
        <f>""</f>
        <v/>
      </c>
    </row>
    <row r="1594" spans="1:37">
      <c r="A1594" s="1">
        <v>24000</v>
      </c>
      <c r="B1594" s="1">
        <v>966200370</v>
      </c>
      <c r="C1594" s="1" t="str">
        <f>"تخليه -ايلام -دهلران-سه راهي موسيان -پشت نيروي انتظامي -شركت نصرراه معين"</f>
        <v>تخليه -ايلام -دهلران-سه راهي موسيان -پشت نيروي انتظامي -شركت نصرراه معين</v>
      </c>
      <c r="D1594" s="1">
        <v>13257</v>
      </c>
      <c r="E1594" s="1">
        <v>23860</v>
      </c>
      <c r="F1594" s="1">
        <v>96</v>
      </c>
      <c r="G1594" s="1">
        <v>140</v>
      </c>
      <c r="H1594" s="1" t="str">
        <f>"96/08/14"</f>
        <v>96/08/14</v>
      </c>
      <c r="I1594" s="1" t="str">
        <f>"كيلوگرم"</f>
        <v>كيلوگرم</v>
      </c>
      <c r="J1594" s="1" t="str">
        <f>"1000000003"</f>
        <v>1000000003</v>
      </c>
      <c r="K1594" s="1" t="str">
        <f>"قير MC250"</f>
        <v>قير MC250</v>
      </c>
      <c r="L1594" s="1">
        <v>100</v>
      </c>
      <c r="M1594" s="1" t="str">
        <f>"مخازن قير اصفهان"</f>
        <v>مخازن قير اصفهان</v>
      </c>
      <c r="N1594" s="1">
        <v>9958</v>
      </c>
      <c r="O1594" s="1">
        <v>50037054</v>
      </c>
      <c r="P1594" s="1" t="str">
        <f>"  نصر راه معين"</f>
        <v xml:space="preserve">  نصر راه معين</v>
      </c>
      <c r="Q1594" s="1">
        <v>62</v>
      </c>
      <c r="R1594" s="1" t="str">
        <f>"فروش داخلي - سازمان بنيادمسكن انقلاب اسلامي"</f>
        <v>فروش داخلي - سازمان بنيادمسكن انقلاب اسلامي</v>
      </c>
      <c r="S1594" s="1" t="str">
        <f>"قرارداد فروش"</f>
        <v>قرارداد فروش</v>
      </c>
      <c r="T1594" s="1" t="str">
        <f>"ندارد"</f>
        <v>ندارد</v>
      </c>
      <c r="U1594" s="1" t="str">
        <f>"عظيمي محمد(2842015)"</f>
        <v>عظيمي محمد(2842015)</v>
      </c>
      <c r="V1594" s="1">
        <v>966200370</v>
      </c>
      <c r="W1594" s="1">
        <v>966200370</v>
      </c>
      <c r="X1594" s="1" t="str">
        <f>"1396523700"</f>
        <v>1396523700</v>
      </c>
      <c r="Y1594" s="1" t="str">
        <f>"96/08/14"</f>
        <v>96/08/14</v>
      </c>
      <c r="Z1594" s="1" t="str">
        <f>"36113/د"</f>
        <v>36113/د</v>
      </c>
      <c r="AA1594" s="1" t="str">
        <f>"بنيادمسكن انقلاب اسلامي"</f>
        <v>بنيادمسكن انقلاب اسلامي</v>
      </c>
      <c r="AB1594" s="1" t="str">
        <f>"96/08/13"</f>
        <v>96/08/13</v>
      </c>
      <c r="AC1594" s="1" t="str">
        <f>"استان ايلام"</f>
        <v>استان ايلام</v>
      </c>
      <c r="AD1594" s="1" t="str">
        <f>"96/08/14"</f>
        <v>96/08/14</v>
      </c>
      <c r="AE1594" s="1" t="str">
        <f>"اختتام"</f>
        <v>اختتام</v>
      </c>
      <c r="AF1594" s="1" t="str">
        <f>""</f>
        <v/>
      </c>
      <c r="AG1594" s="1" t="str">
        <f>""</f>
        <v/>
      </c>
      <c r="AH1594" s="1" t="str">
        <f>""</f>
        <v/>
      </c>
      <c r="AI1594" s="1" t="str">
        <f>""</f>
        <v/>
      </c>
      <c r="AJ1594" s="1" t="str">
        <f>""</f>
        <v/>
      </c>
      <c r="AK1594" s="1" t="str">
        <f>""</f>
        <v/>
      </c>
    </row>
    <row r="1595" spans="1:37">
      <c r="A1595" s="1">
        <v>97518</v>
      </c>
      <c r="B1595" s="1">
        <v>962000058</v>
      </c>
      <c r="C1595" s="1" t="str">
        <f>"تخليه اصفهان روبروي پليس راه اصفهان تهران جاده علويجه كيلومتر12كارخانه آسفالت افق راه ماندگار"</f>
        <v>تخليه اصفهان روبروي پليس راه اصفهان تهران جاده علويجه كيلومتر12كارخانه آسفالت افق راه ماندگار</v>
      </c>
      <c r="D1595" s="1">
        <v>9113</v>
      </c>
      <c r="E1595" s="1">
        <v>97518</v>
      </c>
      <c r="F1595" s="1">
        <v>96</v>
      </c>
      <c r="G1595" s="1">
        <v>0</v>
      </c>
      <c r="H1595" s="1" t="str">
        <f>"96/07/03"</f>
        <v>96/07/03</v>
      </c>
      <c r="I1595" s="1" t="str">
        <f>"كيلوگرم"</f>
        <v>كيلوگرم</v>
      </c>
      <c r="J1595" s="1" t="str">
        <f>"0000000076"</f>
        <v>0000000076</v>
      </c>
      <c r="K1595" s="1" t="str">
        <f>"قير 60/70 - فله"</f>
        <v>قير 60/70 - فله</v>
      </c>
      <c r="L1595" s="1">
        <v>100</v>
      </c>
      <c r="M1595" s="1" t="str">
        <f>"مخازن قير اصفهان"</f>
        <v>مخازن قير اصفهان</v>
      </c>
      <c r="N1595" s="1">
        <v>11183</v>
      </c>
      <c r="O1595" s="1">
        <v>50036206</v>
      </c>
      <c r="P1595" s="1" t="str">
        <f>"  شهرداري طرق رود"</f>
        <v xml:space="preserve">  شهرداري طرق رود</v>
      </c>
      <c r="Q1595" s="1">
        <v>20</v>
      </c>
      <c r="R1595" s="1" t="str">
        <f>"فروش داخلي - سازمان شهرداري ها و دهياري هاي كشور"</f>
        <v>فروش داخلي - سازمان شهرداري ها و دهياري هاي كشور</v>
      </c>
      <c r="S1595" s="1" t="str">
        <f>"قرارداد فروش"</f>
        <v>قرارداد فروش</v>
      </c>
      <c r="T1595" s="1" t="str">
        <f>"ندارد"</f>
        <v>ندارد</v>
      </c>
      <c r="U1595" s="1" t="str">
        <f>"تعاوني جم گستر (1001 ج 89)"</f>
        <v>تعاوني جم گستر (1001 ج 89)</v>
      </c>
      <c r="V1595" s="1">
        <v>962000058</v>
      </c>
      <c r="W1595" s="1">
        <v>962000058</v>
      </c>
      <c r="X1595" s="1" t="str">
        <f>"1396514467"</f>
        <v>1396514467</v>
      </c>
      <c r="Y1595" s="1" t="str">
        <f>"96/07/03"</f>
        <v>96/07/03</v>
      </c>
      <c r="Z1595" s="1" t="str">
        <f>"26760مرحله اول"</f>
        <v>26760مرحله اول</v>
      </c>
      <c r="AA1595" s="1" t="str">
        <f>"شهرداريها"</f>
        <v>شهرداريها</v>
      </c>
      <c r="AB1595" s="1" t="str">
        <f>"96/06/29"</f>
        <v>96/06/29</v>
      </c>
      <c r="AC1595" s="1" t="str">
        <f>"استان اصفهان"</f>
        <v>استان اصفهان</v>
      </c>
      <c r="AD1595" s="1" t="str">
        <f>"96/07/03"</f>
        <v>96/07/03</v>
      </c>
      <c r="AE1595" s="1" t="str">
        <f>"تاييدشده"</f>
        <v>تاييدشده</v>
      </c>
      <c r="AF1595" s="1" t="str">
        <f>""</f>
        <v/>
      </c>
      <c r="AG1595" s="1" t="str">
        <f>""</f>
        <v/>
      </c>
      <c r="AH1595" s="1" t="str">
        <f>""</f>
        <v/>
      </c>
      <c r="AI1595" s="1" t="str">
        <f>""</f>
        <v/>
      </c>
      <c r="AJ1595" s="1" t="str">
        <f>""</f>
        <v/>
      </c>
      <c r="AK1595" s="1" t="str">
        <f>""</f>
        <v/>
      </c>
    </row>
    <row r="1596" spans="1:37">
      <c r="A1596" s="1">
        <v>20000</v>
      </c>
      <c r="B1596" s="1">
        <v>966200076</v>
      </c>
      <c r="C1596" s="1" t="str">
        <f>"تخليه - اصفهان-دامنه-کارخانه آسفالت شهرداري"</f>
        <v>تخليه - اصفهان-دامنه-کارخانه آسفالت شهرداري</v>
      </c>
      <c r="D1596" s="1">
        <v>12482</v>
      </c>
      <c r="E1596" s="1">
        <v>17520</v>
      </c>
      <c r="F1596" s="1">
        <v>96</v>
      </c>
      <c r="G1596" s="1">
        <v>2480</v>
      </c>
      <c r="H1596" s="1" t="str">
        <f>"96/02/26"</f>
        <v>96/02/26</v>
      </c>
      <c r="I1596" s="1" t="str">
        <f>"كيلوگرم"</f>
        <v>كيلوگرم</v>
      </c>
      <c r="J1596" s="1" t="str">
        <f>"1000000003"</f>
        <v>1000000003</v>
      </c>
      <c r="K1596" s="1" t="str">
        <f>"قير MC250"</f>
        <v>قير MC250</v>
      </c>
      <c r="L1596" s="1">
        <v>100</v>
      </c>
      <c r="M1596" s="1" t="str">
        <f>"مخازن قير اصفهان"</f>
        <v>مخازن قير اصفهان</v>
      </c>
      <c r="N1596" s="1">
        <v>10536</v>
      </c>
      <c r="O1596" s="1">
        <v>50034843</v>
      </c>
      <c r="P1596" s="1" t="str">
        <f>"  آبجيل صنعت"</f>
        <v xml:space="preserve">  آبجيل صنعت</v>
      </c>
      <c r="Q1596" s="1">
        <v>62</v>
      </c>
      <c r="R1596" s="1" t="str">
        <f>"فروش داخلي - سازمان بنيادمسكن انقلاب اسلامي"</f>
        <v>فروش داخلي - سازمان بنيادمسكن انقلاب اسلامي</v>
      </c>
      <c r="S1596" s="1" t="str">
        <f>"قرارداد فروش"</f>
        <v>قرارداد فروش</v>
      </c>
      <c r="T1596" s="1" t="str">
        <f>"ندارد"</f>
        <v>ندارد</v>
      </c>
      <c r="U1596" s="1" t="str">
        <f>"سيفي پور گودرز(1019ج89)"</f>
        <v>سيفي پور گودرز(1019ج89)</v>
      </c>
      <c r="V1596" s="1">
        <v>966200076</v>
      </c>
      <c r="W1596" s="1">
        <v>966200076</v>
      </c>
      <c r="X1596" s="1" t="str">
        <f>"1396481182"</f>
        <v>1396481182</v>
      </c>
      <c r="Y1596" s="1" t="str">
        <f>"96/02/26"</f>
        <v>96/02/26</v>
      </c>
      <c r="Z1596" s="1" t="str">
        <f>"6820/د"</f>
        <v>6820/د</v>
      </c>
      <c r="AA1596" s="1" t="str">
        <f>"بنيادمسكن انقلاب اسلامي"</f>
        <v>بنيادمسكن انقلاب اسلامي</v>
      </c>
      <c r="AB1596" s="1" t="str">
        <f>"96/02/25"</f>
        <v>96/02/25</v>
      </c>
      <c r="AC1596" s="1" t="str">
        <f>"استان اصفهان"</f>
        <v>استان اصفهان</v>
      </c>
      <c r="AD1596" s="1" t="str">
        <f>"96/02/26"</f>
        <v>96/02/26</v>
      </c>
      <c r="AE1596" s="1" t="str">
        <f>"اختتام"</f>
        <v>اختتام</v>
      </c>
      <c r="AF1596" s="1" t="str">
        <f>""</f>
        <v/>
      </c>
      <c r="AG1596" s="1" t="str">
        <f>""</f>
        <v/>
      </c>
      <c r="AH1596" s="1" t="str">
        <f>""</f>
        <v/>
      </c>
      <c r="AI1596" s="1" t="str">
        <f>""</f>
        <v/>
      </c>
      <c r="AJ1596" s="1" t="str">
        <f>""</f>
        <v/>
      </c>
      <c r="AK1596" s="1" t="str">
        <f>""</f>
        <v/>
      </c>
    </row>
    <row r="1597" spans="1:37">
      <c r="A1597" s="1">
        <v>24000</v>
      </c>
      <c r="B1597" s="1">
        <v>966200292</v>
      </c>
      <c r="C1597" s="1" t="str">
        <f>"تخليه - ايلام-مهران-کيلومتر 15 مهران دهلران-کارخانه آسفالت سيار مستقر در سنگ شکن رحيمي(تعاوني144)"</f>
        <v>تخليه - ايلام-مهران-کيلومتر 15 مهران دهلران-کارخانه آسفالت سيار مستقر در سنگ شکن رحيمي(تعاوني144)</v>
      </c>
      <c r="D1597" s="1">
        <v>12777</v>
      </c>
      <c r="E1597" s="1">
        <v>23380</v>
      </c>
      <c r="F1597" s="1">
        <v>96</v>
      </c>
      <c r="G1597" s="1">
        <v>620</v>
      </c>
      <c r="H1597" s="1" t="str">
        <f>"96/07/12"</f>
        <v>96/07/12</v>
      </c>
      <c r="I1597" s="1" t="str">
        <f>"كيلوگرم"</f>
        <v>كيلوگرم</v>
      </c>
      <c r="J1597" s="1" t="str">
        <f>"1000000003"</f>
        <v>1000000003</v>
      </c>
      <c r="K1597" s="1" t="str">
        <f>"قير MC250"</f>
        <v>قير MC250</v>
      </c>
      <c r="L1597" s="1">
        <v>100</v>
      </c>
      <c r="M1597" s="1" t="str">
        <f>"مخازن قير اصفهان"</f>
        <v>مخازن قير اصفهان</v>
      </c>
      <c r="N1597" s="1">
        <v>10624</v>
      </c>
      <c r="O1597" s="1">
        <v>50036543</v>
      </c>
      <c r="P1597" s="1" t="str">
        <f>"  آژين دژ غرب"</f>
        <v xml:space="preserve">  آژين دژ غرب</v>
      </c>
      <c r="Q1597" s="1">
        <v>62</v>
      </c>
      <c r="R1597" s="1" t="str">
        <f>"فروش داخلي - سازمان بنيادمسكن انقلاب اسلامي"</f>
        <v>فروش داخلي - سازمان بنيادمسكن انقلاب اسلامي</v>
      </c>
      <c r="S1597" s="1" t="str">
        <f>"قرارداد فروش"</f>
        <v>قرارداد فروش</v>
      </c>
      <c r="T1597" s="1" t="str">
        <f>"ندارد"</f>
        <v>ندارد</v>
      </c>
      <c r="U1597" s="1" t="str">
        <f>"عظيمي محمد(2842015)"</f>
        <v>عظيمي محمد(2842015)</v>
      </c>
      <c r="V1597" s="1">
        <v>966200292</v>
      </c>
      <c r="W1597" s="1">
        <v>966200292</v>
      </c>
      <c r="X1597" s="1" t="str">
        <f>"1396516804"</f>
        <v>1396516804</v>
      </c>
      <c r="Y1597" s="1" t="str">
        <f>"96/07/12"</f>
        <v>96/07/12</v>
      </c>
      <c r="Z1597" s="1" t="str">
        <f>"30479/د"</f>
        <v>30479/د</v>
      </c>
      <c r="AA1597" s="1" t="str">
        <f>"بنيادمسكن انقلاب اسلامي"</f>
        <v>بنيادمسكن انقلاب اسلامي</v>
      </c>
      <c r="AB1597" s="1" t="str">
        <f>"96/07/11"</f>
        <v>96/07/11</v>
      </c>
      <c r="AC1597" s="1" t="str">
        <f>"استان ايلام"</f>
        <v>استان ايلام</v>
      </c>
      <c r="AD1597" s="1" t="str">
        <f>"96/07/12"</f>
        <v>96/07/12</v>
      </c>
      <c r="AE1597" s="1" t="str">
        <f>"اختتام"</f>
        <v>اختتام</v>
      </c>
      <c r="AF1597" s="1" t="str">
        <f>""</f>
        <v/>
      </c>
      <c r="AG1597" s="1" t="str">
        <f>""</f>
        <v/>
      </c>
      <c r="AH1597" s="1" t="str">
        <f>""</f>
        <v/>
      </c>
      <c r="AI1597" s="1" t="str">
        <f>""</f>
        <v/>
      </c>
      <c r="AJ1597" s="1" t="str">
        <f>""</f>
        <v/>
      </c>
      <c r="AK1597" s="1" t="str">
        <f>""</f>
        <v/>
      </c>
    </row>
    <row r="1598" spans="1:37">
      <c r="A1598" s="1">
        <v>15000</v>
      </c>
      <c r="B1598" s="1">
        <v>966200635</v>
      </c>
      <c r="C1598" s="1" t="str">
        <f>"تخليه ايلام آبدانان روستاي ماهوته كارخانه آسفالت شركت شناشيل سازان آبدانان"</f>
        <v>تخليه ايلام آبدانان روستاي ماهوته كارخانه آسفالت شركت شناشيل سازان آبدانان</v>
      </c>
      <c r="D1598" s="1">
        <v>16650</v>
      </c>
      <c r="E1598" s="1">
        <v>14520</v>
      </c>
      <c r="F1598" s="1">
        <v>96</v>
      </c>
      <c r="G1598" s="1">
        <v>480</v>
      </c>
      <c r="H1598" s="1" t="str">
        <f>"96/12/14"</f>
        <v>96/12/14</v>
      </c>
      <c r="I1598" s="1" t="str">
        <f>"كيلوگرم"</f>
        <v>كيلوگرم</v>
      </c>
      <c r="J1598" s="1" t="str">
        <f>"1000000003"</f>
        <v>1000000003</v>
      </c>
      <c r="K1598" s="1" t="str">
        <f>"قير MC250"</f>
        <v>قير MC250</v>
      </c>
      <c r="L1598" s="1">
        <v>100</v>
      </c>
      <c r="M1598" s="1" t="str">
        <f>"مخازن قير اصفهان"</f>
        <v>مخازن قير اصفهان</v>
      </c>
      <c r="N1598" s="1">
        <v>10693</v>
      </c>
      <c r="O1598" s="1">
        <v>50038756</v>
      </c>
      <c r="P1598" s="1" t="str">
        <f>"  شناشيل سازان آبدانان"</f>
        <v xml:space="preserve">  شناشيل سازان آبدانان</v>
      </c>
      <c r="Q1598" s="1">
        <v>62</v>
      </c>
      <c r="R1598" s="1" t="str">
        <f>"فروش داخلي - سازمان بنيادمسكن انقلاب اسلامي"</f>
        <v>فروش داخلي - سازمان بنيادمسكن انقلاب اسلامي</v>
      </c>
      <c r="S1598" s="1" t="str">
        <f>"قرارداد فروش"</f>
        <v>قرارداد فروش</v>
      </c>
      <c r="T1598" s="1" t="str">
        <f>"ندارد"</f>
        <v>ندارد</v>
      </c>
      <c r="U1598" s="1" t="str">
        <f>"عظيمي محمد(2842015)"</f>
        <v>عظيمي محمد(2842015)</v>
      </c>
      <c r="V1598" s="1">
        <v>966200635</v>
      </c>
      <c r="W1598" s="1">
        <v>966200635</v>
      </c>
      <c r="X1598" s="1" t="str">
        <f>"1396552262"</f>
        <v>1396552262</v>
      </c>
      <c r="Y1598" s="1" t="str">
        <f>"96/12/14"</f>
        <v>96/12/14</v>
      </c>
      <c r="Z1598" s="1" t="str">
        <f>"56667/د"</f>
        <v>56667/د</v>
      </c>
      <c r="AA1598" s="1" t="str">
        <f>"بنيادمسكن انقلاب اسلامي"</f>
        <v>بنيادمسكن انقلاب اسلامي</v>
      </c>
      <c r="AB1598" s="1" t="str">
        <f>"96/12/13"</f>
        <v>96/12/13</v>
      </c>
      <c r="AC1598" s="1" t="str">
        <f>"استان ايلام"</f>
        <v>استان ايلام</v>
      </c>
      <c r="AD1598" s="1" t="str">
        <f>"96/12/14"</f>
        <v>96/12/14</v>
      </c>
      <c r="AE1598" s="1" t="str">
        <f>"اختتام"</f>
        <v>اختتام</v>
      </c>
      <c r="AF1598" s="1" t="str">
        <f>""</f>
        <v/>
      </c>
      <c r="AG1598" s="1" t="str">
        <f>""</f>
        <v/>
      </c>
      <c r="AH1598" s="1" t="str">
        <f>""</f>
        <v/>
      </c>
      <c r="AI1598" s="1" t="str">
        <f>""</f>
        <v/>
      </c>
      <c r="AJ1598" s="1" t="str">
        <f>""</f>
        <v/>
      </c>
      <c r="AK1598" s="1" t="str">
        <f>""</f>
        <v/>
      </c>
    </row>
    <row r="1599" spans="1:37">
      <c r="A1599" s="1">
        <v>84381</v>
      </c>
      <c r="B1599" s="1">
        <v>962000136</v>
      </c>
      <c r="C1599" s="1" t="str">
        <f>"تخليه خراسان جنوبي شهرديهوك بلوارجهاد"</f>
        <v>تخليه خراسان جنوبي شهرديهوك بلوارجهاد</v>
      </c>
      <c r="D1599" s="1">
        <v>12777</v>
      </c>
      <c r="E1599" s="1">
        <v>84381</v>
      </c>
      <c r="F1599" s="1">
        <v>96</v>
      </c>
      <c r="G1599" s="1">
        <v>0</v>
      </c>
      <c r="H1599" s="1" t="str">
        <f>"96/07/03"</f>
        <v>96/07/03</v>
      </c>
      <c r="I1599" s="1" t="str">
        <f>"كيلوگرم"</f>
        <v>كيلوگرم</v>
      </c>
      <c r="J1599" s="1" t="str">
        <f>"1000000003"</f>
        <v>1000000003</v>
      </c>
      <c r="K1599" s="1" t="str">
        <f>"قير MC250"</f>
        <v>قير MC250</v>
      </c>
      <c r="L1599" s="1">
        <v>100</v>
      </c>
      <c r="M1599" s="1" t="str">
        <f>"مخازن قير اصفهان"</f>
        <v>مخازن قير اصفهان</v>
      </c>
      <c r="N1599" s="1">
        <v>10742</v>
      </c>
      <c r="O1599" s="1">
        <v>50036324</v>
      </c>
      <c r="P1599" s="1" t="str">
        <f>"  شهرداري ديهوك"</f>
        <v xml:space="preserve">  شهرداري ديهوك</v>
      </c>
      <c r="Q1599" s="1">
        <v>20</v>
      </c>
      <c r="R1599" s="1" t="str">
        <f>"فروش داخلي - سازمان شهرداري ها و دهياري هاي كشور"</f>
        <v>فروش داخلي - سازمان شهرداري ها و دهياري هاي كشور</v>
      </c>
      <c r="S1599" s="1" t="str">
        <f>"قرارداد فروش"</f>
        <v>قرارداد فروش</v>
      </c>
      <c r="T1599" s="1" t="str">
        <f>"ندارد"</f>
        <v>ندارد</v>
      </c>
      <c r="U1599" s="1" t="str">
        <f>"تعاوني جم گستر (1001 ج 89)"</f>
        <v>تعاوني جم گستر (1001 ج 89)</v>
      </c>
      <c r="V1599" s="1">
        <v>962000136</v>
      </c>
      <c r="W1599" s="1">
        <v>962000136</v>
      </c>
      <c r="X1599" s="1" t="str">
        <f>"1396514469"</f>
        <v>1396514469</v>
      </c>
      <c r="Y1599" s="1" t="str">
        <f>"96/07/03"</f>
        <v>96/07/03</v>
      </c>
      <c r="Z1599" s="1" t="str">
        <f>"26730مرحله اول"</f>
        <v>26730مرحله اول</v>
      </c>
      <c r="AA1599" s="1" t="str">
        <f>"شهرداريها"</f>
        <v>شهرداريها</v>
      </c>
      <c r="AB1599" s="1" t="str">
        <f>"96/06/29"</f>
        <v>96/06/29</v>
      </c>
      <c r="AC1599" s="1" t="str">
        <f>"خراسان جنوبي"</f>
        <v>خراسان جنوبي</v>
      </c>
      <c r="AD1599" s="1" t="str">
        <f>"96/07/03"</f>
        <v>96/07/03</v>
      </c>
      <c r="AE1599" s="1" t="str">
        <f>"اختتام"</f>
        <v>اختتام</v>
      </c>
      <c r="AF1599" s="1" t="str">
        <f>""</f>
        <v/>
      </c>
      <c r="AG1599" s="1" t="str">
        <f>""</f>
        <v/>
      </c>
      <c r="AH1599" s="1" t="str">
        <f>""</f>
        <v/>
      </c>
      <c r="AI1599" s="1" t="str">
        <f>""</f>
        <v/>
      </c>
      <c r="AJ1599" s="1" t="str">
        <f>""</f>
        <v/>
      </c>
      <c r="AK1599" s="1" t="str">
        <f>""</f>
        <v/>
      </c>
    </row>
    <row r="1600" spans="1:37">
      <c r="A1600" s="1">
        <v>15000</v>
      </c>
      <c r="B1600" s="1">
        <v>966200765</v>
      </c>
      <c r="C1600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1600" s="1">
        <v>16650</v>
      </c>
      <c r="E1600" s="1">
        <v>15000</v>
      </c>
      <c r="F1600" s="1">
        <v>96</v>
      </c>
      <c r="G1600" s="1">
        <v>0</v>
      </c>
      <c r="H1600" s="1" t="str">
        <f>"96/12/27"</f>
        <v>96/12/27</v>
      </c>
      <c r="I1600" s="1" t="str">
        <f>"كيلوگرم"</f>
        <v>كيلوگرم</v>
      </c>
      <c r="J1600" s="1" t="str">
        <f>"1000000003"</f>
        <v>1000000003</v>
      </c>
      <c r="K1600" s="1" t="str">
        <f>"قير MC250"</f>
        <v>قير MC250</v>
      </c>
      <c r="L1600" s="1">
        <v>100</v>
      </c>
      <c r="M1600" s="1" t="str">
        <f>"مخازن قير اصفهان"</f>
        <v>مخازن قير اصفهان</v>
      </c>
      <c r="N1600" s="1">
        <v>11001</v>
      </c>
      <c r="O1600" s="1">
        <v>50039135</v>
      </c>
      <c r="P1600" s="1" t="str">
        <f>"  بنياد مسکن انقلاب اسلامي نجف آباد"</f>
        <v xml:space="preserve">  بنياد مسکن انقلاب اسلامي نجف آباد</v>
      </c>
      <c r="Q1600" s="1">
        <v>62</v>
      </c>
      <c r="R1600" s="1" t="str">
        <f>"فروش داخلي - سازمان بنيادمسكن انقلاب اسلامي"</f>
        <v>فروش داخلي - سازمان بنيادمسكن انقلاب اسلامي</v>
      </c>
      <c r="S1600" s="1" t="str">
        <f>"قرارداد فروش"</f>
        <v>قرارداد فروش</v>
      </c>
      <c r="T1600" s="1" t="str">
        <f>"ندارد"</f>
        <v>ندارد</v>
      </c>
      <c r="U1600" s="1" t="str">
        <f>"سيفي پور عبدالمجيد(1009ج89)"</f>
        <v>سيفي پور عبدالمجيد(1009ج89)</v>
      </c>
      <c r="V1600" s="1">
        <v>966200765</v>
      </c>
      <c r="W1600" s="1">
        <v>966200765</v>
      </c>
      <c r="X1600" s="1" t="str">
        <f>"1396555468"</f>
        <v>1396555468</v>
      </c>
      <c r="Y1600" s="1" t="str">
        <f>"96/12/27"</f>
        <v>96/12/27</v>
      </c>
      <c r="Z1600" s="1" t="str">
        <f>"59996/د"</f>
        <v>59996/د</v>
      </c>
      <c r="AA1600" s="1" t="str">
        <f>"بنيادمسكن انقلاب اسلامي"</f>
        <v>بنيادمسكن انقلاب اسلامي</v>
      </c>
      <c r="AB1600" s="1" t="str">
        <f>"96/12/26"</f>
        <v>96/12/26</v>
      </c>
      <c r="AC1600" s="1" t="str">
        <f>"استان اصفهان"</f>
        <v>استان اصفهان</v>
      </c>
      <c r="AD1600" s="1" t="str">
        <f>"96/12/27"</f>
        <v>96/12/27</v>
      </c>
      <c r="AE1600" s="1" t="str">
        <f>"اختتام"</f>
        <v>اختتام</v>
      </c>
      <c r="AF1600" s="1" t="str">
        <f>""</f>
        <v/>
      </c>
      <c r="AG1600" s="1" t="str">
        <f>""</f>
        <v/>
      </c>
      <c r="AH1600" s="1" t="str">
        <f>""</f>
        <v/>
      </c>
      <c r="AI1600" s="1" t="str">
        <f>""</f>
        <v/>
      </c>
      <c r="AJ1600" s="1" t="str">
        <f>""</f>
        <v/>
      </c>
      <c r="AK1600" s="1" t="str">
        <f>""</f>
        <v/>
      </c>
    </row>
    <row r="1601" spans="1:37">
      <c r="A1601" s="1">
        <v>25000</v>
      </c>
      <c r="B1601" s="1">
        <v>961100046</v>
      </c>
      <c r="C1601" s="1" t="str">
        <f>"تخليه -همدان كيلومتر30محورتويسركان -كنگاور-كارخانه آسفالت كنجوران"</f>
        <v>تخليه -همدان كيلومتر30محورتويسركان -كنگاور-كارخانه آسفالت كنجوران</v>
      </c>
      <c r="D1601" s="1">
        <v>12222</v>
      </c>
      <c r="E1601" s="1">
        <v>24280</v>
      </c>
      <c r="F1601" s="1">
        <v>96</v>
      </c>
      <c r="G1601" s="1">
        <v>720</v>
      </c>
      <c r="H1601" s="1" t="str">
        <f>"96/05/18"</f>
        <v>96/05/18</v>
      </c>
      <c r="I1601" s="1" t="str">
        <f>"كيلوگرم"</f>
        <v>كيلوگرم</v>
      </c>
      <c r="J1601" s="1" t="str">
        <f>"1000000003"</f>
        <v>1000000003</v>
      </c>
      <c r="K1601" s="1" t="str">
        <f>"قير MC250"</f>
        <v>قير MC250</v>
      </c>
      <c r="L1601" s="1">
        <v>100</v>
      </c>
      <c r="M1601" s="1" t="str">
        <f>"مخازن قير اصفهان"</f>
        <v>مخازن قير اصفهان</v>
      </c>
      <c r="N1601" s="1">
        <v>10053</v>
      </c>
      <c r="O1601" s="1">
        <v>50035578</v>
      </c>
      <c r="P1601" s="1" t="str">
        <f>"  پوشش راه هگمتانه"</f>
        <v xml:space="preserve">  پوشش راه هگمتانه</v>
      </c>
      <c r="Q1601" s="1">
        <v>11</v>
      </c>
      <c r="R1601" s="1" t="str">
        <f>"فروش داخلي تهران - بورس"</f>
        <v>فروش داخلي تهران - بورس</v>
      </c>
      <c r="S1601" s="1" t="str">
        <f>"قرارداد فروش"</f>
        <v>قرارداد فروش</v>
      </c>
      <c r="T1601" s="1" t="str">
        <f>"ندارد"</f>
        <v>ندارد</v>
      </c>
      <c r="U1601" s="1" t="str">
        <f>"حاجيلوئي علي اصغر(2842019)"</f>
        <v>حاجيلوئي علي اصغر(2842019)</v>
      </c>
      <c r="V1601" s="1">
        <v>961100046</v>
      </c>
      <c r="W1601" s="1">
        <v>961100046</v>
      </c>
      <c r="X1601" s="1" t="str">
        <f>"1396502838"</f>
        <v>1396502838</v>
      </c>
      <c r="Y1601" s="1" t="str">
        <f>"96/05/17"</f>
        <v>96/05/17</v>
      </c>
      <c r="Z1601" s="1" t="str">
        <f>"96-35982"</f>
        <v>96-35982</v>
      </c>
      <c r="AA1601" s="1" t="str">
        <f>"آسفالت سازان"</f>
        <v>آسفالت سازان</v>
      </c>
      <c r="AB1601" s="1" t="str">
        <f>"96/05/17"</f>
        <v>96/05/17</v>
      </c>
      <c r="AC1601" s="1" t="str">
        <f>"استان همدان"</f>
        <v>استان همدان</v>
      </c>
      <c r="AD1601" s="1" t="str">
        <f>"96/05/15"</f>
        <v>96/05/15</v>
      </c>
      <c r="AE1601" s="1" t="str">
        <f>"اختتام"</f>
        <v>اختتام</v>
      </c>
      <c r="AF1601" s="1" t="str">
        <f>""</f>
        <v/>
      </c>
      <c r="AG1601" s="1" t="str">
        <f>""</f>
        <v/>
      </c>
      <c r="AH1601" s="1" t="str">
        <f>""</f>
        <v/>
      </c>
      <c r="AI1601" s="1" t="str">
        <f>""</f>
        <v/>
      </c>
      <c r="AJ1601" s="1" t="str">
        <f>""</f>
        <v/>
      </c>
      <c r="AK1601" s="1" t="str">
        <f>""</f>
        <v/>
      </c>
    </row>
    <row r="1602" spans="1:37">
      <c r="A1602" s="1">
        <v>25000</v>
      </c>
      <c r="B1602" s="1">
        <v>961100034</v>
      </c>
      <c r="C1602" s="1" t="str">
        <f>"تخليه اصفهان شهرستان خوربيابانك اداره راه وشهرسازي شهرستان خوربيابانك"</f>
        <v>تخليه اصفهان شهرستان خوربيابانك اداره راه وشهرسازي شهرستان خوربيابانك</v>
      </c>
      <c r="D1602" s="1">
        <v>12222</v>
      </c>
      <c r="E1602" s="1">
        <v>21700</v>
      </c>
      <c r="F1602" s="1">
        <v>96</v>
      </c>
      <c r="G1602" s="1">
        <v>3300</v>
      </c>
      <c r="H1602" s="1" t="str">
        <f>"96/04/17"</f>
        <v>96/04/17</v>
      </c>
      <c r="I1602" s="1" t="str">
        <f>"كيلوگرم"</f>
        <v>كيلوگرم</v>
      </c>
      <c r="J1602" s="1" t="str">
        <f>"1000000003"</f>
        <v>1000000003</v>
      </c>
      <c r="K1602" s="1" t="str">
        <f>"قير MC250"</f>
        <v>قير MC250</v>
      </c>
      <c r="L1602" s="1">
        <v>100</v>
      </c>
      <c r="M1602" s="1" t="str">
        <f>"مخازن قير اصفهان"</f>
        <v>مخازن قير اصفهان</v>
      </c>
      <c r="N1602" s="1">
        <v>10122</v>
      </c>
      <c r="O1602" s="1">
        <v>50035124</v>
      </c>
      <c r="P1602" s="1" t="str">
        <f>"  شهرداري فرخي"</f>
        <v xml:space="preserve">  شهرداري فرخي</v>
      </c>
      <c r="Q1602" s="1">
        <v>11</v>
      </c>
      <c r="R1602" s="1" t="str">
        <f>"فروش داخلي تهران - بورس"</f>
        <v>فروش داخلي تهران - بورس</v>
      </c>
      <c r="S1602" s="1" t="str">
        <f>"قرارداد فروش"</f>
        <v>قرارداد فروش</v>
      </c>
      <c r="T1602" s="1" t="str">
        <f>"ندارد"</f>
        <v>ندارد</v>
      </c>
      <c r="U1602" s="1" t="str">
        <f>"غلام نجفي سيامك‌‌‌‌‌‌(1881082)"</f>
        <v>غلام نجفي سيامك‌‌‌‌‌‌(1881082)</v>
      </c>
      <c r="V1602" s="1">
        <v>961100034</v>
      </c>
      <c r="W1602" s="1">
        <v>961100034</v>
      </c>
      <c r="X1602" s="1" t="str">
        <f>"1396494228"</f>
        <v>1396494228</v>
      </c>
      <c r="Y1602" s="1" t="str">
        <f>"96/04/17"</f>
        <v>96/04/17</v>
      </c>
      <c r="Z1602" s="1" t="str">
        <f>"1512"</f>
        <v>1512</v>
      </c>
      <c r="AA1602" s="1" t="str">
        <f>"شهرداريها"</f>
        <v>شهرداريها</v>
      </c>
      <c r="AB1602" s="1" t="str">
        <f>"96/04/12"</f>
        <v>96/04/12</v>
      </c>
      <c r="AC1602" s="1" t="str">
        <f>"استان اصفهان"</f>
        <v>استان اصفهان</v>
      </c>
      <c r="AD1602" s="1" t="str">
        <f>"96/04/17"</f>
        <v>96/04/17</v>
      </c>
      <c r="AE1602" s="1" t="str">
        <f>"اختتام"</f>
        <v>اختتام</v>
      </c>
      <c r="AF1602" s="1" t="str">
        <f>""</f>
        <v/>
      </c>
      <c r="AG1602" s="1" t="str">
        <f>""</f>
        <v/>
      </c>
      <c r="AH1602" s="1" t="str">
        <f>""</f>
        <v/>
      </c>
      <c r="AI1602" s="1" t="str">
        <f>""</f>
        <v/>
      </c>
      <c r="AJ1602" s="1" t="str">
        <f>""</f>
        <v/>
      </c>
      <c r="AK1602" s="1" t="str">
        <f>""</f>
        <v/>
      </c>
    </row>
    <row r="1603" spans="1:37">
      <c r="A1603" s="1">
        <v>15000</v>
      </c>
      <c r="B1603" s="1">
        <v>966200013</v>
      </c>
      <c r="C1603" s="1" t="str">
        <f>"تخليه -کيلومتر10جاده شهرضا-اصفهان -جنب امامزاده علي اکبر-کارخانه آسفالت  گلابي"</f>
        <v>تخليه -کيلومتر10جاده شهرضا-اصفهان -جنب امامزاده علي اکبر-کارخانه آسفالت  گلابي</v>
      </c>
      <c r="D1603" s="1">
        <v>11482</v>
      </c>
      <c r="E1603" s="1">
        <v>14400</v>
      </c>
      <c r="F1603" s="1">
        <v>96</v>
      </c>
      <c r="G1603" s="1">
        <v>600</v>
      </c>
      <c r="H1603" s="1" t="str">
        <f>"96/01/21"</f>
        <v>96/01/21</v>
      </c>
      <c r="I1603" s="1" t="str">
        <f>"كيلوگرم"</f>
        <v>كيلوگرم</v>
      </c>
      <c r="J1603" s="1" t="str">
        <f>"1000000003"</f>
        <v>1000000003</v>
      </c>
      <c r="K1603" s="1" t="str">
        <f>"قير MC250"</f>
        <v>قير MC250</v>
      </c>
      <c r="L1603" s="1">
        <v>100</v>
      </c>
      <c r="M1603" s="1" t="str">
        <f>"مخازن قير اصفهان"</f>
        <v>مخازن قير اصفهان</v>
      </c>
      <c r="N1603" s="1">
        <v>10271</v>
      </c>
      <c r="O1603" s="1">
        <v>50034473</v>
      </c>
      <c r="P1603" s="1" t="str">
        <f>"  آرياگسترشهرضا"</f>
        <v xml:space="preserve">  آرياگسترشهرضا</v>
      </c>
      <c r="Q1603" s="1">
        <v>62</v>
      </c>
      <c r="R1603" s="1" t="str">
        <f>"فروش داخلي - سازمان بنيادمسكن انقلاب اسلامي"</f>
        <v>فروش داخلي - سازمان بنيادمسكن انقلاب اسلامي</v>
      </c>
      <c r="S1603" s="1" t="str">
        <f>"قرارداد فروش"</f>
        <v>قرارداد فروش</v>
      </c>
      <c r="T1603" s="1" t="str">
        <f>"ندارد"</f>
        <v>ندارد</v>
      </c>
      <c r="U1603" s="1" t="str">
        <f>"علي عابدي ابوالقاسم(1003ج89)"</f>
        <v>علي عابدي ابوالقاسم(1003ج89)</v>
      </c>
      <c r="V1603" s="1">
        <v>966200013</v>
      </c>
      <c r="W1603" s="1">
        <v>966200013</v>
      </c>
      <c r="X1603" s="1" t="str">
        <f>"1396472724"</f>
        <v>1396472724</v>
      </c>
      <c r="Y1603" s="1" t="str">
        <f>"96/01/21"</f>
        <v>96/01/21</v>
      </c>
      <c r="Z1603" s="1" t="str">
        <f>"990/د"</f>
        <v>990/د</v>
      </c>
      <c r="AA1603" s="1" t="str">
        <f>"بنيادمسكن انقلاب اسلامي"</f>
        <v>بنيادمسكن انقلاب اسلامي</v>
      </c>
      <c r="AB1603" s="1" t="str">
        <f>"96/01/19"</f>
        <v>96/01/19</v>
      </c>
      <c r="AC1603" s="1" t="str">
        <f>"استان اصفهان"</f>
        <v>استان اصفهان</v>
      </c>
      <c r="AD1603" s="1" t="str">
        <f>"96/01/20"</f>
        <v>96/01/20</v>
      </c>
      <c r="AE1603" s="1" t="str">
        <f>"اختتام"</f>
        <v>اختتام</v>
      </c>
      <c r="AF1603" s="1" t="str">
        <f>""</f>
        <v/>
      </c>
      <c r="AG1603" s="1" t="str">
        <f>""</f>
        <v/>
      </c>
      <c r="AH1603" s="1" t="str">
        <f>""</f>
        <v/>
      </c>
      <c r="AI1603" s="1" t="str">
        <f>""</f>
        <v/>
      </c>
      <c r="AJ1603" s="1" t="str">
        <f>""</f>
        <v/>
      </c>
      <c r="AK1603" s="1" t="str">
        <f>""</f>
        <v/>
      </c>
    </row>
    <row r="1604" spans="1:37">
      <c r="A1604" s="1">
        <v>55000</v>
      </c>
      <c r="B1604" s="1">
        <v>966200193</v>
      </c>
      <c r="C1604" s="1" t="str">
        <f>"تخليه - سيستان و بلوچستان-سوران-رحمت آباد-کارگاه شن و ماسه رودبار"</f>
        <v>تخليه - سيستان و بلوچستان-سوران-رحمت آباد-کارگاه شن و ماسه رودبار</v>
      </c>
      <c r="D1604" s="1">
        <v>12222</v>
      </c>
      <c r="E1604" s="1">
        <v>52020</v>
      </c>
      <c r="F1604" s="1">
        <v>96</v>
      </c>
      <c r="G1604" s="1">
        <v>2980</v>
      </c>
      <c r="H1604" s="1" t="str">
        <f>"96/05/25"</f>
        <v>96/05/25</v>
      </c>
      <c r="I1604" s="1" t="str">
        <f>"كيلوگرم"</f>
        <v>كيلوگرم</v>
      </c>
      <c r="J1604" s="1" t="str">
        <f>"1000000003"</f>
        <v>1000000003</v>
      </c>
      <c r="K1604" s="1" t="str">
        <f>"قير MC250"</f>
        <v>قير MC250</v>
      </c>
      <c r="L1604" s="1">
        <v>100</v>
      </c>
      <c r="M1604" s="1" t="str">
        <f>"مخازن قير اصفهان"</f>
        <v>مخازن قير اصفهان</v>
      </c>
      <c r="N1604" s="1">
        <v>11070</v>
      </c>
      <c r="O1604" s="1">
        <v>50035683</v>
      </c>
      <c r="P1604" s="1" t="str">
        <f>"  شايان نقشه جنوب"</f>
        <v xml:space="preserve">  شايان نقشه جنوب</v>
      </c>
      <c r="Q1604" s="1">
        <v>62</v>
      </c>
      <c r="R1604" s="1" t="str">
        <f>"فروش داخلي - سازمان بنيادمسكن انقلاب اسلامي"</f>
        <v>فروش داخلي - سازمان بنيادمسكن انقلاب اسلامي</v>
      </c>
      <c r="S1604" s="1" t="str">
        <f>"قرارداد فروش"</f>
        <v>قرارداد فروش</v>
      </c>
      <c r="T1604" s="1" t="str">
        <f>"ندارد"</f>
        <v>ندارد</v>
      </c>
      <c r="U1604" s="1" t="str">
        <f>"بهرام زنگنه (1038 ج 93)"</f>
        <v>بهرام زنگنه (1038 ج 93)</v>
      </c>
      <c r="V1604" s="1">
        <v>966200193</v>
      </c>
      <c r="W1604" s="1">
        <v>966200193</v>
      </c>
      <c r="X1604" s="1" t="str">
        <f>"1396506152"</f>
        <v>1396506152</v>
      </c>
      <c r="Y1604" s="1" t="str">
        <f>"96/05/25"</f>
        <v>96/05/25</v>
      </c>
      <c r="Z1604" s="1" t="str">
        <f>"22149/د"</f>
        <v>22149/د</v>
      </c>
      <c r="AA1604" s="1" t="str">
        <f>"بنيادمسكن انقلاب اسلامي"</f>
        <v>بنيادمسكن انقلاب اسلامي</v>
      </c>
      <c r="AB1604" s="1" t="str">
        <f>"96/05/24"</f>
        <v>96/05/24</v>
      </c>
      <c r="AC1604" s="1" t="str">
        <f>"استان زنجان"</f>
        <v>استان زنجان</v>
      </c>
      <c r="AD1604" s="1" t="str">
        <f>"96/05/25"</f>
        <v>96/05/25</v>
      </c>
      <c r="AE1604" s="1" t="str">
        <f>"اختتام"</f>
        <v>اختتام</v>
      </c>
      <c r="AF1604" s="1" t="str">
        <f>""</f>
        <v/>
      </c>
      <c r="AG1604" s="1" t="str">
        <f>""</f>
        <v/>
      </c>
      <c r="AH1604" s="1" t="str">
        <f>""</f>
        <v/>
      </c>
      <c r="AI1604" s="1" t="str">
        <f>""</f>
        <v/>
      </c>
      <c r="AJ1604" s="1" t="str">
        <f>""</f>
        <v/>
      </c>
      <c r="AK1604" s="1" t="str">
        <f>""</f>
        <v/>
      </c>
    </row>
    <row r="1605" spans="1:37">
      <c r="A1605" s="1">
        <v>53000</v>
      </c>
      <c r="B1605" s="1">
        <v>966200195</v>
      </c>
      <c r="C1605" s="1" t="str">
        <f>"تخليه - سيستان و بلو چستان-سراوان-کيلومتر15 جاده سراوان-کهک-کارگاه شن و ماسه دهواري"</f>
        <v>تخليه - سيستان و بلو چستان-سراوان-کيلومتر15 جاده سراوان-کهک-کارگاه شن و ماسه دهواري</v>
      </c>
      <c r="D1605" s="1">
        <v>12222</v>
      </c>
      <c r="E1605" s="1">
        <v>53000</v>
      </c>
      <c r="F1605" s="1">
        <v>96</v>
      </c>
      <c r="G1605" s="1">
        <v>0</v>
      </c>
      <c r="H1605" s="1" t="str">
        <f>"96/05/25"</f>
        <v>96/05/25</v>
      </c>
      <c r="I1605" s="1" t="str">
        <f>"كيلوگرم"</f>
        <v>كيلوگرم</v>
      </c>
      <c r="J1605" s="1" t="str">
        <f>"1000000003"</f>
        <v>1000000003</v>
      </c>
      <c r="K1605" s="1" t="str">
        <f>"قير MC250"</f>
        <v>قير MC250</v>
      </c>
      <c r="L1605" s="1">
        <v>100</v>
      </c>
      <c r="M1605" s="1" t="str">
        <f>"مخازن قير اصفهان"</f>
        <v>مخازن قير اصفهان</v>
      </c>
      <c r="N1605" s="1">
        <v>11070</v>
      </c>
      <c r="O1605" s="1">
        <v>50035685</v>
      </c>
      <c r="P1605" s="1" t="str">
        <f>"  شايان نقشه جنوب"</f>
        <v xml:space="preserve">  شايان نقشه جنوب</v>
      </c>
      <c r="Q1605" s="1">
        <v>62</v>
      </c>
      <c r="R1605" s="1" t="str">
        <f>"فروش داخلي - سازمان بنيادمسكن انقلاب اسلامي"</f>
        <v>فروش داخلي - سازمان بنيادمسكن انقلاب اسلامي</v>
      </c>
      <c r="S1605" s="1" t="str">
        <f>"قرارداد فروش"</f>
        <v>قرارداد فروش</v>
      </c>
      <c r="T1605" s="1" t="str">
        <f>"ندارد"</f>
        <v>ندارد</v>
      </c>
      <c r="U1605" s="1" t="str">
        <f>"بهرام زنگنه (1038 ج 93)"</f>
        <v>بهرام زنگنه (1038 ج 93)</v>
      </c>
      <c r="V1605" s="1">
        <v>966200195</v>
      </c>
      <c r="W1605" s="1">
        <v>966200195</v>
      </c>
      <c r="X1605" s="1" t="str">
        <f>"1396506152"</f>
        <v>1396506152</v>
      </c>
      <c r="Y1605" s="1" t="str">
        <f>"96/05/25"</f>
        <v>96/05/25</v>
      </c>
      <c r="Z1605" s="1" t="str">
        <f>"22148/د"</f>
        <v>22148/د</v>
      </c>
      <c r="AA1605" s="1" t="str">
        <f>"بنيادمسكن انقلاب اسلامي"</f>
        <v>بنيادمسكن انقلاب اسلامي</v>
      </c>
      <c r="AB1605" s="1" t="str">
        <f>"96/05/24"</f>
        <v>96/05/24</v>
      </c>
      <c r="AC1605" s="1" t="str">
        <f>"استان سيستان بلوچستان"</f>
        <v>استان سيستان بلوچستان</v>
      </c>
      <c r="AD1605" s="1" t="str">
        <f>"96/05/25"</f>
        <v>96/05/25</v>
      </c>
      <c r="AE1605" s="1" t="str">
        <f>"اختتام"</f>
        <v>اختتام</v>
      </c>
      <c r="AF1605" s="1" t="str">
        <f>""</f>
        <v/>
      </c>
      <c r="AG1605" s="1" t="str">
        <f>""</f>
        <v/>
      </c>
      <c r="AH1605" s="1" t="str">
        <f>""</f>
        <v/>
      </c>
      <c r="AI1605" s="1" t="str">
        <f>""</f>
        <v/>
      </c>
      <c r="AJ1605" s="1" t="str">
        <f>""</f>
        <v/>
      </c>
      <c r="AK1605" s="1" t="str">
        <f>""</f>
        <v/>
      </c>
    </row>
    <row r="1606" spans="1:37">
      <c r="A1606" s="1">
        <v>92000</v>
      </c>
      <c r="B1606" s="1">
        <v>966200365</v>
      </c>
      <c r="C1606" s="1" t="str">
        <f>"تخليه - سيستان و بلو چستان-سراوان-کيلومتر15 جاده سراوان-کهک-کارگاه شن و ماسه دهواري"</f>
        <v>تخليه - سيستان و بلو چستان-سراوان-کيلومتر15 جاده سراوان-کهک-کارگاه شن و ماسه دهواري</v>
      </c>
      <c r="D1606" s="1">
        <v>13257</v>
      </c>
      <c r="E1606" s="1">
        <v>92000</v>
      </c>
      <c r="F1606" s="1">
        <v>96</v>
      </c>
      <c r="G1606" s="1">
        <v>0</v>
      </c>
      <c r="H1606" s="1" t="str">
        <f>"96/08/10"</f>
        <v>96/08/10</v>
      </c>
      <c r="I1606" s="1" t="str">
        <f>"كيلوگرم"</f>
        <v>كيلوگرم</v>
      </c>
      <c r="J1606" s="1" t="str">
        <f>"1000000003"</f>
        <v>1000000003</v>
      </c>
      <c r="K1606" s="1" t="str">
        <f>"قير MC250"</f>
        <v>قير MC250</v>
      </c>
      <c r="L1606" s="1">
        <v>100</v>
      </c>
      <c r="M1606" s="1" t="str">
        <f>"مخازن قير اصفهان"</f>
        <v>مخازن قير اصفهان</v>
      </c>
      <c r="N1606" s="1">
        <v>11070</v>
      </c>
      <c r="O1606" s="1">
        <v>50036991</v>
      </c>
      <c r="P1606" s="1" t="str">
        <f>"  شايان نقشه جنوب"</f>
        <v xml:space="preserve">  شايان نقشه جنوب</v>
      </c>
      <c r="Q1606" s="1">
        <v>62</v>
      </c>
      <c r="R1606" s="1" t="str">
        <f>"فروش داخلي - سازمان بنيادمسكن انقلاب اسلامي"</f>
        <v>فروش داخلي - سازمان بنيادمسكن انقلاب اسلامي</v>
      </c>
      <c r="S1606" s="1" t="str">
        <f>"قرارداد فروش"</f>
        <v>قرارداد فروش</v>
      </c>
      <c r="T1606" s="1" t="str">
        <f>"ندارد"</f>
        <v>ندارد</v>
      </c>
      <c r="U1606" s="1" t="str">
        <f>"بهرام زنگنه (1038 ج 93)"</f>
        <v>بهرام زنگنه (1038 ج 93)</v>
      </c>
      <c r="V1606" s="1">
        <v>966200365</v>
      </c>
      <c r="W1606" s="1">
        <v>966200365</v>
      </c>
      <c r="X1606" s="1" t="str">
        <f>"1396523299"</f>
        <v>1396523299</v>
      </c>
      <c r="Y1606" s="1" t="str">
        <f>"96/08/10"</f>
        <v>96/08/10</v>
      </c>
      <c r="Z1606" s="1" t="str">
        <f>"35266/د"</f>
        <v>35266/د</v>
      </c>
      <c r="AA1606" s="1" t="str">
        <f>"بنيادمسكن انقلاب اسلامي"</f>
        <v>بنيادمسكن انقلاب اسلامي</v>
      </c>
      <c r="AB1606" s="1" t="str">
        <f>"96/08/08"</f>
        <v>96/08/08</v>
      </c>
      <c r="AC1606" s="1" t="str">
        <f>"استان سيستان بلوچستان"</f>
        <v>استان سيستان بلوچستان</v>
      </c>
      <c r="AD1606" s="1" t="str">
        <f>"96/08/10"</f>
        <v>96/08/10</v>
      </c>
      <c r="AE1606" s="1" t="str">
        <f>"اختتام"</f>
        <v>اختتام</v>
      </c>
      <c r="AF1606" s="1" t="str">
        <f>""</f>
        <v/>
      </c>
      <c r="AG1606" s="1" t="str">
        <f>""</f>
        <v/>
      </c>
      <c r="AH1606" s="1" t="str">
        <f>""</f>
        <v/>
      </c>
      <c r="AI1606" s="1" t="str">
        <f>""</f>
        <v/>
      </c>
      <c r="AJ1606" s="1" t="str">
        <f>""</f>
        <v/>
      </c>
      <c r="AK1606" s="1" t="str">
        <f>""</f>
        <v/>
      </c>
    </row>
    <row r="1607" spans="1:37">
      <c r="A1607" s="1">
        <v>25000</v>
      </c>
      <c r="B1607" s="1">
        <v>961100133</v>
      </c>
      <c r="C1607" s="1" t="str">
        <f>"تخليه -زنجان كيلومتر9جاده فرودگاه كارخانه آسفالت سارمساقلو"</f>
        <v>تخليه -زنجان كيلومتر9جاده فرودگاه كارخانه آسفالت سارمساقلو</v>
      </c>
      <c r="D1607" s="1">
        <v>16650</v>
      </c>
      <c r="E1607" s="1">
        <v>22900</v>
      </c>
      <c r="F1607" s="1">
        <v>96</v>
      </c>
      <c r="G1607" s="1">
        <v>2100</v>
      </c>
      <c r="H1607" s="1" t="str">
        <f>"96/12/19"</f>
        <v>96/12/19</v>
      </c>
      <c r="I1607" s="1" t="str">
        <f>"كيلوگرم"</f>
        <v>كيلوگرم</v>
      </c>
      <c r="J1607" s="1" t="str">
        <f>"1000000003"</f>
        <v>1000000003</v>
      </c>
      <c r="K1607" s="1" t="str">
        <f>"قير MC250"</f>
        <v>قير MC250</v>
      </c>
      <c r="L1607" s="1">
        <v>100</v>
      </c>
      <c r="M1607" s="1" t="str">
        <f>"مخازن قير اصفهان"</f>
        <v>مخازن قير اصفهان</v>
      </c>
      <c r="N1607" s="1">
        <v>11096</v>
      </c>
      <c r="O1607" s="1">
        <v>50038865</v>
      </c>
      <c r="P1607" s="1" t="str">
        <f>"  شهرداري زنجان"</f>
        <v xml:space="preserve">  شهرداري زنجان</v>
      </c>
      <c r="Q1607" s="1">
        <v>11</v>
      </c>
      <c r="R1607" s="1" t="str">
        <f>"فروش داخلي تهران - بورس"</f>
        <v>فروش داخلي تهران - بورس</v>
      </c>
      <c r="S1607" s="1" t="str">
        <f>"قرارداد فروش"</f>
        <v>قرارداد فروش</v>
      </c>
      <c r="T1607" s="1" t="str">
        <f>"ندارد"</f>
        <v>ندارد</v>
      </c>
      <c r="U1607" s="1" t="str">
        <f>"فتاح زاده سيداحمد(3843011)"</f>
        <v>فتاح زاده سيداحمد(3843011)</v>
      </c>
      <c r="V1607" s="1">
        <v>961100133</v>
      </c>
      <c r="W1607" s="1">
        <v>961100133</v>
      </c>
      <c r="X1607" s="1" t="str">
        <f>"1396553746"</f>
        <v>1396553746</v>
      </c>
      <c r="Y1607" s="1" t="str">
        <f>"96/12/19"</f>
        <v>96/12/19</v>
      </c>
      <c r="Z1607" s="1" t="str">
        <f>"96/2/53560/ص"</f>
        <v>96/2/53560/ص</v>
      </c>
      <c r="AA1607" s="1" t="str">
        <f>"شهرداريها"</f>
        <v>شهرداريها</v>
      </c>
      <c r="AB1607" s="1" t="str">
        <f>"96/12/08"</f>
        <v>96/12/08</v>
      </c>
      <c r="AC1607" s="1" t="str">
        <f>"استان زنجان"</f>
        <v>استان زنجان</v>
      </c>
      <c r="AD1607" s="1" t="str">
        <f>"96/12/19"</f>
        <v>96/12/19</v>
      </c>
      <c r="AE1607" s="1" t="str">
        <f>"اختتام"</f>
        <v>اختتام</v>
      </c>
      <c r="AF1607" s="1" t="str">
        <f>""</f>
        <v/>
      </c>
      <c r="AG1607" s="1" t="str">
        <f>""</f>
        <v/>
      </c>
      <c r="AH1607" s="1" t="str">
        <f>""</f>
        <v/>
      </c>
      <c r="AI1607" s="1" t="str">
        <f>""</f>
        <v/>
      </c>
      <c r="AJ1607" s="1" t="str">
        <f>""</f>
        <v/>
      </c>
      <c r="AK1607" s="1" t="str">
        <f>""</f>
        <v/>
      </c>
    </row>
    <row r="1608" spans="1:37">
      <c r="A1608" s="1">
        <v>37000</v>
      </c>
      <c r="B1608" s="1">
        <v>966200438</v>
      </c>
      <c r="C1608" s="1" t="str">
        <f>"تخليه خراسان جنوبي بيرجندكيلومتر15جاده بيرجند-خوسف جنب كويرتايرابتداي جاده كات كارخانه آسفالت مسيرياب بيرجند"</f>
        <v>تخليه خراسان جنوبي بيرجندكيلومتر15جاده بيرجند-خوسف جنب كويرتايرابتداي جاده كات كارخانه آسفالت مسيرياب بيرجند</v>
      </c>
      <c r="D1608" s="1">
        <v>15947</v>
      </c>
      <c r="E1608" s="1">
        <v>35600</v>
      </c>
      <c r="F1608" s="1">
        <v>96</v>
      </c>
      <c r="G1608" s="1">
        <v>1400</v>
      </c>
      <c r="H1608" s="1" t="str">
        <f>"96/09/20"</f>
        <v>96/09/20</v>
      </c>
      <c r="I1608" s="1" t="str">
        <f>"كيلوگرم"</f>
        <v>كيلوگرم</v>
      </c>
      <c r="J1608" s="1" t="str">
        <f>"1000000003"</f>
        <v>1000000003</v>
      </c>
      <c r="K1608" s="1" t="str">
        <f>"قير MC250"</f>
        <v>قير MC250</v>
      </c>
      <c r="L1608" s="1">
        <v>100</v>
      </c>
      <c r="M1608" s="1" t="str">
        <f>"مخازن قير اصفهان"</f>
        <v>مخازن قير اصفهان</v>
      </c>
      <c r="N1608" s="1">
        <v>11109</v>
      </c>
      <c r="O1608" s="1">
        <v>50037629</v>
      </c>
      <c r="P1608" s="1" t="str">
        <f>"  راهسازي وساختمان مسيرياب بيرجند"</f>
        <v xml:space="preserve">  راهسازي وساختمان مسيرياب بيرجند</v>
      </c>
      <c r="Q1608" s="1">
        <v>62</v>
      </c>
      <c r="R1608" s="1" t="str">
        <f>"فروش داخلي - سازمان بنيادمسكن انقلاب اسلامي"</f>
        <v>فروش داخلي - سازمان بنيادمسكن انقلاب اسلامي</v>
      </c>
      <c r="S1608" s="1" t="str">
        <f>"قرارداد فروش"</f>
        <v>قرارداد فروش</v>
      </c>
      <c r="T1608" s="1" t="str">
        <f>"ندارد"</f>
        <v>ندارد</v>
      </c>
      <c r="U1608" s="1" t="str">
        <f>"كاردان اسپادان راه مصطفي  (1911100)"</f>
        <v>كاردان اسپادان راه مصطفي  (1911100)</v>
      </c>
      <c r="V1608" s="1">
        <v>966200438</v>
      </c>
      <c r="W1608" s="1">
        <v>966200438</v>
      </c>
      <c r="X1608" s="1" t="str">
        <f>"1396531358"</f>
        <v>1396531358</v>
      </c>
      <c r="Y1608" s="1" t="str">
        <f>"96/09/20"</f>
        <v>96/09/20</v>
      </c>
      <c r="Z1608" s="1" t="str">
        <f>"41352/د"</f>
        <v>41352/د</v>
      </c>
      <c r="AA1608" s="1" t="str">
        <f>"بنيادمسكن انقلاب اسلامي"</f>
        <v>بنيادمسكن انقلاب اسلامي</v>
      </c>
      <c r="AB1608" s="1" t="str">
        <f>"96/09/20"</f>
        <v>96/09/20</v>
      </c>
      <c r="AC1608" s="1" t="str">
        <f>"خراسان جنوبي"</f>
        <v>خراسان جنوبي</v>
      </c>
      <c r="AD1608" s="1" t="str">
        <f>"96/09/20"</f>
        <v>96/09/20</v>
      </c>
      <c r="AE1608" s="1" t="str">
        <f>"اختتام"</f>
        <v>اختتام</v>
      </c>
      <c r="AF1608" s="1" t="str">
        <f>""</f>
        <v/>
      </c>
      <c r="AG1608" s="1" t="str">
        <f>""</f>
        <v/>
      </c>
      <c r="AH1608" s="1" t="str">
        <f>""</f>
        <v/>
      </c>
      <c r="AI1608" s="1" t="str">
        <f>""</f>
        <v/>
      </c>
      <c r="AJ1608" s="1" t="str">
        <f>""</f>
        <v/>
      </c>
      <c r="AK1608" s="1" t="str">
        <f>""</f>
        <v/>
      </c>
    </row>
    <row r="1609" spans="1:37">
      <c r="A1609" s="1">
        <v>350000</v>
      </c>
      <c r="B1609" s="1">
        <v>966200358</v>
      </c>
      <c r="C1609" s="1" t="str">
        <f>"تخليه-کهگيلويه -دهدشت روستاي خيرآباد-کارخانه آسفالت مظفر"</f>
        <v>تخليه-کهگيلويه -دهدشت روستاي خيرآباد-کارخانه آسفالت مظفر</v>
      </c>
      <c r="D1609" s="1">
        <v>9416</v>
      </c>
      <c r="E1609" s="1">
        <v>346900</v>
      </c>
      <c r="F1609" s="1">
        <v>96</v>
      </c>
      <c r="G1609" s="1">
        <v>3100</v>
      </c>
      <c r="H1609" s="1" t="str">
        <f>"96/08/09"</f>
        <v>96/08/09</v>
      </c>
      <c r="I1609" s="1" t="str">
        <f>"كيلوگرم"</f>
        <v>كيلوگرم</v>
      </c>
      <c r="J1609" s="1" t="str">
        <f>"0000000076"</f>
        <v>0000000076</v>
      </c>
      <c r="K1609" s="1" t="str">
        <f>"قير 60/70 - فله"</f>
        <v>قير 60/70 - فله</v>
      </c>
      <c r="L1609" s="1">
        <v>100</v>
      </c>
      <c r="M1609" s="1" t="str">
        <f>"مخازن قير اصفهان"</f>
        <v>مخازن قير اصفهان</v>
      </c>
      <c r="N1609" s="1">
        <v>11185</v>
      </c>
      <c r="O1609" s="1">
        <v>50036972</v>
      </c>
      <c r="P1609" s="1" t="str">
        <f>"  طاق کسري رييسي"</f>
        <v xml:space="preserve">  طاق کسري رييسي</v>
      </c>
      <c r="Q1609" s="1">
        <v>62</v>
      </c>
      <c r="R1609" s="1" t="str">
        <f>"فروش داخلي - سازمان بنيادمسكن انقلاب اسلامي"</f>
        <v>فروش داخلي - سازمان بنيادمسكن انقلاب اسلامي</v>
      </c>
      <c r="S1609" s="1" t="str">
        <f>"قرارداد فروش"</f>
        <v>قرارداد فروش</v>
      </c>
      <c r="T1609" s="1" t="str">
        <f>"ندارد"</f>
        <v>ندارد</v>
      </c>
      <c r="U1609" s="1" t="str">
        <f>"غلام نجفي سيامك‌‌‌‌‌‌(1881082)"</f>
        <v>غلام نجفي سيامك‌‌‌‌‌‌(1881082)</v>
      </c>
      <c r="V1609" s="1">
        <v>966200358</v>
      </c>
      <c r="W1609" s="1">
        <v>966200358</v>
      </c>
      <c r="X1609" s="1" t="str">
        <f>"1396522408"</f>
        <v>1396522408</v>
      </c>
      <c r="Y1609" s="1" t="str">
        <f>"96/08/09"</f>
        <v>96/08/09</v>
      </c>
      <c r="Z1609" s="1" t="str">
        <f>"35251/د"</f>
        <v>35251/د</v>
      </c>
      <c r="AA1609" s="1" t="str">
        <f>"بنيادمسكن انقلاب اسلامي"</f>
        <v>بنيادمسكن انقلاب اسلامي</v>
      </c>
      <c r="AB1609" s="1" t="str">
        <f>"96/08/08"</f>
        <v>96/08/08</v>
      </c>
      <c r="AC1609" s="1" t="str">
        <f>"كهكيلويه و بوير احمد"</f>
        <v>كهكيلويه و بوير احمد</v>
      </c>
      <c r="AD1609" s="1" t="str">
        <f>"96/08/09"</f>
        <v>96/08/09</v>
      </c>
      <c r="AE1609" s="1" t="str">
        <f>"اختتام"</f>
        <v>اختتام</v>
      </c>
      <c r="AF1609" s="1" t="str">
        <f>""</f>
        <v/>
      </c>
      <c r="AG1609" s="1" t="str">
        <f>""</f>
        <v/>
      </c>
      <c r="AH1609" s="1" t="str">
        <f>""</f>
        <v/>
      </c>
      <c r="AI1609" s="1" t="str">
        <f>""</f>
        <v/>
      </c>
      <c r="AJ1609" s="1" t="str">
        <f>""</f>
        <v/>
      </c>
      <c r="AK1609" s="1" t="str">
        <f>""</f>
        <v/>
      </c>
    </row>
    <row r="1610" spans="1:37">
      <c r="A1610" s="1">
        <v>30000</v>
      </c>
      <c r="B1610" s="1">
        <v>966200628</v>
      </c>
      <c r="C1610" s="1" t="str">
        <f>"تخليه - کهگيلويه- دهدشت-خيرآباد -کارخانه آسفالت مظاهري"</f>
        <v>تخليه - کهگيلويه- دهدشت-خيرآباد -کارخانه آسفالت مظاهري</v>
      </c>
      <c r="D1610" s="1">
        <v>13350</v>
      </c>
      <c r="E1610" s="1">
        <v>29600</v>
      </c>
      <c r="F1610" s="1">
        <v>96</v>
      </c>
      <c r="G1610" s="1">
        <v>400</v>
      </c>
      <c r="H1610" s="1" t="str">
        <f>"96/12/12"</f>
        <v>96/12/12</v>
      </c>
      <c r="I1610" s="1" t="str">
        <f>"كيلوگرم"</f>
        <v>كيلوگرم</v>
      </c>
      <c r="J1610" s="1" t="str">
        <f>"0000000076"</f>
        <v>0000000076</v>
      </c>
      <c r="K1610" s="1" t="str">
        <f>"قير 60/70 - فله"</f>
        <v>قير 60/70 - فله</v>
      </c>
      <c r="L1610" s="1">
        <v>100</v>
      </c>
      <c r="M1610" s="1" t="str">
        <f>"مخازن قير اصفهان"</f>
        <v>مخازن قير اصفهان</v>
      </c>
      <c r="N1610" s="1">
        <v>11187</v>
      </c>
      <c r="O1610" s="1">
        <v>50038706</v>
      </c>
      <c r="P1610" s="1" t="str">
        <f>"  ساعي نصر"</f>
        <v xml:space="preserve">  ساعي نصر</v>
      </c>
      <c r="Q1610" s="1">
        <v>62</v>
      </c>
      <c r="R1610" s="1" t="str">
        <f>"فروش داخلي - سازمان بنيادمسكن انقلاب اسلامي"</f>
        <v>فروش داخلي - سازمان بنيادمسكن انقلاب اسلامي</v>
      </c>
      <c r="S1610" s="1" t="str">
        <f>"قرارداد فروش"</f>
        <v>قرارداد فروش</v>
      </c>
      <c r="T1610" s="1" t="str">
        <f>"ندارد"</f>
        <v>ندارد</v>
      </c>
      <c r="U1610" s="1" t="str">
        <f>"غلام نجفي سيامك‌‌‌‌‌‌(1881082)"</f>
        <v>غلام نجفي سيامك‌‌‌‌‌‌(1881082)</v>
      </c>
      <c r="V1610" s="1">
        <v>966200628</v>
      </c>
      <c r="W1610" s="1">
        <v>966200628</v>
      </c>
      <c r="X1610" s="1" t="str">
        <f>"1396551836"</f>
        <v>1396551836</v>
      </c>
      <c r="Y1610" s="1" t="str">
        <f>"96/12/12"</f>
        <v>96/12/12</v>
      </c>
      <c r="Z1610" s="1" t="str">
        <f>"56011/د"</f>
        <v>56011/د</v>
      </c>
      <c r="AA1610" s="1" t="str">
        <f>"بنيادمسكن انقلاب اسلامي"</f>
        <v>بنيادمسكن انقلاب اسلامي</v>
      </c>
      <c r="AB1610" s="1" t="str">
        <f>"96/12/09"</f>
        <v>96/12/09</v>
      </c>
      <c r="AC1610" s="1" t="str">
        <f>"كهكيلويه و بوير احمد"</f>
        <v>كهكيلويه و بوير احمد</v>
      </c>
      <c r="AD1610" s="1" t="str">
        <f>"96/12/12"</f>
        <v>96/12/12</v>
      </c>
      <c r="AE1610" s="1" t="str">
        <f>"اختتام"</f>
        <v>اختتام</v>
      </c>
      <c r="AF1610" s="1" t="str">
        <f>""</f>
        <v/>
      </c>
      <c r="AG1610" s="1" t="str">
        <f>""</f>
        <v/>
      </c>
      <c r="AH1610" s="1" t="str">
        <f>""</f>
        <v/>
      </c>
      <c r="AI1610" s="1" t="str">
        <f>""</f>
        <v/>
      </c>
      <c r="AJ1610" s="1" t="str">
        <f>""</f>
        <v/>
      </c>
      <c r="AK1610" s="1" t="str">
        <f>""</f>
        <v/>
      </c>
    </row>
    <row r="1611" spans="1:37">
      <c r="A1611" s="1">
        <v>61000</v>
      </c>
      <c r="B1611" s="1">
        <v>966200625</v>
      </c>
      <c r="C1611" s="1" t="str">
        <f>"تخليه - کهگيلويه و بويراحمد-باشت-روستاي سرآبيز-کارخانه آسفالت آقاي حسيني"</f>
        <v>تخليه - کهگيلويه و بويراحمد-باشت-روستاي سرآبيز-کارخانه آسفالت آقاي حسيني</v>
      </c>
      <c r="D1611" s="1">
        <v>13350</v>
      </c>
      <c r="E1611" s="1">
        <v>60640</v>
      </c>
      <c r="F1611" s="1">
        <v>96</v>
      </c>
      <c r="G1611" s="1">
        <v>360</v>
      </c>
      <c r="H1611" s="1" t="str">
        <f>"96/12/12"</f>
        <v>96/12/12</v>
      </c>
      <c r="I1611" s="1" t="str">
        <f>"كيلوگرم"</f>
        <v>كيلوگرم</v>
      </c>
      <c r="J1611" s="1" t="str">
        <f>"0000000076"</f>
        <v>0000000076</v>
      </c>
      <c r="K1611" s="1" t="str">
        <f>"قير 60/70 - فله"</f>
        <v>قير 60/70 - فله</v>
      </c>
      <c r="L1611" s="1">
        <v>100</v>
      </c>
      <c r="M1611" s="1" t="str">
        <f>"مخازن قير اصفهان"</f>
        <v>مخازن قير اصفهان</v>
      </c>
      <c r="N1611" s="1">
        <v>11189</v>
      </c>
      <c r="O1611" s="1">
        <v>50038700</v>
      </c>
      <c r="P1611" s="1" t="str">
        <f>"  ساحل عمران تنگه تنگاري"</f>
        <v xml:space="preserve">  ساحل عمران تنگه تنگاري</v>
      </c>
      <c r="Q1611" s="1">
        <v>62</v>
      </c>
      <c r="R1611" s="1" t="str">
        <f>"فروش داخلي - سازمان بنيادمسكن انقلاب اسلامي"</f>
        <v>فروش داخلي - سازمان بنيادمسكن انقلاب اسلامي</v>
      </c>
      <c r="S1611" s="1" t="str">
        <f>"قرارداد فروش"</f>
        <v>قرارداد فروش</v>
      </c>
      <c r="T1611" s="1" t="str">
        <f>"ندارد"</f>
        <v>ندارد</v>
      </c>
      <c r="U1611" s="1" t="str">
        <f>"غلام نجفي سيامك‌‌‌‌‌‌(1881082)"</f>
        <v>غلام نجفي سيامك‌‌‌‌‌‌(1881082)</v>
      </c>
      <c r="V1611" s="1">
        <v>966200625</v>
      </c>
      <c r="W1611" s="1">
        <v>966200625</v>
      </c>
      <c r="X1611" s="1" t="str">
        <f>"1396551836"</f>
        <v>1396551836</v>
      </c>
      <c r="Y1611" s="1" t="str">
        <f>"96/12/12"</f>
        <v>96/12/12</v>
      </c>
      <c r="Z1611" s="1" t="str">
        <f>"56010/د"</f>
        <v>56010/د</v>
      </c>
      <c r="AA1611" s="1" t="str">
        <f>"بنيادمسكن انقلاب اسلامي"</f>
        <v>بنيادمسكن انقلاب اسلامي</v>
      </c>
      <c r="AB1611" s="1" t="str">
        <f>"96/12/09"</f>
        <v>96/12/09</v>
      </c>
      <c r="AC1611" s="1" t="str">
        <f>"كهكيلويه و بوير احمد"</f>
        <v>كهكيلويه و بوير احمد</v>
      </c>
      <c r="AD1611" s="1" t="str">
        <f>"96/12/12"</f>
        <v>96/12/12</v>
      </c>
      <c r="AE1611" s="1" t="str">
        <f>"اختتام"</f>
        <v>اختتام</v>
      </c>
      <c r="AF1611" s="1" t="str">
        <f>""</f>
        <v/>
      </c>
      <c r="AG1611" s="1" t="str">
        <f>""</f>
        <v/>
      </c>
      <c r="AH1611" s="1" t="str">
        <f>""</f>
        <v/>
      </c>
      <c r="AI1611" s="1" t="str">
        <f>""</f>
        <v/>
      </c>
      <c r="AJ1611" s="1" t="str">
        <f>""</f>
        <v/>
      </c>
      <c r="AK1611" s="1" t="str">
        <f>""</f>
        <v/>
      </c>
    </row>
    <row r="1612" spans="1:37">
      <c r="A1612" s="1">
        <v>200000</v>
      </c>
      <c r="B1612" s="1">
        <v>966200706</v>
      </c>
      <c r="C1612" s="1" t="str">
        <f>"تخليه كهگيلويه گچساران روستاي سرآبيز كارخانه آسفالت آقاي حسيني"</f>
        <v>تخليه كهگيلويه گچساران روستاي سرآبيز كارخانه آسفالت آقاي حسيني</v>
      </c>
      <c r="D1612" s="1">
        <v>13350</v>
      </c>
      <c r="E1612" s="1">
        <v>200000</v>
      </c>
      <c r="F1612" s="1">
        <v>96</v>
      </c>
      <c r="G1612" s="1">
        <v>0</v>
      </c>
      <c r="H1612" s="1" t="str">
        <f>"96/12/26"</f>
        <v>96/12/26</v>
      </c>
      <c r="I1612" s="1" t="str">
        <f>"كيلوگرم"</f>
        <v>كيلوگرم</v>
      </c>
      <c r="J1612" s="1" t="str">
        <f>"0000000076"</f>
        <v>0000000076</v>
      </c>
      <c r="K1612" s="1" t="str">
        <f>"قير 60/70 - فله"</f>
        <v>قير 60/70 - فله</v>
      </c>
      <c r="L1612" s="1">
        <v>100</v>
      </c>
      <c r="M1612" s="1" t="str">
        <f>"مخازن قير اصفهان"</f>
        <v>مخازن قير اصفهان</v>
      </c>
      <c r="N1612" s="1">
        <v>11189</v>
      </c>
      <c r="O1612" s="1">
        <v>50039052</v>
      </c>
      <c r="P1612" s="1" t="str">
        <f>"  ساحل عمران تنگه تنگاري"</f>
        <v xml:space="preserve">  ساحل عمران تنگه تنگاري</v>
      </c>
      <c r="Q1612" s="1">
        <v>62</v>
      </c>
      <c r="R1612" s="1" t="str">
        <f>"فروش داخلي - سازمان بنيادمسكن انقلاب اسلامي"</f>
        <v>فروش داخلي - سازمان بنيادمسكن انقلاب اسلامي</v>
      </c>
      <c r="S1612" s="1" t="str">
        <f>"قرارداد فروش"</f>
        <v>قرارداد فروش</v>
      </c>
      <c r="T1612" s="1" t="str">
        <f>"ندارد"</f>
        <v>ندارد</v>
      </c>
      <c r="U1612" s="1" t="str">
        <f>"غلام نجفي سيامك‌‌‌‌‌‌(1881082)"</f>
        <v>غلام نجفي سيامك‌‌‌‌‌‌(1881082)</v>
      </c>
      <c r="V1612" s="1">
        <v>966200706</v>
      </c>
      <c r="W1612" s="1">
        <v>966200706</v>
      </c>
      <c r="X1612" s="1" t="str">
        <f>"1396555371"</f>
        <v>1396555371</v>
      </c>
      <c r="Y1612" s="1" t="str">
        <f>"96/12/26"</f>
        <v>96/12/26</v>
      </c>
      <c r="Z1612" s="1" t="str">
        <f>"59470/د"</f>
        <v>59470/د</v>
      </c>
      <c r="AA1612" s="1" t="str">
        <f>"بنيادمسكن انقلاب اسلامي"</f>
        <v>بنيادمسكن انقلاب اسلامي</v>
      </c>
      <c r="AB1612" s="1" t="str">
        <f>"96/12/23"</f>
        <v>96/12/23</v>
      </c>
      <c r="AC1612" s="1" t="str">
        <f>"كهكيلويه و بوير احمد"</f>
        <v>كهكيلويه و بوير احمد</v>
      </c>
      <c r="AD1612" s="1" t="str">
        <f>"96/12/26"</f>
        <v>96/12/26</v>
      </c>
      <c r="AE1612" s="1" t="str">
        <f>"اختتام"</f>
        <v>اختتام</v>
      </c>
      <c r="AF1612" s="1" t="str">
        <f>""</f>
        <v/>
      </c>
      <c r="AG1612" s="1" t="str">
        <f>""</f>
        <v/>
      </c>
      <c r="AH1612" s="1" t="str">
        <f>""</f>
        <v/>
      </c>
      <c r="AI1612" s="1" t="str">
        <f>""</f>
        <v/>
      </c>
      <c r="AJ1612" s="1" t="str">
        <f>""</f>
        <v/>
      </c>
      <c r="AK1612" s="1" t="str">
        <f>""</f>
        <v/>
      </c>
    </row>
    <row r="1613" spans="1:37">
      <c r="A1613" s="1">
        <v>500000</v>
      </c>
      <c r="B1613" s="1">
        <v>966200733</v>
      </c>
      <c r="C1613" s="1" t="str">
        <f>"تخليه - کهگيلويه - بهبهان-روستاي خيرآباد-کارخانه آسفالت مظفر"</f>
        <v>تخليه - کهگيلويه - بهبهان-روستاي خيرآباد-کارخانه آسفالت مظفر</v>
      </c>
      <c r="D1613" s="1">
        <v>13350</v>
      </c>
      <c r="E1613" s="1">
        <v>500000</v>
      </c>
      <c r="F1613" s="1">
        <v>96</v>
      </c>
      <c r="G1613" s="1">
        <v>0</v>
      </c>
      <c r="H1613" s="1" t="str">
        <f>"96/12/26"</f>
        <v>96/12/26</v>
      </c>
      <c r="I1613" s="1" t="str">
        <f>"كيلوگرم"</f>
        <v>كيلوگرم</v>
      </c>
      <c r="J1613" s="1" t="str">
        <f>"0000000076"</f>
        <v>0000000076</v>
      </c>
      <c r="K1613" s="1" t="str">
        <f>"قير 60/70 - فله"</f>
        <v>قير 60/70 - فله</v>
      </c>
      <c r="L1613" s="1">
        <v>100</v>
      </c>
      <c r="M1613" s="1" t="str">
        <f>"مخازن قير اصفهان"</f>
        <v>مخازن قير اصفهان</v>
      </c>
      <c r="N1613" s="1">
        <v>11199</v>
      </c>
      <c r="O1613" s="1">
        <v>50039114</v>
      </c>
      <c r="P1613" s="1" t="str">
        <f>"  ماهان گذر ارجان"</f>
        <v xml:space="preserve">  ماهان گذر ارجان</v>
      </c>
      <c r="Q1613" s="1">
        <v>62</v>
      </c>
      <c r="R1613" s="1" t="str">
        <f>"فروش داخلي - سازمان بنيادمسكن انقلاب اسلامي"</f>
        <v>فروش داخلي - سازمان بنيادمسكن انقلاب اسلامي</v>
      </c>
      <c r="S1613" s="1" t="str">
        <f>"قرارداد فروش"</f>
        <v>قرارداد فروش</v>
      </c>
      <c r="T1613" s="1" t="str">
        <f>"ندارد"</f>
        <v>ندارد</v>
      </c>
      <c r="U1613" s="1" t="str">
        <f>"غلام نجفي سيامك‌‌‌‌‌‌(1881082)"</f>
        <v>غلام نجفي سيامك‌‌‌‌‌‌(1881082)</v>
      </c>
      <c r="V1613" s="1">
        <v>966200733</v>
      </c>
      <c r="W1613" s="1">
        <v>966200733</v>
      </c>
      <c r="X1613" s="1" t="str">
        <f>"1396555422"</f>
        <v>1396555422</v>
      </c>
      <c r="Y1613" s="1" t="str">
        <f>"96/12/26"</f>
        <v>96/12/26</v>
      </c>
      <c r="Z1613" s="1" t="str">
        <f>"59443/د"</f>
        <v>59443/د</v>
      </c>
      <c r="AA1613" s="1" t="str">
        <f>"بنيادمسكن انقلاب اسلامي"</f>
        <v>بنيادمسكن انقلاب اسلامي</v>
      </c>
      <c r="AB1613" s="1" t="str">
        <f>"96/12/23"</f>
        <v>96/12/23</v>
      </c>
      <c r="AC1613" s="1" t="str">
        <f>"كهكيلويه و بوير احمد"</f>
        <v>كهكيلويه و بوير احمد</v>
      </c>
      <c r="AD1613" s="1" t="str">
        <f>"96/12/26"</f>
        <v>96/12/26</v>
      </c>
      <c r="AE1613" s="1" t="str">
        <f>"اختتام"</f>
        <v>اختتام</v>
      </c>
      <c r="AF1613" s="1" t="str">
        <f>""</f>
        <v/>
      </c>
      <c r="AG1613" s="1" t="str">
        <f>""</f>
        <v/>
      </c>
      <c r="AH1613" s="1" t="str">
        <f>""</f>
        <v/>
      </c>
      <c r="AI1613" s="1" t="str">
        <f>""</f>
        <v/>
      </c>
      <c r="AJ1613" s="1" t="str">
        <f>""</f>
        <v/>
      </c>
      <c r="AK1613" s="1" t="str">
        <f>""</f>
        <v/>
      </c>
    </row>
    <row r="1614" spans="1:37">
      <c r="A1614" s="1">
        <v>24000</v>
      </c>
      <c r="B1614" s="1">
        <v>966200328</v>
      </c>
      <c r="C1614" s="1" t="str">
        <f>"تخليه ايلام آبدانان روستاي ماهوته كارخانه آسفالت شركت شناشيل سازان آبدانان"</f>
        <v>تخليه ايلام آبدانان روستاي ماهوته كارخانه آسفالت شركت شناشيل سازان آبدانان</v>
      </c>
      <c r="D1614" s="1">
        <v>12777</v>
      </c>
      <c r="E1614" s="1">
        <v>22780</v>
      </c>
      <c r="F1614" s="1">
        <v>96</v>
      </c>
      <c r="G1614" s="1">
        <v>1220</v>
      </c>
      <c r="H1614" s="1" t="str">
        <f>"96/07/24"</f>
        <v>96/07/24</v>
      </c>
      <c r="I1614" s="1" t="str">
        <f>"كيلوگرم"</f>
        <v>كيلوگرم</v>
      </c>
      <c r="J1614" s="1" t="str">
        <f>"1000000003"</f>
        <v>1000000003</v>
      </c>
      <c r="K1614" s="1" t="str">
        <f>"قير MC250"</f>
        <v>قير MC250</v>
      </c>
      <c r="L1614" s="1">
        <v>100</v>
      </c>
      <c r="M1614" s="1" t="str">
        <f>"مخازن قير اصفهان"</f>
        <v>مخازن قير اصفهان</v>
      </c>
      <c r="N1614" s="1">
        <v>10693</v>
      </c>
      <c r="O1614" s="1">
        <v>50036758</v>
      </c>
      <c r="P1614" s="1" t="str">
        <f>"  شناشيل سازان آبدانان"</f>
        <v xml:space="preserve">  شناشيل سازان آبدانان</v>
      </c>
      <c r="Q1614" s="1">
        <v>62</v>
      </c>
      <c r="R1614" s="1" t="str">
        <f>"فروش داخلي - سازمان بنيادمسكن انقلاب اسلامي"</f>
        <v>فروش داخلي - سازمان بنيادمسكن انقلاب اسلامي</v>
      </c>
      <c r="S1614" s="1" t="str">
        <f>"قرارداد فروش"</f>
        <v>قرارداد فروش</v>
      </c>
      <c r="T1614" s="1" t="str">
        <f>"ندارد"</f>
        <v>ندارد</v>
      </c>
      <c r="U1614" s="1" t="str">
        <f>"عظيمي محمد(2842015)"</f>
        <v>عظيمي محمد(2842015)</v>
      </c>
      <c r="V1614" s="1">
        <v>966200328</v>
      </c>
      <c r="W1614" s="1">
        <v>966200328</v>
      </c>
      <c r="X1614" s="1" t="str">
        <f>"1396518905"</f>
        <v>1396518905</v>
      </c>
      <c r="Y1614" s="1" t="str">
        <f>"96/07/24"</f>
        <v>96/07/24</v>
      </c>
      <c r="Z1614" s="1" t="str">
        <f>"32894/د"</f>
        <v>32894/د</v>
      </c>
      <c r="AA1614" s="1" t="str">
        <f>"بنيادمسكن انقلاب اسلامي"</f>
        <v>بنيادمسكن انقلاب اسلامي</v>
      </c>
      <c r="AB1614" s="1" t="str">
        <f>"96/07/24"</f>
        <v>96/07/24</v>
      </c>
      <c r="AC1614" s="1" t="str">
        <f>"استان ايلام"</f>
        <v>استان ايلام</v>
      </c>
      <c r="AD1614" s="1" t="str">
        <f>"96/07/24"</f>
        <v>96/07/24</v>
      </c>
      <c r="AE1614" s="1" t="str">
        <f>"اختتام"</f>
        <v>اختتام</v>
      </c>
      <c r="AF1614" s="1" t="str">
        <f>""</f>
        <v/>
      </c>
      <c r="AG1614" s="1" t="str">
        <f>""</f>
        <v/>
      </c>
      <c r="AH1614" s="1" t="str">
        <f>""</f>
        <v/>
      </c>
      <c r="AI1614" s="1" t="str">
        <f>""</f>
        <v/>
      </c>
      <c r="AJ1614" s="1" t="str">
        <f>""</f>
        <v/>
      </c>
      <c r="AK1614" s="1" t="str">
        <f>""</f>
        <v/>
      </c>
    </row>
    <row r="1615" spans="1:37">
      <c r="A1615" s="1">
        <v>30000</v>
      </c>
      <c r="B1615" s="1">
        <v>966200047</v>
      </c>
      <c r="C1615" s="1" t="str">
        <f>"تخليه - هرمزگان-شهرستان پارسيان-روبروي روستاي عماني"</f>
        <v>تخليه - هرمزگان-شهرستان پارسيان-روبروي روستاي عماني</v>
      </c>
      <c r="D1615" s="1">
        <v>12482</v>
      </c>
      <c r="E1615" s="1">
        <v>28320</v>
      </c>
      <c r="F1615" s="1">
        <v>96</v>
      </c>
      <c r="G1615" s="1">
        <v>1680</v>
      </c>
      <c r="H1615" s="1" t="str">
        <f>"96/02/06"</f>
        <v>96/02/06</v>
      </c>
      <c r="I1615" s="1" t="str">
        <f>"كيلوگرم"</f>
        <v>كيلوگرم</v>
      </c>
      <c r="J1615" s="1" t="str">
        <f>"1000000003"</f>
        <v>1000000003</v>
      </c>
      <c r="K1615" s="1" t="str">
        <f>"قير MC250"</f>
        <v>قير MC250</v>
      </c>
      <c r="L1615" s="1">
        <v>100</v>
      </c>
      <c r="M1615" s="1" t="str">
        <f>"مخازن قير اصفهان"</f>
        <v>مخازن قير اصفهان</v>
      </c>
      <c r="N1615" s="1">
        <v>11341</v>
      </c>
      <c r="O1615" s="1">
        <v>50034693</v>
      </c>
      <c r="P1615" s="1" t="str">
        <f>"  ساروج گستر فومستان"</f>
        <v xml:space="preserve">  ساروج گستر فومستان</v>
      </c>
      <c r="Q1615" s="1">
        <v>62</v>
      </c>
      <c r="R1615" s="1" t="str">
        <f>"فروش داخلي - سازمان بنيادمسكن انقلاب اسلامي"</f>
        <v>فروش داخلي - سازمان بنيادمسكن انقلاب اسلامي</v>
      </c>
      <c r="S1615" s="1" t="str">
        <f>"قرارداد فروش"</f>
        <v>قرارداد فروش</v>
      </c>
      <c r="T1615" s="1" t="str">
        <f>"ندارد"</f>
        <v>ندارد</v>
      </c>
      <c r="U1615" s="1" t="str">
        <f>"حاصليان ترابرجنوب مرتضي حاصلي (4844006)"</f>
        <v>حاصليان ترابرجنوب مرتضي حاصلي (4844006)</v>
      </c>
      <c r="V1615" s="1">
        <v>966200047</v>
      </c>
      <c r="W1615" s="1">
        <v>966200047</v>
      </c>
      <c r="X1615" s="1" t="str">
        <f>"1396477335"</f>
        <v>1396477335</v>
      </c>
      <c r="Y1615" s="1" t="str">
        <f>"96/02/06"</f>
        <v>96/02/06</v>
      </c>
      <c r="Z1615" s="1" t="str">
        <f>"3286/د"</f>
        <v>3286/د</v>
      </c>
      <c r="AA1615" s="1" t="str">
        <f>"بنيادمسكن انقلاب اسلامي"</f>
        <v>بنيادمسكن انقلاب اسلامي</v>
      </c>
      <c r="AB1615" s="1" t="str">
        <f>"96/02/03"</f>
        <v>96/02/03</v>
      </c>
      <c r="AC1615" s="1" t="str">
        <f>"استان هرمزگان"</f>
        <v>استان هرمزگان</v>
      </c>
      <c r="AD1615" s="1" t="str">
        <f>"96/02/06"</f>
        <v>96/02/06</v>
      </c>
      <c r="AE1615" s="1" t="str">
        <f>"اختتام"</f>
        <v>اختتام</v>
      </c>
      <c r="AF1615" s="1" t="str">
        <f>""</f>
        <v/>
      </c>
      <c r="AG1615" s="1" t="str">
        <f>""</f>
        <v/>
      </c>
      <c r="AH1615" s="1" t="str">
        <f>""</f>
        <v/>
      </c>
      <c r="AI1615" s="1" t="str">
        <f>""</f>
        <v/>
      </c>
      <c r="AJ1615" s="1" t="str">
        <f>""</f>
        <v/>
      </c>
      <c r="AK1615" s="1" t="str">
        <f>""</f>
        <v/>
      </c>
    </row>
    <row r="1616" spans="1:37">
      <c r="A1616" s="1">
        <v>22000</v>
      </c>
      <c r="B1616" s="1">
        <v>966200051</v>
      </c>
      <c r="C1616" s="1" t="str">
        <f>"تخليه - هرمزگان-سيريک-جاده ميناب سندرک-بعداز پمپ بنزين آناميس-کارخانه آسفالت شرکت ميناب سامان جنوب"</f>
        <v>تخليه - هرمزگان-سيريک-جاده ميناب سندرک-بعداز پمپ بنزين آناميس-کارخانه آسفالت شرکت ميناب سامان جنوب</v>
      </c>
      <c r="D1616" s="1">
        <v>12482</v>
      </c>
      <c r="E1616" s="1">
        <v>20680</v>
      </c>
      <c r="F1616" s="1">
        <v>96</v>
      </c>
      <c r="G1616" s="1">
        <v>1320</v>
      </c>
      <c r="H1616" s="1" t="str">
        <f>"96/02/06"</f>
        <v>96/02/06</v>
      </c>
      <c r="I1616" s="1" t="str">
        <f>"كيلوگرم"</f>
        <v>كيلوگرم</v>
      </c>
      <c r="J1616" s="1" t="str">
        <f>"1000000003"</f>
        <v>1000000003</v>
      </c>
      <c r="K1616" s="1" t="str">
        <f>"قير MC250"</f>
        <v>قير MC250</v>
      </c>
      <c r="L1616" s="1">
        <v>100</v>
      </c>
      <c r="M1616" s="1" t="str">
        <f>"مخازن قير اصفهان"</f>
        <v>مخازن قير اصفهان</v>
      </c>
      <c r="N1616" s="1">
        <v>11343</v>
      </c>
      <c r="O1616" s="1">
        <v>50034702</v>
      </c>
      <c r="P1616" s="1" t="str">
        <f>"  ميناب سامان جنوب"</f>
        <v xml:space="preserve">  ميناب سامان جنوب</v>
      </c>
      <c r="Q1616" s="1">
        <v>62</v>
      </c>
      <c r="R1616" s="1" t="str">
        <f>"فروش داخلي - سازمان بنيادمسكن انقلاب اسلامي"</f>
        <v>فروش داخلي - سازمان بنيادمسكن انقلاب اسلامي</v>
      </c>
      <c r="S1616" s="1" t="str">
        <f>"قرارداد فروش"</f>
        <v>قرارداد فروش</v>
      </c>
      <c r="T1616" s="1" t="str">
        <f>"ندارد"</f>
        <v>ندارد</v>
      </c>
      <c r="U1616" s="1" t="str">
        <f>"حاصليان ترابرجنوب مرتضي حاصلي (4844006)"</f>
        <v>حاصليان ترابرجنوب مرتضي حاصلي (4844006)</v>
      </c>
      <c r="V1616" s="1">
        <v>966200051</v>
      </c>
      <c r="W1616" s="1">
        <v>966200051</v>
      </c>
      <c r="X1616" s="1" t="str">
        <f>"1396477335"</f>
        <v>1396477335</v>
      </c>
      <c r="Y1616" s="1" t="str">
        <f>"96/02/06"</f>
        <v>96/02/06</v>
      </c>
      <c r="Z1616" s="1" t="str">
        <f>"3270/د"</f>
        <v>3270/د</v>
      </c>
      <c r="AA1616" s="1" t="str">
        <f>"بنيادمسكن انقلاب اسلامي"</f>
        <v>بنيادمسكن انقلاب اسلامي</v>
      </c>
      <c r="AB1616" s="1" t="str">
        <f>"96/02/03"</f>
        <v>96/02/03</v>
      </c>
      <c r="AC1616" s="1" t="str">
        <f>"استان هرمزگان"</f>
        <v>استان هرمزگان</v>
      </c>
      <c r="AD1616" s="1" t="str">
        <f>"96/02/06"</f>
        <v>96/02/06</v>
      </c>
      <c r="AE1616" s="1" t="str">
        <f>"اختتام"</f>
        <v>اختتام</v>
      </c>
      <c r="AF1616" s="1" t="str">
        <f>""</f>
        <v/>
      </c>
      <c r="AG1616" s="1" t="str">
        <f>""</f>
        <v/>
      </c>
      <c r="AH1616" s="1" t="str">
        <f>""</f>
        <v/>
      </c>
      <c r="AI1616" s="1" t="str">
        <f>""</f>
        <v/>
      </c>
      <c r="AJ1616" s="1" t="str">
        <f>""</f>
        <v/>
      </c>
      <c r="AK1616" s="1" t="str">
        <f>""</f>
        <v/>
      </c>
    </row>
    <row r="1617" spans="1:37">
      <c r="A1617" s="1">
        <v>190000</v>
      </c>
      <c r="B1617" s="1">
        <v>966200451</v>
      </c>
      <c r="C1617" s="1" t="str">
        <f>"تخليه - سيستان و بلوچستان-سراوان-روستاي هوشک"</f>
        <v>تخليه - سيستان و بلوچستان-سراوان-روستاي هوشک</v>
      </c>
      <c r="D1617" s="1">
        <v>15947</v>
      </c>
      <c r="E1617" s="1">
        <v>187020</v>
      </c>
      <c r="F1617" s="1">
        <v>96</v>
      </c>
      <c r="G1617" s="1">
        <v>2980</v>
      </c>
      <c r="H1617" s="1" t="str">
        <f>"96/09/23"</f>
        <v>96/09/23</v>
      </c>
      <c r="I1617" s="1" t="str">
        <f>"كيلوگرم"</f>
        <v>كيلوگرم</v>
      </c>
      <c r="J1617" s="1" t="str">
        <f>"1000000003"</f>
        <v>1000000003</v>
      </c>
      <c r="K1617" s="1" t="str">
        <f>"قير MC250"</f>
        <v>قير MC250</v>
      </c>
      <c r="L1617" s="1">
        <v>100</v>
      </c>
      <c r="M1617" s="1" t="str">
        <f>"مخازن قير اصفهان"</f>
        <v>مخازن قير اصفهان</v>
      </c>
      <c r="N1617" s="1">
        <v>11393</v>
      </c>
      <c r="O1617" s="1">
        <v>50038011</v>
      </c>
      <c r="P1617" s="1" t="str">
        <f>"  پيام گوي سرحد"</f>
        <v xml:space="preserve">  پيام گوي سرحد</v>
      </c>
      <c r="Q1617" s="1">
        <v>62</v>
      </c>
      <c r="R1617" s="1" t="str">
        <f>"فروش داخلي - سازمان بنيادمسكن انقلاب اسلامي"</f>
        <v>فروش داخلي - سازمان بنيادمسكن انقلاب اسلامي</v>
      </c>
      <c r="S1617" s="1" t="str">
        <f>"قرارداد فروش"</f>
        <v>قرارداد فروش</v>
      </c>
      <c r="T1617" s="1" t="str">
        <f>"ندارد"</f>
        <v>ندارد</v>
      </c>
      <c r="U1617" s="1" t="str">
        <f>"راه وساختماني سنگ وكوه(5859000)"</f>
        <v>راه وساختماني سنگ وكوه(5859000)</v>
      </c>
      <c r="V1617" s="1">
        <v>966200451</v>
      </c>
      <c r="W1617" s="1">
        <v>966200451</v>
      </c>
      <c r="X1617" s="1" t="str">
        <f>"1396532542"</f>
        <v>1396532542</v>
      </c>
      <c r="Y1617" s="1" t="str">
        <f>"96/09/23"</f>
        <v>96/09/23</v>
      </c>
      <c r="Z1617" s="1" t="str">
        <f>"41622/د"</f>
        <v>41622/د</v>
      </c>
      <c r="AA1617" s="1" t="str">
        <f>"بنيادمسكن انقلاب اسلامي"</f>
        <v>بنيادمسكن انقلاب اسلامي</v>
      </c>
      <c r="AB1617" s="1" t="str">
        <f>"96/09/21"</f>
        <v>96/09/21</v>
      </c>
      <c r="AC1617" s="1" t="str">
        <f>"استان سيستان بلوچستان"</f>
        <v>استان سيستان بلوچستان</v>
      </c>
      <c r="AD1617" s="1" t="str">
        <f>"96/09/22"</f>
        <v>96/09/22</v>
      </c>
      <c r="AE1617" s="1" t="str">
        <f>"اختتام"</f>
        <v>اختتام</v>
      </c>
      <c r="AF1617" s="1" t="str">
        <f>""</f>
        <v/>
      </c>
      <c r="AG1617" s="1" t="str">
        <f>""</f>
        <v/>
      </c>
      <c r="AH1617" s="1" t="str">
        <f>""</f>
        <v/>
      </c>
      <c r="AI1617" s="1" t="str">
        <f>""</f>
        <v/>
      </c>
      <c r="AJ1617" s="1" t="str">
        <f>""</f>
        <v/>
      </c>
      <c r="AK1617" s="1" t="str">
        <f>""</f>
        <v/>
      </c>
    </row>
    <row r="1618" spans="1:37">
      <c r="A1618" s="1">
        <v>48000</v>
      </c>
      <c r="B1618" s="1">
        <v>966200406</v>
      </c>
      <c r="C1618" s="1" t="str">
        <f>"تخليه-ايلام-جاده ايلام-بدره-کارخانه آسفالت ايلام راه بان"</f>
        <v>تخليه-ايلام-جاده ايلام-بدره-کارخانه آسفالت ايلام راه بان</v>
      </c>
      <c r="D1618" s="1">
        <v>15947</v>
      </c>
      <c r="E1618" s="1">
        <v>44260</v>
      </c>
      <c r="F1618" s="1">
        <v>96</v>
      </c>
      <c r="G1618" s="1">
        <v>3740</v>
      </c>
      <c r="H1618" s="1" t="str">
        <f>"96/09/09"</f>
        <v>96/09/09</v>
      </c>
      <c r="I1618" s="1" t="str">
        <f>"كيلوگرم"</f>
        <v>كيلوگرم</v>
      </c>
      <c r="J1618" s="1" t="str">
        <f>"1000000003"</f>
        <v>1000000003</v>
      </c>
      <c r="K1618" s="1" t="str">
        <f>"قير MC250"</f>
        <v>قير MC250</v>
      </c>
      <c r="L1618" s="1">
        <v>100</v>
      </c>
      <c r="M1618" s="1" t="str">
        <f>"مخازن قير اصفهان"</f>
        <v>مخازن قير اصفهان</v>
      </c>
      <c r="N1618" s="1">
        <v>11476</v>
      </c>
      <c r="O1618" s="1">
        <v>50037370</v>
      </c>
      <c r="P1618" s="1" t="str">
        <f>"  آرمه بتن هيراد"</f>
        <v xml:space="preserve">  آرمه بتن هيراد</v>
      </c>
      <c r="Q1618" s="1">
        <v>62</v>
      </c>
      <c r="R1618" s="1" t="str">
        <f>"فروش داخلي - سازمان بنيادمسكن انقلاب اسلامي"</f>
        <v>فروش داخلي - سازمان بنيادمسكن انقلاب اسلامي</v>
      </c>
      <c r="S1618" s="1" t="str">
        <f>"قرارداد فروش"</f>
        <v>قرارداد فروش</v>
      </c>
      <c r="T1618" s="1" t="str">
        <f>"ندارد"</f>
        <v>ندارد</v>
      </c>
      <c r="U1618" s="1" t="str">
        <f>"ريسماني حسن(1007ج89)"</f>
        <v>ريسماني حسن(1007ج89)</v>
      </c>
      <c r="V1618" s="1">
        <v>966200406</v>
      </c>
      <c r="W1618" s="1">
        <v>966200406</v>
      </c>
      <c r="X1618" s="1" t="str">
        <f>"1396529174"</f>
        <v>1396529174</v>
      </c>
      <c r="Y1618" s="1" t="str">
        <f>"96/09/09"</f>
        <v>96/09/09</v>
      </c>
      <c r="Z1618" s="1" t="str">
        <f>"38624/د"</f>
        <v>38624/د</v>
      </c>
      <c r="AA1618" s="1" t="str">
        <f>"بنيادمسكن انقلاب اسلامي"</f>
        <v>بنيادمسكن انقلاب اسلامي</v>
      </c>
      <c r="AB1618" s="1" t="str">
        <f>"96/08/30"</f>
        <v>96/08/30</v>
      </c>
      <c r="AC1618" s="1" t="str">
        <f>"استان ايلام"</f>
        <v>استان ايلام</v>
      </c>
      <c r="AD1618" s="1" t="str">
        <f>"96/09/08"</f>
        <v>96/09/08</v>
      </c>
      <c r="AE1618" s="1" t="str">
        <f>"اختتام"</f>
        <v>اختتام</v>
      </c>
      <c r="AF1618" s="1" t="str">
        <f>""</f>
        <v/>
      </c>
      <c r="AG1618" s="1" t="str">
        <f>""</f>
        <v/>
      </c>
      <c r="AH1618" s="1" t="str">
        <f>""</f>
        <v/>
      </c>
      <c r="AI1618" s="1" t="str">
        <f>""</f>
        <v/>
      </c>
      <c r="AJ1618" s="1" t="str">
        <f>""</f>
        <v/>
      </c>
      <c r="AK1618" s="1" t="str">
        <f>""</f>
        <v/>
      </c>
    </row>
    <row r="1619" spans="1:37">
      <c r="A1619" s="1">
        <v>15000</v>
      </c>
      <c r="B1619" s="1">
        <v>966200345</v>
      </c>
      <c r="C1619" s="1" t="str">
        <f>"تخليه كيلومتر65جاده اسلام آبادبه پل دختربخش هليلان شهرتوحيدكارخانه آسفالت آج راه غرب"</f>
        <v>تخليه كيلومتر65جاده اسلام آبادبه پل دختربخش هليلان شهرتوحيدكارخانه آسفالت آج راه غرب</v>
      </c>
      <c r="D1619" s="1">
        <v>12777</v>
      </c>
      <c r="E1619" s="1">
        <v>13880</v>
      </c>
      <c r="F1619" s="1">
        <v>96</v>
      </c>
      <c r="G1619" s="1">
        <v>1120</v>
      </c>
      <c r="H1619" s="1" t="str">
        <f>"96/07/25"</f>
        <v>96/07/25</v>
      </c>
      <c r="I1619" s="1" t="str">
        <f>"كيلوگرم"</f>
        <v>كيلوگرم</v>
      </c>
      <c r="J1619" s="1" t="str">
        <f>"1000000003"</f>
        <v>1000000003</v>
      </c>
      <c r="K1619" s="1" t="str">
        <f>"قير MC250"</f>
        <v>قير MC250</v>
      </c>
      <c r="L1619" s="1">
        <v>100</v>
      </c>
      <c r="M1619" s="1" t="str">
        <f>"مخازن قير اصفهان"</f>
        <v>مخازن قير اصفهان</v>
      </c>
      <c r="N1619" s="1">
        <v>11481</v>
      </c>
      <c r="O1619" s="1">
        <v>50036795</v>
      </c>
      <c r="P1619" s="1" t="str">
        <f>"  فلك افرازمانشت"</f>
        <v xml:space="preserve">  فلك افرازمانشت</v>
      </c>
      <c r="Q1619" s="1">
        <v>62</v>
      </c>
      <c r="R1619" s="1" t="str">
        <f>"فروش داخلي - سازمان بنيادمسكن انقلاب اسلامي"</f>
        <v>فروش داخلي - سازمان بنيادمسكن انقلاب اسلامي</v>
      </c>
      <c r="S1619" s="1" t="str">
        <f>"قرارداد فروش"</f>
        <v>قرارداد فروش</v>
      </c>
      <c r="T1619" s="1" t="str">
        <f>"ندارد"</f>
        <v>ندارد</v>
      </c>
      <c r="U1619" s="1" t="str">
        <f>"عظيمي محمد(2842015)"</f>
        <v>عظيمي محمد(2842015)</v>
      </c>
      <c r="V1619" s="1">
        <v>966200345</v>
      </c>
      <c r="W1619" s="1">
        <v>966200345</v>
      </c>
      <c r="X1619" s="1" t="str">
        <f>"1396519154"</f>
        <v>1396519154</v>
      </c>
      <c r="Y1619" s="1" t="str">
        <f>"96/07/25"</f>
        <v>96/07/25</v>
      </c>
      <c r="Z1619" s="1" t="str">
        <f>"33085/د"</f>
        <v>33085/د</v>
      </c>
      <c r="AA1619" s="1" t="str">
        <f>"بنيادمسكن انقلاب اسلامي"</f>
        <v>بنيادمسكن انقلاب اسلامي</v>
      </c>
      <c r="AB1619" s="1" t="str">
        <f>"96/07/24"</f>
        <v>96/07/24</v>
      </c>
      <c r="AC1619" s="1" t="str">
        <f>"استان ايلام"</f>
        <v>استان ايلام</v>
      </c>
      <c r="AD1619" s="1" t="str">
        <f>"96/07/25"</f>
        <v>96/07/25</v>
      </c>
      <c r="AE1619" s="1" t="str">
        <f>"اختتام"</f>
        <v>اختتام</v>
      </c>
      <c r="AF1619" s="1" t="str">
        <f>""</f>
        <v/>
      </c>
      <c r="AG1619" s="1" t="str">
        <f>""</f>
        <v/>
      </c>
      <c r="AH1619" s="1" t="str">
        <f>""</f>
        <v/>
      </c>
      <c r="AI1619" s="1" t="str">
        <f>""</f>
        <v/>
      </c>
      <c r="AJ1619" s="1" t="str">
        <f>""</f>
        <v/>
      </c>
      <c r="AK1619" s="1" t="str">
        <f>""</f>
        <v/>
      </c>
    </row>
    <row r="1620" spans="1:37">
      <c r="A1620" s="1">
        <v>90000</v>
      </c>
      <c r="B1620" s="1">
        <v>966200391</v>
      </c>
      <c r="C1620" s="1" t="str">
        <f>"تخليه -اصفهان -فريدن -كارخانه آسفالت دامنه"</f>
        <v>تخليه -اصفهان -فريدن -كارخانه آسفالت دامنه</v>
      </c>
      <c r="D1620" s="1">
        <v>15947</v>
      </c>
      <c r="E1620" s="1">
        <v>89380</v>
      </c>
      <c r="F1620" s="1">
        <v>96</v>
      </c>
      <c r="G1620" s="1">
        <v>620</v>
      </c>
      <c r="H1620" s="1" t="str">
        <f>"96/09/08"</f>
        <v>96/09/08</v>
      </c>
      <c r="I1620" s="1" t="str">
        <f>"كيلوگرم"</f>
        <v>كيلوگرم</v>
      </c>
      <c r="J1620" s="1" t="str">
        <f>"1000000003"</f>
        <v>1000000003</v>
      </c>
      <c r="K1620" s="1" t="str">
        <f>"قير MC250"</f>
        <v>قير MC250</v>
      </c>
      <c r="L1620" s="1">
        <v>100</v>
      </c>
      <c r="M1620" s="1" t="str">
        <f>"مخازن قير اصفهان"</f>
        <v>مخازن قير اصفهان</v>
      </c>
      <c r="N1620" s="1">
        <v>10536</v>
      </c>
      <c r="O1620" s="1">
        <v>50037341</v>
      </c>
      <c r="P1620" s="1" t="str">
        <f>"  آبجيل صنعت"</f>
        <v xml:space="preserve">  آبجيل صنعت</v>
      </c>
      <c r="Q1620" s="1">
        <v>62</v>
      </c>
      <c r="R1620" s="1" t="str">
        <f>"فروش داخلي - سازمان بنيادمسكن انقلاب اسلامي"</f>
        <v>فروش داخلي - سازمان بنيادمسكن انقلاب اسلامي</v>
      </c>
      <c r="S1620" s="1" t="str">
        <f>"قرارداد فروش"</f>
        <v>قرارداد فروش</v>
      </c>
      <c r="T1620" s="1" t="str">
        <f>"ندارد"</f>
        <v>ندارد</v>
      </c>
      <c r="U1620" s="1" t="str">
        <f>"سيفي پور گودرز(1019ج89)"</f>
        <v>سيفي پور گودرز(1019ج89)</v>
      </c>
      <c r="V1620" s="1">
        <v>966200391</v>
      </c>
      <c r="W1620" s="1">
        <v>966200391</v>
      </c>
      <c r="X1620" s="1" t="str">
        <f>"1396529174"</f>
        <v>1396529174</v>
      </c>
      <c r="Y1620" s="1" t="str">
        <f>"96/09/08"</f>
        <v>96/09/08</v>
      </c>
      <c r="Z1620" s="1" t="str">
        <f>"37296/د"</f>
        <v>37296/د</v>
      </c>
      <c r="AA1620" s="1" t="str">
        <f>"بنيادمسكن انقلاب اسلامي"</f>
        <v>بنيادمسكن انقلاب اسلامي</v>
      </c>
      <c r="AB1620" s="1" t="str">
        <f>"96/08/21"</f>
        <v>96/08/21</v>
      </c>
      <c r="AC1620" s="1" t="str">
        <f>"استان اصفهان"</f>
        <v>استان اصفهان</v>
      </c>
      <c r="AD1620" s="1" t="str">
        <f>"96/09/08"</f>
        <v>96/09/08</v>
      </c>
      <c r="AE1620" s="1" t="str">
        <f>"اختتام"</f>
        <v>اختتام</v>
      </c>
      <c r="AF1620" s="1" t="str">
        <f>""</f>
        <v/>
      </c>
      <c r="AG1620" s="1" t="str">
        <f>""</f>
        <v/>
      </c>
      <c r="AH1620" s="1" t="str">
        <f>""</f>
        <v/>
      </c>
      <c r="AI1620" s="1" t="str">
        <f>""</f>
        <v/>
      </c>
      <c r="AJ1620" s="1" t="str">
        <f>""</f>
        <v/>
      </c>
      <c r="AK1620" s="1" t="str">
        <f>""</f>
        <v/>
      </c>
    </row>
    <row r="1621" spans="1:37">
      <c r="A1621" s="1">
        <v>15000</v>
      </c>
      <c r="B1621" s="1">
        <v>966200041</v>
      </c>
      <c r="C1621" s="1" t="str">
        <f>"تخليه-اصفهان-فريدون شهر -کارخانه آسفالت شهرداري فريدونشهر"</f>
        <v>تخليه-اصفهان-فريدون شهر -کارخانه آسفالت شهرداري فريدونشهر</v>
      </c>
      <c r="D1621" s="1">
        <v>12482</v>
      </c>
      <c r="E1621" s="1">
        <v>15000</v>
      </c>
      <c r="F1621" s="1">
        <v>96</v>
      </c>
      <c r="G1621" s="1">
        <v>0</v>
      </c>
      <c r="H1621" s="1" t="str">
        <f>"96/02/06"</f>
        <v>96/02/06</v>
      </c>
      <c r="I1621" s="1" t="str">
        <f>"كيلوگرم"</f>
        <v>كيلوگرم</v>
      </c>
      <c r="J1621" s="1" t="str">
        <f>"1000000003"</f>
        <v>1000000003</v>
      </c>
      <c r="K1621" s="1" t="str">
        <f>"قير MC250"</f>
        <v>قير MC250</v>
      </c>
      <c r="L1621" s="1">
        <v>100</v>
      </c>
      <c r="M1621" s="1" t="str">
        <f>"مخازن قير اصفهان"</f>
        <v>مخازن قير اصفهان</v>
      </c>
      <c r="N1621" s="1">
        <v>10536</v>
      </c>
      <c r="O1621" s="1">
        <v>50034686</v>
      </c>
      <c r="P1621" s="1" t="str">
        <f>"  آبجيل صنعت"</f>
        <v xml:space="preserve">  آبجيل صنعت</v>
      </c>
      <c r="Q1621" s="1">
        <v>62</v>
      </c>
      <c r="R1621" s="1" t="str">
        <f>"فروش داخلي - سازمان بنيادمسكن انقلاب اسلامي"</f>
        <v>فروش داخلي - سازمان بنيادمسكن انقلاب اسلامي</v>
      </c>
      <c r="S1621" s="1" t="str">
        <f>"قرارداد فروش"</f>
        <v>قرارداد فروش</v>
      </c>
      <c r="T1621" s="1" t="str">
        <f>"ندارد"</f>
        <v>ندارد</v>
      </c>
      <c r="U1621" s="1" t="str">
        <f>"سيفي پور گودرز(1019ج89)"</f>
        <v>سيفي پور گودرز(1019ج89)</v>
      </c>
      <c r="V1621" s="1">
        <v>966200041</v>
      </c>
      <c r="W1621" s="1">
        <v>966200041</v>
      </c>
      <c r="X1621" s="1" t="str">
        <f>"1396477335"</f>
        <v>1396477335</v>
      </c>
      <c r="Y1621" s="1" t="str">
        <f>"96/02/06"</f>
        <v>96/02/06</v>
      </c>
      <c r="Z1621" s="1" t="str">
        <f>"3298/د"</f>
        <v>3298/د</v>
      </c>
      <c r="AA1621" s="1" t="str">
        <f>"بنيادمسكن انقلاب اسلامي"</f>
        <v>بنيادمسكن انقلاب اسلامي</v>
      </c>
      <c r="AB1621" s="1" t="str">
        <f>"96/02/03"</f>
        <v>96/02/03</v>
      </c>
      <c r="AC1621" s="1" t="str">
        <f>"استان اصفهان"</f>
        <v>استان اصفهان</v>
      </c>
      <c r="AD1621" s="1" t="str">
        <f>"96/02/06"</f>
        <v>96/02/06</v>
      </c>
      <c r="AE1621" s="1" t="str">
        <f>"اختتام"</f>
        <v>اختتام</v>
      </c>
      <c r="AF1621" s="1" t="str">
        <f>""</f>
        <v/>
      </c>
      <c r="AG1621" s="1" t="str">
        <f>""</f>
        <v/>
      </c>
      <c r="AH1621" s="1" t="str">
        <f>""</f>
        <v/>
      </c>
      <c r="AI1621" s="1" t="str">
        <f>""</f>
        <v/>
      </c>
      <c r="AJ1621" s="1" t="str">
        <f>""</f>
        <v/>
      </c>
      <c r="AK1621" s="1" t="str">
        <f>""</f>
        <v/>
      </c>
    </row>
    <row r="1622" spans="1:37">
      <c r="A1622" s="1">
        <v>15000</v>
      </c>
      <c r="B1622" s="1">
        <v>966200114</v>
      </c>
      <c r="C1622" s="1" t="str">
        <f>"تخليه-اصفهان-فريدون شهر -کارخانه آسفالت شهرداري فريدونشهر"</f>
        <v>تخليه-اصفهان-فريدون شهر -کارخانه آسفالت شهرداري فريدونشهر</v>
      </c>
      <c r="D1622" s="1">
        <v>12222</v>
      </c>
      <c r="E1622" s="1">
        <v>13860</v>
      </c>
      <c r="F1622" s="1">
        <v>96</v>
      </c>
      <c r="G1622" s="1">
        <v>1140</v>
      </c>
      <c r="H1622" s="1" t="str">
        <f>"96/03/23"</f>
        <v>96/03/23</v>
      </c>
      <c r="I1622" s="1" t="str">
        <f>"كيلوگرم"</f>
        <v>كيلوگرم</v>
      </c>
      <c r="J1622" s="1" t="str">
        <f>"1000000003"</f>
        <v>1000000003</v>
      </c>
      <c r="K1622" s="1" t="str">
        <f>"قير MC250"</f>
        <v>قير MC250</v>
      </c>
      <c r="L1622" s="1">
        <v>100</v>
      </c>
      <c r="M1622" s="1" t="str">
        <f>"مخازن قير اصفهان"</f>
        <v>مخازن قير اصفهان</v>
      </c>
      <c r="N1622" s="1">
        <v>10536</v>
      </c>
      <c r="O1622" s="1">
        <v>50034997</v>
      </c>
      <c r="P1622" s="1" t="str">
        <f>"  آبجيل صنعت"</f>
        <v xml:space="preserve">  آبجيل صنعت</v>
      </c>
      <c r="Q1622" s="1">
        <v>62</v>
      </c>
      <c r="R1622" s="1" t="str">
        <f>"فروش داخلي - سازمان بنيادمسكن انقلاب اسلامي"</f>
        <v>فروش داخلي - سازمان بنيادمسكن انقلاب اسلامي</v>
      </c>
      <c r="S1622" s="1" t="str">
        <f>"قرارداد فروش"</f>
        <v>قرارداد فروش</v>
      </c>
      <c r="T1622" s="1" t="str">
        <f>"ندارد"</f>
        <v>ندارد</v>
      </c>
      <c r="U1622" s="1" t="str">
        <f>"سيفي پور گودرز(1019ج89)"</f>
        <v>سيفي پور گودرز(1019ج89)</v>
      </c>
      <c r="V1622" s="1">
        <v>966200114</v>
      </c>
      <c r="W1622" s="1">
        <v>966200114</v>
      </c>
      <c r="X1622" s="1" t="str">
        <f>"1396487418"</f>
        <v>1396487418</v>
      </c>
      <c r="Y1622" s="1" t="str">
        <f>"96/03/23"</f>
        <v>96/03/23</v>
      </c>
      <c r="Z1622" s="1" t="str">
        <f>"10567/د"</f>
        <v>10567/د</v>
      </c>
      <c r="AA1622" s="1" t="str">
        <f>"بنيادمسكن انقلاب اسلامي"</f>
        <v>بنيادمسكن انقلاب اسلامي</v>
      </c>
      <c r="AB1622" s="1" t="str">
        <f>"96/03/20"</f>
        <v>96/03/20</v>
      </c>
      <c r="AC1622" s="1" t="str">
        <f>"استان اصفهان"</f>
        <v>استان اصفهان</v>
      </c>
      <c r="AD1622" s="1" t="str">
        <f>"96/03/23"</f>
        <v>96/03/23</v>
      </c>
      <c r="AE1622" s="1" t="str">
        <f>"اختتام"</f>
        <v>اختتام</v>
      </c>
      <c r="AF1622" s="1" t="str">
        <f>""</f>
        <v/>
      </c>
      <c r="AG1622" s="1" t="str">
        <f>""</f>
        <v/>
      </c>
      <c r="AH1622" s="1" t="str">
        <f>""</f>
        <v/>
      </c>
      <c r="AI1622" s="1" t="str">
        <f>""</f>
        <v/>
      </c>
      <c r="AJ1622" s="1" t="str">
        <f>""</f>
        <v/>
      </c>
      <c r="AK1622" s="1" t="str">
        <f>""</f>
        <v/>
      </c>
    </row>
    <row r="1623" spans="1:37">
      <c r="A1623" s="1">
        <v>33803</v>
      </c>
      <c r="B1623" s="1">
        <v>962000274</v>
      </c>
      <c r="C1623" s="1" t="str">
        <f>"تخليه خراسان جنوبي شهرديهوك بلوارجهاد"</f>
        <v>تخليه خراسان جنوبي شهرديهوك بلوارجهاد</v>
      </c>
      <c r="D1623" s="1">
        <v>15947</v>
      </c>
      <c r="E1623" s="1">
        <v>33399</v>
      </c>
      <c r="F1623" s="1">
        <v>96</v>
      </c>
      <c r="G1623" s="1">
        <v>404</v>
      </c>
      <c r="H1623" s="1" t="str">
        <f>"96/09/13"</f>
        <v>96/09/13</v>
      </c>
      <c r="I1623" s="1" t="str">
        <f>"كيلوگرم"</f>
        <v>كيلوگرم</v>
      </c>
      <c r="J1623" s="1" t="str">
        <f>"1000000003"</f>
        <v>1000000003</v>
      </c>
      <c r="K1623" s="1" t="str">
        <f>"قير MC250"</f>
        <v>قير MC250</v>
      </c>
      <c r="L1623" s="1">
        <v>100</v>
      </c>
      <c r="M1623" s="1" t="str">
        <f>"مخازن قير اصفهان"</f>
        <v>مخازن قير اصفهان</v>
      </c>
      <c r="N1623" s="1">
        <v>10742</v>
      </c>
      <c r="O1623" s="1">
        <v>50037461</v>
      </c>
      <c r="P1623" s="1" t="str">
        <f>"  شهرداري ديهوك"</f>
        <v xml:space="preserve">  شهرداري ديهوك</v>
      </c>
      <c r="Q1623" s="1">
        <v>20</v>
      </c>
      <c r="R1623" s="1" t="str">
        <f>"فروش داخلي - سازمان شهرداري ها و دهياري هاي كشور"</f>
        <v>فروش داخلي - سازمان شهرداري ها و دهياري هاي كشور</v>
      </c>
      <c r="S1623" s="1" t="str">
        <f>"قرارداد فروش"</f>
        <v>قرارداد فروش</v>
      </c>
      <c r="T1623" s="1" t="str">
        <f>"ندارد"</f>
        <v>ندارد</v>
      </c>
      <c r="U1623" s="1" t="str">
        <f>"تعاوني جم گستر (1001 ج 89)"</f>
        <v>تعاوني جم گستر (1001 ج 89)</v>
      </c>
      <c r="V1623" s="1">
        <v>962000274</v>
      </c>
      <c r="W1623" s="1">
        <v>962000274</v>
      </c>
      <c r="X1623" s="1" t="str">
        <f>"1396529722"</f>
        <v>1396529722</v>
      </c>
      <c r="Y1623" s="1" t="str">
        <f>"96/09/13"</f>
        <v>96/09/13</v>
      </c>
      <c r="Z1623" s="1" t="str">
        <f>"37099مرحله دوم"</f>
        <v>37099مرحله دوم</v>
      </c>
      <c r="AA1623" s="1" t="str">
        <f>"شهرداريها"</f>
        <v>شهرداريها</v>
      </c>
      <c r="AB1623" s="1" t="str">
        <f>"96/09/04"</f>
        <v>96/09/04</v>
      </c>
      <c r="AC1623" s="1" t="str">
        <f>"خراسان رضوي"</f>
        <v>خراسان رضوي</v>
      </c>
      <c r="AD1623" s="1" t="str">
        <f>"96/09/13"</f>
        <v>96/09/13</v>
      </c>
      <c r="AE1623" s="1" t="str">
        <f>"اختتام"</f>
        <v>اختتام</v>
      </c>
      <c r="AF1623" s="1" t="str">
        <f>""</f>
        <v/>
      </c>
      <c r="AG1623" s="1" t="str">
        <f>""</f>
        <v/>
      </c>
      <c r="AH1623" s="1" t="str">
        <f>""</f>
        <v/>
      </c>
      <c r="AI1623" s="1" t="str">
        <f>""</f>
        <v/>
      </c>
      <c r="AJ1623" s="1" t="str">
        <f>""</f>
        <v/>
      </c>
      <c r="AK1623" s="1" t="str">
        <f>""</f>
        <v/>
      </c>
    </row>
    <row r="1624" spans="1:37">
      <c r="A1624" s="1">
        <v>25000</v>
      </c>
      <c r="B1624" s="1">
        <v>966200119</v>
      </c>
      <c r="C1624" s="1" t="str">
        <f>"تخليه-خوانسار- سه راهي رحمت آباد-کارخانه آسفالت دهاقين"</f>
        <v>تخليه-خوانسار- سه راهي رحمت آباد-کارخانه آسفالت دهاقين</v>
      </c>
      <c r="D1624" s="1">
        <v>12222</v>
      </c>
      <c r="E1624" s="1">
        <v>23680</v>
      </c>
      <c r="F1624" s="1">
        <v>96</v>
      </c>
      <c r="G1624" s="1">
        <v>1320</v>
      </c>
      <c r="H1624" s="1" t="str">
        <f>"96/03/24"</f>
        <v>96/03/24</v>
      </c>
      <c r="I1624" s="1" t="str">
        <f>"كيلوگرم"</f>
        <v>كيلوگرم</v>
      </c>
      <c r="J1624" s="1" t="str">
        <f>"1000000003"</f>
        <v>1000000003</v>
      </c>
      <c r="K1624" s="1" t="str">
        <f>"قير MC250"</f>
        <v>قير MC250</v>
      </c>
      <c r="L1624" s="1">
        <v>100</v>
      </c>
      <c r="M1624" s="1" t="str">
        <f>"مخازن قير اصفهان"</f>
        <v>مخازن قير اصفهان</v>
      </c>
      <c r="N1624" s="1">
        <v>11042</v>
      </c>
      <c r="O1624" s="1">
        <v>50035013</v>
      </c>
      <c r="P1624" s="1" t="str">
        <f>"  صخره کاران خيرآباد"</f>
        <v xml:space="preserve">  صخره کاران خيرآباد</v>
      </c>
      <c r="Q1624" s="1">
        <v>62</v>
      </c>
      <c r="R1624" s="1" t="str">
        <f>"فروش داخلي - سازمان بنيادمسكن انقلاب اسلامي"</f>
        <v>فروش داخلي - سازمان بنيادمسكن انقلاب اسلامي</v>
      </c>
      <c r="S1624" s="1" t="str">
        <f>"قرارداد فروش"</f>
        <v>قرارداد فروش</v>
      </c>
      <c r="T1624" s="1" t="str">
        <f>"ندارد"</f>
        <v>ندارد</v>
      </c>
      <c r="U1624" s="1" t="str">
        <f>"بهرام زنگنه (1038 ج 93)"</f>
        <v>بهرام زنگنه (1038 ج 93)</v>
      </c>
      <c r="V1624" s="1">
        <v>966200119</v>
      </c>
      <c r="W1624" s="1">
        <v>966200119</v>
      </c>
      <c r="X1624" s="1" t="str">
        <f>"1396488216"</f>
        <v>1396488216</v>
      </c>
      <c r="Y1624" s="1" t="str">
        <f>"96/03/24"</f>
        <v>96/03/24</v>
      </c>
      <c r="Z1624" s="1" t="str">
        <f>"11294/د"</f>
        <v>11294/د</v>
      </c>
      <c r="AA1624" s="1" t="str">
        <f>"بنيادمسكن انقلاب اسلامي"</f>
        <v>بنيادمسكن انقلاب اسلامي</v>
      </c>
      <c r="AB1624" s="1" t="str">
        <f>"96/03/23"</f>
        <v>96/03/23</v>
      </c>
      <c r="AC1624" s="1" t="str">
        <f>"استان اصفهان"</f>
        <v>استان اصفهان</v>
      </c>
      <c r="AD1624" s="1" t="str">
        <f>"96/03/24"</f>
        <v>96/03/24</v>
      </c>
      <c r="AE1624" s="1" t="str">
        <f>"اختتام"</f>
        <v>اختتام</v>
      </c>
      <c r="AF1624" s="1" t="str">
        <f>""</f>
        <v/>
      </c>
      <c r="AG1624" s="1" t="str">
        <f>""</f>
        <v/>
      </c>
      <c r="AH1624" s="1" t="str">
        <f>""</f>
        <v/>
      </c>
      <c r="AI1624" s="1" t="str">
        <f>""</f>
        <v/>
      </c>
      <c r="AJ1624" s="1" t="str">
        <f>""</f>
        <v/>
      </c>
      <c r="AK1624" s="1" t="str">
        <f>""</f>
        <v/>
      </c>
    </row>
    <row r="1625" spans="1:37">
      <c r="A1625" s="1">
        <v>137000</v>
      </c>
      <c r="B1625" s="1">
        <v>966200131</v>
      </c>
      <c r="C1625" s="1" t="str">
        <f>"تخليه-سراوان-احمدآباد-کارگاه شن و ماسه ملک محمدي"</f>
        <v>تخليه-سراوان-احمدآباد-کارگاه شن و ماسه ملک محمدي</v>
      </c>
      <c r="D1625" s="1">
        <v>12222</v>
      </c>
      <c r="E1625" s="1">
        <v>136440</v>
      </c>
      <c r="F1625" s="1">
        <v>96</v>
      </c>
      <c r="G1625" s="1">
        <v>560</v>
      </c>
      <c r="H1625" s="1" t="str">
        <f>"96/04/13"</f>
        <v>96/04/13</v>
      </c>
      <c r="I1625" s="1" t="str">
        <f>"كيلوگرم"</f>
        <v>كيلوگرم</v>
      </c>
      <c r="J1625" s="1" t="str">
        <f>"1000000003"</f>
        <v>1000000003</v>
      </c>
      <c r="K1625" s="1" t="str">
        <f>"قير MC250"</f>
        <v>قير MC250</v>
      </c>
      <c r="L1625" s="1">
        <v>100</v>
      </c>
      <c r="M1625" s="1" t="str">
        <f>"مخازن قير اصفهان"</f>
        <v>مخازن قير اصفهان</v>
      </c>
      <c r="N1625" s="1">
        <v>11070</v>
      </c>
      <c r="O1625" s="1">
        <v>50035105</v>
      </c>
      <c r="P1625" s="1" t="str">
        <f>"  شايان نقشه جنوب"</f>
        <v xml:space="preserve">  شايان نقشه جنوب</v>
      </c>
      <c r="Q1625" s="1">
        <v>62</v>
      </c>
      <c r="R1625" s="1" t="str">
        <f>"فروش داخلي - سازمان بنيادمسكن انقلاب اسلامي"</f>
        <v>فروش داخلي - سازمان بنيادمسكن انقلاب اسلامي</v>
      </c>
      <c r="S1625" s="1" t="str">
        <f>"قرارداد فروش"</f>
        <v>قرارداد فروش</v>
      </c>
      <c r="T1625" s="1" t="str">
        <f>"ندارد"</f>
        <v>ندارد</v>
      </c>
      <c r="U1625" s="1" t="str">
        <f>"بهرام زنگنه (1038 ج 93)"</f>
        <v>بهرام زنگنه (1038 ج 93)</v>
      </c>
      <c r="V1625" s="1">
        <v>966200131</v>
      </c>
      <c r="W1625" s="1">
        <v>966200131</v>
      </c>
      <c r="X1625" s="1" t="str">
        <f>"1396493157"</f>
        <v>1396493157</v>
      </c>
      <c r="Y1625" s="1" t="str">
        <f>"96/04/13"</f>
        <v>96/04/13</v>
      </c>
      <c r="Z1625" s="1" t="str">
        <f>"14425/د"</f>
        <v>14425/د</v>
      </c>
      <c r="AA1625" s="1" t="str">
        <f>"بنيادمسكن انقلاب اسلامي"</f>
        <v>بنيادمسكن انقلاب اسلامي</v>
      </c>
      <c r="AB1625" s="1" t="str">
        <f>"96/04/12"</f>
        <v>96/04/12</v>
      </c>
      <c r="AC1625" s="1" t="str">
        <f>"استان سيستان بلوچستان"</f>
        <v>استان سيستان بلوچستان</v>
      </c>
      <c r="AD1625" s="1" t="str">
        <f>"96/04/13"</f>
        <v>96/04/13</v>
      </c>
      <c r="AE1625" s="1" t="str">
        <f>"اختتام"</f>
        <v>اختتام</v>
      </c>
      <c r="AF1625" s="1" t="str">
        <f>""</f>
        <v/>
      </c>
      <c r="AG1625" s="1" t="str">
        <f>""</f>
        <v/>
      </c>
      <c r="AH1625" s="1" t="str">
        <f>""</f>
        <v/>
      </c>
      <c r="AI1625" s="1" t="str">
        <f>""</f>
        <v/>
      </c>
      <c r="AJ1625" s="1" t="str">
        <f>""</f>
        <v/>
      </c>
      <c r="AK1625" s="1" t="str">
        <f>""</f>
        <v/>
      </c>
    </row>
    <row r="1626" spans="1:37">
      <c r="A1626" s="1">
        <v>21000</v>
      </c>
      <c r="B1626" s="1">
        <v>966200433</v>
      </c>
      <c r="C1626" s="1" t="str">
        <f>"تخليه - خراسان جنوبي-بيرجند-کيلومتر 5 جاده خوسف-جنب کوير تاير-کارخانه آسفالت شرکت مسيرياب"</f>
        <v>تخليه - خراسان جنوبي-بيرجند-کيلومتر 5 جاده خوسف-جنب کوير تاير-کارخانه آسفالت شرکت مسيرياب</v>
      </c>
      <c r="D1626" s="1">
        <v>15947</v>
      </c>
      <c r="E1626" s="1">
        <v>19840</v>
      </c>
      <c r="F1626" s="1">
        <v>96</v>
      </c>
      <c r="G1626" s="1">
        <v>1160</v>
      </c>
      <c r="H1626" s="1" t="str">
        <f>"96/09/18"</f>
        <v>96/09/18</v>
      </c>
      <c r="I1626" s="1" t="str">
        <f>"كيلوگرم"</f>
        <v>كيلوگرم</v>
      </c>
      <c r="J1626" s="1" t="str">
        <f>"1000000003"</f>
        <v>1000000003</v>
      </c>
      <c r="K1626" s="1" t="str">
        <f>"قير MC250"</f>
        <v>قير MC250</v>
      </c>
      <c r="L1626" s="1">
        <v>100</v>
      </c>
      <c r="M1626" s="1" t="str">
        <f>"مخازن قير اصفهان"</f>
        <v>مخازن قير اصفهان</v>
      </c>
      <c r="N1626" s="1">
        <v>11053</v>
      </c>
      <c r="O1626" s="1">
        <v>50037561</v>
      </c>
      <c r="P1626" s="1" t="str">
        <f>"  آوارادين شرق"</f>
        <v xml:space="preserve">  آوارادين شرق</v>
      </c>
      <c r="Q1626" s="1">
        <v>62</v>
      </c>
      <c r="R1626" s="1" t="str">
        <f>"فروش داخلي - سازمان بنيادمسكن انقلاب اسلامي"</f>
        <v>فروش داخلي - سازمان بنيادمسكن انقلاب اسلامي</v>
      </c>
      <c r="S1626" s="1" t="str">
        <f>"قرارداد فروش"</f>
        <v>قرارداد فروش</v>
      </c>
      <c r="T1626" s="1" t="str">
        <f>"ندارد"</f>
        <v>ندارد</v>
      </c>
      <c r="U1626" s="1" t="str">
        <f>"كاردان اسپادان راه مصطفي  (1911100)"</f>
        <v>كاردان اسپادان راه مصطفي  (1911100)</v>
      </c>
      <c r="V1626" s="1">
        <v>966200433</v>
      </c>
      <c r="W1626" s="1">
        <v>966200433</v>
      </c>
      <c r="X1626" s="1" t="str">
        <f>"1396531058"</f>
        <v>1396531058</v>
      </c>
      <c r="Y1626" s="1" t="str">
        <f>"96/09/18"</f>
        <v>96/09/18</v>
      </c>
      <c r="Z1626" s="1" t="str">
        <f>"40620/د"</f>
        <v>40620/د</v>
      </c>
      <c r="AA1626" s="1" t="str">
        <f>"بنيادمسكن انقلاب اسلامي"</f>
        <v>بنيادمسكن انقلاب اسلامي</v>
      </c>
      <c r="AB1626" s="1" t="str">
        <f>"96/09/14"</f>
        <v>96/09/14</v>
      </c>
      <c r="AC1626" s="1" t="str">
        <f>"خراسان جنوبي"</f>
        <v>خراسان جنوبي</v>
      </c>
      <c r="AD1626" s="1" t="str">
        <f>"96/09/18"</f>
        <v>96/09/18</v>
      </c>
      <c r="AE1626" s="1" t="str">
        <f>"اختتام"</f>
        <v>اختتام</v>
      </c>
      <c r="AF1626" s="1" t="str">
        <f>""</f>
        <v/>
      </c>
      <c r="AG1626" s="1" t="str">
        <f>""</f>
        <v/>
      </c>
      <c r="AH1626" s="1" t="str">
        <f>""</f>
        <v/>
      </c>
      <c r="AI1626" s="1" t="str">
        <f>""</f>
        <v/>
      </c>
      <c r="AJ1626" s="1" t="str">
        <f>""</f>
        <v/>
      </c>
      <c r="AK1626" s="1" t="str">
        <f>""</f>
        <v/>
      </c>
    </row>
    <row r="1627" spans="1:37">
      <c r="A1627" s="1">
        <v>30000</v>
      </c>
      <c r="B1627" s="1">
        <v>966200389</v>
      </c>
      <c r="C1627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1627" s="1">
        <v>15947</v>
      </c>
      <c r="E1627" s="1">
        <v>30000</v>
      </c>
      <c r="F1627" s="1">
        <v>96</v>
      </c>
      <c r="G1627" s="1">
        <v>0</v>
      </c>
      <c r="H1627" s="1" t="str">
        <f>"96/09/08"</f>
        <v>96/09/08</v>
      </c>
      <c r="I1627" s="1" t="str">
        <f>"كيلوگرم"</f>
        <v>كيلوگرم</v>
      </c>
      <c r="J1627" s="1" t="str">
        <f>"1000000003"</f>
        <v>1000000003</v>
      </c>
      <c r="K1627" s="1" t="str">
        <f>"قير MC250"</f>
        <v>قير MC250</v>
      </c>
      <c r="L1627" s="1">
        <v>100</v>
      </c>
      <c r="M1627" s="1" t="str">
        <f>"مخازن قير اصفهان"</f>
        <v>مخازن قير اصفهان</v>
      </c>
      <c r="N1627" s="1">
        <v>11001</v>
      </c>
      <c r="O1627" s="1">
        <v>50037337</v>
      </c>
      <c r="P1627" s="1" t="str">
        <f>"  بنياد مسکن انقلاب اسلامي نجف آباد"</f>
        <v xml:space="preserve">  بنياد مسکن انقلاب اسلامي نجف آباد</v>
      </c>
      <c r="Q1627" s="1">
        <v>62</v>
      </c>
      <c r="R1627" s="1" t="str">
        <f>"فروش داخلي - سازمان بنيادمسكن انقلاب اسلامي"</f>
        <v>فروش داخلي - سازمان بنيادمسكن انقلاب اسلامي</v>
      </c>
      <c r="S1627" s="1" t="str">
        <f>"قرارداد فروش"</f>
        <v>قرارداد فروش</v>
      </c>
      <c r="T1627" s="1" t="str">
        <f>"ندارد"</f>
        <v>ندارد</v>
      </c>
      <c r="U1627" s="1" t="str">
        <f>"سيفي پور عبدالمجيد(1009ج89)"</f>
        <v>سيفي پور عبدالمجيد(1009ج89)</v>
      </c>
      <c r="V1627" s="1">
        <v>966200389</v>
      </c>
      <c r="W1627" s="1">
        <v>966200389</v>
      </c>
      <c r="X1627" s="1" t="str">
        <f>"1396529174"</f>
        <v>1396529174</v>
      </c>
      <c r="Y1627" s="1" t="str">
        <f>"96/09/08"</f>
        <v>96/09/08</v>
      </c>
      <c r="Z1627" s="1" t="str">
        <f>"37295/د"</f>
        <v>37295/د</v>
      </c>
      <c r="AA1627" s="1" t="str">
        <f>"بنيادمسكن انقلاب اسلامي"</f>
        <v>بنيادمسكن انقلاب اسلامي</v>
      </c>
      <c r="AB1627" s="1" t="str">
        <f>"96/08/21"</f>
        <v>96/08/21</v>
      </c>
      <c r="AC1627" s="1" t="str">
        <f>"استان اصفهان"</f>
        <v>استان اصفهان</v>
      </c>
      <c r="AD1627" s="1" t="str">
        <f>"96/09/08"</f>
        <v>96/09/08</v>
      </c>
      <c r="AE1627" s="1" t="str">
        <f>"اختتام"</f>
        <v>اختتام</v>
      </c>
      <c r="AF1627" s="1" t="str">
        <f>""</f>
        <v/>
      </c>
      <c r="AG1627" s="1" t="str">
        <f>""</f>
        <v/>
      </c>
      <c r="AH1627" s="1" t="str">
        <f>""</f>
        <v/>
      </c>
      <c r="AI1627" s="1" t="str">
        <f>""</f>
        <v/>
      </c>
      <c r="AJ1627" s="1" t="str">
        <f>""</f>
        <v/>
      </c>
      <c r="AK1627" s="1" t="str">
        <f>""</f>
        <v/>
      </c>
    </row>
    <row r="1628" spans="1:37">
      <c r="A1628" s="1">
        <v>44000</v>
      </c>
      <c r="B1628" s="1">
        <v>966200223</v>
      </c>
      <c r="C1628" s="1" t="str">
        <f>"تخليه - سيستان و بلو چستان-سراوان-کيلومتر15 جاده سراوان-کهک-کارگاه شن و ماسه دهواري"</f>
        <v>تخليه - سيستان و بلو چستان-سراوان-کيلومتر15 جاده سراوان-کهک-کارگاه شن و ماسه دهواري</v>
      </c>
      <c r="D1628" s="1">
        <v>12370</v>
      </c>
      <c r="E1628" s="1">
        <v>44000</v>
      </c>
      <c r="F1628" s="1">
        <v>96</v>
      </c>
      <c r="G1628" s="1">
        <v>0</v>
      </c>
      <c r="H1628" s="1" t="str">
        <f>"96/06/11"</f>
        <v>96/06/11</v>
      </c>
      <c r="I1628" s="1" t="str">
        <f>"كيلوگرم"</f>
        <v>كيلوگرم</v>
      </c>
      <c r="J1628" s="1" t="str">
        <f>"1000000003"</f>
        <v>1000000003</v>
      </c>
      <c r="K1628" s="1" t="str">
        <f>"قير MC250"</f>
        <v>قير MC250</v>
      </c>
      <c r="L1628" s="1">
        <v>100</v>
      </c>
      <c r="M1628" s="1" t="str">
        <f>"مخازن قير اصفهان"</f>
        <v>مخازن قير اصفهان</v>
      </c>
      <c r="N1628" s="1">
        <v>11070</v>
      </c>
      <c r="O1628" s="1">
        <v>50035887</v>
      </c>
      <c r="P1628" s="1" t="str">
        <f>"  شايان نقشه جنوب"</f>
        <v xml:space="preserve">  شايان نقشه جنوب</v>
      </c>
      <c r="Q1628" s="1">
        <v>62</v>
      </c>
      <c r="R1628" s="1" t="str">
        <f>"فروش داخلي - سازمان بنيادمسكن انقلاب اسلامي"</f>
        <v>فروش داخلي - سازمان بنيادمسكن انقلاب اسلامي</v>
      </c>
      <c r="S1628" s="1" t="str">
        <f>"قرارداد فروش"</f>
        <v>قرارداد فروش</v>
      </c>
      <c r="T1628" s="1" t="str">
        <f>"ندارد"</f>
        <v>ندارد</v>
      </c>
      <c r="U1628" s="1" t="str">
        <f>"بهرام زنگنه (1038 ج 93)"</f>
        <v>بهرام زنگنه (1038 ج 93)</v>
      </c>
      <c r="V1628" s="1">
        <v>966200223</v>
      </c>
      <c r="W1628" s="1">
        <v>966200223</v>
      </c>
      <c r="X1628" s="1" t="str">
        <f>"1396509608"</f>
        <v>1396509608</v>
      </c>
      <c r="Y1628" s="1" t="str">
        <f>"96/06/11"</f>
        <v>96/06/11</v>
      </c>
      <c r="Z1628" s="1" t="str">
        <f>"25115/د"</f>
        <v>25115/د</v>
      </c>
      <c r="AA1628" s="1" t="str">
        <f>"بنيادمسكن انقلاب اسلامي"</f>
        <v>بنيادمسكن انقلاب اسلامي</v>
      </c>
      <c r="AB1628" s="1" t="str">
        <f>"96/06/08"</f>
        <v>96/06/08</v>
      </c>
      <c r="AC1628" s="1" t="str">
        <f>"استان سيستان بلوچستان"</f>
        <v>استان سيستان بلوچستان</v>
      </c>
      <c r="AD1628" s="1" t="str">
        <f>"96/06/11"</f>
        <v>96/06/11</v>
      </c>
      <c r="AE1628" s="1" t="str">
        <f>"اختتام"</f>
        <v>اختتام</v>
      </c>
      <c r="AF1628" s="1" t="str">
        <f>""</f>
        <v/>
      </c>
      <c r="AG1628" s="1" t="str">
        <f>""</f>
        <v/>
      </c>
      <c r="AH1628" s="1" t="str">
        <f>""</f>
        <v/>
      </c>
      <c r="AI1628" s="1" t="str">
        <f>""</f>
        <v/>
      </c>
      <c r="AJ1628" s="1" t="str">
        <f>""</f>
        <v/>
      </c>
      <c r="AK1628" s="1" t="str">
        <f>""</f>
        <v/>
      </c>
    </row>
    <row r="1629" spans="1:37">
      <c r="A1629" s="1">
        <v>90000</v>
      </c>
      <c r="B1629" s="1">
        <v>966200575</v>
      </c>
      <c r="C1629" s="1" t="str">
        <f>"تخليه - سيستان و بلو چستان-سراوان-کيلومتر15 جاده سراوان-کهک-کارگاه شن و ماسه دهواري"</f>
        <v>تخليه - سيستان و بلو چستان-سراوان-کيلومتر15 جاده سراوان-کهک-کارگاه شن و ماسه دهواري</v>
      </c>
      <c r="D1629" s="1">
        <v>16500</v>
      </c>
      <c r="E1629" s="1">
        <v>89960</v>
      </c>
      <c r="F1629" s="1">
        <v>96</v>
      </c>
      <c r="G1629" s="1">
        <v>40</v>
      </c>
      <c r="H1629" s="1" t="str">
        <f>"96/11/24"</f>
        <v>96/11/24</v>
      </c>
      <c r="I1629" s="1" t="str">
        <f>"كيلوگرم"</f>
        <v>كيلوگرم</v>
      </c>
      <c r="J1629" s="1" t="str">
        <f>"1000000003"</f>
        <v>1000000003</v>
      </c>
      <c r="K1629" s="1" t="str">
        <f>"قير MC250"</f>
        <v>قير MC250</v>
      </c>
      <c r="L1629" s="1">
        <v>100</v>
      </c>
      <c r="M1629" s="1" t="str">
        <f>"مخازن قير اصفهان"</f>
        <v>مخازن قير اصفهان</v>
      </c>
      <c r="N1629" s="1">
        <v>11070</v>
      </c>
      <c r="O1629" s="1">
        <v>50038502</v>
      </c>
      <c r="P1629" s="1" t="str">
        <f>"  شايان نقشه جنوب"</f>
        <v xml:space="preserve">  شايان نقشه جنوب</v>
      </c>
      <c r="Q1629" s="1">
        <v>62</v>
      </c>
      <c r="R1629" s="1" t="str">
        <f>"فروش داخلي - سازمان بنيادمسكن انقلاب اسلامي"</f>
        <v>فروش داخلي - سازمان بنيادمسكن انقلاب اسلامي</v>
      </c>
      <c r="S1629" s="1" t="str">
        <f>"قرارداد فروش"</f>
        <v>قرارداد فروش</v>
      </c>
      <c r="T1629" s="1" t="str">
        <f>"ندارد"</f>
        <v>ندارد</v>
      </c>
      <c r="U1629" s="1" t="str">
        <f>"عزيزي صفر(1006ج 89)"</f>
        <v>عزيزي صفر(1006ج 89)</v>
      </c>
      <c r="V1629" s="1">
        <v>966200575</v>
      </c>
      <c r="W1629" s="1">
        <v>966200575</v>
      </c>
      <c r="X1629" s="1" t="str">
        <f>"1396547683"</f>
        <v>1396547683</v>
      </c>
      <c r="Y1629" s="1" t="str">
        <f>"96/11/24"</f>
        <v>96/11/24</v>
      </c>
      <c r="Z1629" s="1" t="str">
        <f>"52805/د"</f>
        <v>52805/د</v>
      </c>
      <c r="AA1629" s="1" t="str">
        <f>"بنيادمسكن انقلاب اسلامي"</f>
        <v>بنيادمسكن انقلاب اسلامي</v>
      </c>
      <c r="AB1629" s="1" t="str">
        <f>"96/11/23"</f>
        <v>96/11/23</v>
      </c>
      <c r="AC1629" s="1" t="str">
        <f>"استان سيستان بلوچستان"</f>
        <v>استان سيستان بلوچستان</v>
      </c>
      <c r="AD1629" s="1" t="str">
        <f>"96/11/24"</f>
        <v>96/11/24</v>
      </c>
      <c r="AE1629" s="1" t="str">
        <f>"اختتام"</f>
        <v>اختتام</v>
      </c>
      <c r="AF1629" s="1" t="str">
        <f>""</f>
        <v/>
      </c>
      <c r="AG1629" s="1" t="str">
        <f>""</f>
        <v/>
      </c>
      <c r="AH1629" s="1" t="str">
        <f>""</f>
        <v/>
      </c>
      <c r="AI1629" s="1" t="str">
        <f>""</f>
        <v/>
      </c>
      <c r="AJ1629" s="1" t="str">
        <f>""</f>
        <v/>
      </c>
      <c r="AK1629" s="1" t="str">
        <f>""</f>
        <v/>
      </c>
    </row>
    <row r="1630" spans="1:37">
      <c r="A1630" s="1">
        <v>50000</v>
      </c>
      <c r="B1630" s="1">
        <v>961100006</v>
      </c>
      <c r="C1630" s="1" t="str">
        <f>"تخليه -زنجان كيلومتر9جاده فرودگاه كارخانه آسفالت سارمساقلو"</f>
        <v>تخليه -زنجان كيلومتر9جاده فرودگاه كارخانه آسفالت سارمساقلو</v>
      </c>
      <c r="D1630" s="1">
        <v>11482</v>
      </c>
      <c r="E1630" s="1">
        <v>47180</v>
      </c>
      <c r="F1630" s="1">
        <v>96</v>
      </c>
      <c r="G1630" s="1">
        <v>2820</v>
      </c>
      <c r="H1630" s="1" t="str">
        <f>"96/01/29"</f>
        <v>96/01/29</v>
      </c>
      <c r="I1630" s="1" t="str">
        <f>"كيلوگرم"</f>
        <v>كيلوگرم</v>
      </c>
      <c r="J1630" s="1" t="str">
        <f>"1000000003"</f>
        <v>1000000003</v>
      </c>
      <c r="K1630" s="1" t="str">
        <f>"قير MC250"</f>
        <v>قير MC250</v>
      </c>
      <c r="L1630" s="1">
        <v>100</v>
      </c>
      <c r="M1630" s="1" t="str">
        <f>"مخازن قير اصفهان"</f>
        <v>مخازن قير اصفهان</v>
      </c>
      <c r="N1630" s="1">
        <v>11096</v>
      </c>
      <c r="O1630" s="1">
        <v>50034641</v>
      </c>
      <c r="P1630" s="1" t="str">
        <f>"  شهرداري زنجان"</f>
        <v xml:space="preserve">  شهرداري زنجان</v>
      </c>
      <c r="Q1630" s="1">
        <v>11</v>
      </c>
      <c r="R1630" s="1" t="str">
        <f>"فروش داخلي تهران - بورس"</f>
        <v>فروش داخلي تهران - بورس</v>
      </c>
      <c r="S1630" s="1" t="str">
        <f>"قرارداد فروش"</f>
        <v>قرارداد فروش</v>
      </c>
      <c r="T1630" s="1" t="str">
        <f>"ندارد"</f>
        <v>ندارد</v>
      </c>
      <c r="U1630" s="1" t="str">
        <f>"فتاح زاده سيداحمد(3843011)"</f>
        <v>فتاح زاده سيداحمد(3843011)</v>
      </c>
      <c r="V1630" s="1">
        <v>961100006</v>
      </c>
      <c r="W1630" s="1">
        <v>961100006</v>
      </c>
      <c r="X1630" s="1" t="str">
        <f>"1396474837"</f>
        <v>1396474837</v>
      </c>
      <c r="Y1630" s="1" t="str">
        <f>"96/01/29"</f>
        <v>96/01/29</v>
      </c>
      <c r="Z1630" s="1" t="str">
        <f>"96/2/1479/ص"</f>
        <v>96/2/1479/ص</v>
      </c>
      <c r="AA1630" s="1" t="str">
        <f>"شهرداريها"</f>
        <v>شهرداريها</v>
      </c>
      <c r="AB1630" s="1" t="str">
        <f>"96/01/23"</f>
        <v>96/01/23</v>
      </c>
      <c r="AC1630" s="1" t="str">
        <f>"استان زنجان"</f>
        <v>استان زنجان</v>
      </c>
      <c r="AD1630" s="1" t="str">
        <f>"96/01/28"</f>
        <v>96/01/28</v>
      </c>
      <c r="AE1630" s="1" t="str">
        <f>"اختتام"</f>
        <v>اختتام</v>
      </c>
      <c r="AF1630" s="1" t="str">
        <f>""</f>
        <v/>
      </c>
      <c r="AG1630" s="1" t="str">
        <f>""</f>
        <v/>
      </c>
      <c r="AH1630" s="1" t="str">
        <f>""</f>
        <v/>
      </c>
      <c r="AI1630" s="1" t="str">
        <f>""</f>
        <v/>
      </c>
      <c r="AJ1630" s="1" t="str">
        <f>""</f>
        <v/>
      </c>
      <c r="AK1630" s="1" t="str">
        <f>""</f>
        <v/>
      </c>
    </row>
    <row r="1631" spans="1:37">
      <c r="A1631" s="1">
        <v>15000</v>
      </c>
      <c r="B1631" s="1">
        <v>966200747</v>
      </c>
      <c r="C1631" s="1" t="str">
        <f>"تخليه خراسان جنوبي بيرجندكيلومتر15جاده بيرجند-خوسف جنب كويرتايرابتداي جاده كات كارخانه آسفالت مسيرياب بيرجند"</f>
        <v>تخليه خراسان جنوبي بيرجندكيلومتر15جاده بيرجند-خوسف جنب كويرتايرابتداي جاده كات كارخانه آسفالت مسيرياب بيرجند</v>
      </c>
      <c r="D1631" s="1">
        <v>16650</v>
      </c>
      <c r="E1631" s="1">
        <v>15000</v>
      </c>
      <c r="F1631" s="1">
        <v>96</v>
      </c>
      <c r="G1631" s="1">
        <v>0</v>
      </c>
      <c r="H1631" s="1" t="str">
        <f>"96/12/26"</f>
        <v>96/12/26</v>
      </c>
      <c r="I1631" s="1" t="str">
        <f>"كيلوگرم"</f>
        <v>كيلوگرم</v>
      </c>
      <c r="J1631" s="1" t="str">
        <f>"1000000003"</f>
        <v>1000000003</v>
      </c>
      <c r="K1631" s="1" t="str">
        <f>"قير MC250"</f>
        <v>قير MC250</v>
      </c>
      <c r="L1631" s="1">
        <v>100</v>
      </c>
      <c r="M1631" s="1" t="str">
        <f>"مخازن قير اصفهان"</f>
        <v>مخازن قير اصفهان</v>
      </c>
      <c r="N1631" s="1">
        <v>11109</v>
      </c>
      <c r="O1631" s="1">
        <v>50039108</v>
      </c>
      <c r="P1631" s="1" t="str">
        <f>"  راهسازي وساختمان مسيرياب بيرجند"</f>
        <v xml:space="preserve">  راهسازي وساختمان مسيرياب بيرجند</v>
      </c>
      <c r="Q1631" s="1">
        <v>62</v>
      </c>
      <c r="R1631" s="1" t="str">
        <f>"فروش داخلي - سازمان بنيادمسكن انقلاب اسلامي"</f>
        <v>فروش داخلي - سازمان بنيادمسكن انقلاب اسلامي</v>
      </c>
      <c r="S1631" s="1" t="str">
        <f>"قرارداد فروش"</f>
        <v>قرارداد فروش</v>
      </c>
      <c r="T1631" s="1" t="str">
        <f>"ندارد"</f>
        <v>ندارد</v>
      </c>
      <c r="U1631" s="1" t="str">
        <f>"كاردان اسپادان راه مصطفي  (1911100)"</f>
        <v>كاردان اسپادان راه مصطفي  (1911100)</v>
      </c>
      <c r="V1631" s="1">
        <v>966200747</v>
      </c>
      <c r="W1631" s="1">
        <v>966200747</v>
      </c>
      <c r="X1631" s="1" t="str">
        <f>"1396555373"</f>
        <v>1396555373</v>
      </c>
      <c r="Y1631" s="1" t="str">
        <f>"96/12/26"</f>
        <v>96/12/26</v>
      </c>
      <c r="Z1631" s="1" t="str">
        <f>"59744/د"</f>
        <v>59744/د</v>
      </c>
      <c r="AA1631" s="1" t="str">
        <f>"بنيادمسكن انقلاب اسلامي"</f>
        <v>بنيادمسكن انقلاب اسلامي</v>
      </c>
      <c r="AB1631" s="1" t="str">
        <f>"96/12/26"</f>
        <v>96/12/26</v>
      </c>
      <c r="AC1631" s="1" t="str">
        <f>"خراسان جنوبي"</f>
        <v>خراسان جنوبي</v>
      </c>
      <c r="AD1631" s="1" t="str">
        <f>"96/12/26"</f>
        <v>96/12/26</v>
      </c>
      <c r="AE1631" s="1" t="str">
        <f>"اختتام"</f>
        <v>اختتام</v>
      </c>
      <c r="AF1631" s="1" t="str">
        <f>""</f>
        <v/>
      </c>
      <c r="AG1631" s="1" t="str">
        <f>""</f>
        <v/>
      </c>
      <c r="AH1631" s="1" t="str">
        <f>""</f>
        <v/>
      </c>
      <c r="AI1631" s="1" t="str">
        <f>""</f>
        <v/>
      </c>
      <c r="AJ1631" s="1" t="str">
        <f>""</f>
        <v/>
      </c>
      <c r="AK1631" s="1" t="str">
        <f>""</f>
        <v/>
      </c>
    </row>
    <row r="1632" spans="1:37">
      <c r="A1632" s="1">
        <v>25000</v>
      </c>
      <c r="B1632" s="1">
        <v>966200340</v>
      </c>
      <c r="C1632" s="1" t="str">
        <f>"تخليه -اصفهان داران بلواردانشگاه خيابان شهرك صنعتي مجتمع توليدي جهاد"</f>
        <v>تخليه -اصفهان داران بلواردانشگاه خيابان شهرك صنعتي مجتمع توليدي جهاد</v>
      </c>
      <c r="D1632" s="1">
        <v>12777</v>
      </c>
      <c r="E1632" s="1">
        <v>25000</v>
      </c>
      <c r="F1632" s="1">
        <v>96</v>
      </c>
      <c r="G1632" s="1">
        <v>0</v>
      </c>
      <c r="H1632" s="1" t="str">
        <f>"96/07/25"</f>
        <v>96/07/25</v>
      </c>
      <c r="I1632" s="1" t="str">
        <f>"كيلوگرم"</f>
        <v>كيلوگرم</v>
      </c>
      <c r="J1632" s="1" t="str">
        <f>"1000000003"</f>
        <v>1000000003</v>
      </c>
      <c r="K1632" s="1" t="str">
        <f>"قير MC250"</f>
        <v>قير MC250</v>
      </c>
      <c r="L1632" s="1">
        <v>100</v>
      </c>
      <c r="M1632" s="1" t="str">
        <f>"مخازن قير اصفهان"</f>
        <v>مخازن قير اصفهان</v>
      </c>
      <c r="N1632" s="1">
        <v>11082</v>
      </c>
      <c r="O1632" s="1">
        <v>50036786</v>
      </c>
      <c r="P1632" s="1" t="str">
        <f>"  پارسيان كاني پاسارگاد"</f>
        <v xml:space="preserve">  پارسيان كاني پاسارگاد</v>
      </c>
      <c r="Q1632" s="1">
        <v>62</v>
      </c>
      <c r="R1632" s="1" t="str">
        <f>"فروش داخلي - سازمان بنيادمسكن انقلاب اسلامي"</f>
        <v>فروش داخلي - سازمان بنيادمسكن انقلاب اسلامي</v>
      </c>
      <c r="S1632" s="1" t="str">
        <f>"قرارداد فروش"</f>
        <v>قرارداد فروش</v>
      </c>
      <c r="T1632" s="1" t="str">
        <f>"ندارد"</f>
        <v>ندارد</v>
      </c>
      <c r="U1632" s="1" t="str">
        <f>"مرادي نجاتعلي(1020ج89)"</f>
        <v>مرادي نجاتعلي(1020ج89)</v>
      </c>
      <c r="V1632" s="1">
        <v>966200340</v>
      </c>
      <c r="W1632" s="1">
        <v>966200340</v>
      </c>
      <c r="X1632" s="1" t="str">
        <f>"1396519154"</f>
        <v>1396519154</v>
      </c>
      <c r="Y1632" s="1" t="str">
        <f>"96/07/25"</f>
        <v>96/07/25</v>
      </c>
      <c r="Z1632" s="1" t="str">
        <f>"33088/د"</f>
        <v>33088/د</v>
      </c>
      <c r="AA1632" s="1" t="str">
        <f>"بنيادمسكن انقلاب اسلامي"</f>
        <v>بنيادمسكن انقلاب اسلامي</v>
      </c>
      <c r="AB1632" s="1" t="str">
        <f>"96/07/24"</f>
        <v>96/07/24</v>
      </c>
      <c r="AC1632" s="1" t="str">
        <f>"استان اصفهان"</f>
        <v>استان اصفهان</v>
      </c>
      <c r="AD1632" s="1" t="str">
        <f>"96/07/25"</f>
        <v>96/07/25</v>
      </c>
      <c r="AE1632" s="1" t="str">
        <f>"اختتام"</f>
        <v>اختتام</v>
      </c>
      <c r="AF1632" s="1" t="str">
        <f>""</f>
        <v/>
      </c>
      <c r="AG1632" s="1" t="str">
        <f>""</f>
        <v/>
      </c>
      <c r="AH1632" s="1" t="str">
        <f>""</f>
        <v/>
      </c>
      <c r="AI1632" s="1" t="str">
        <f>""</f>
        <v/>
      </c>
      <c r="AJ1632" s="1" t="str">
        <f>""</f>
        <v/>
      </c>
      <c r="AK1632" s="1" t="str">
        <f>""</f>
        <v/>
      </c>
    </row>
    <row r="1633" spans="1:37">
      <c r="A1633" s="1">
        <v>15000</v>
      </c>
      <c r="B1633" s="1">
        <v>966200326</v>
      </c>
      <c r="C1633" s="1" t="str">
        <f>"تخليه-ايلام-جاده ايلام-بدره-کارخانه آسفالت ايلام راه بان"</f>
        <v>تخليه-ايلام-جاده ايلام-بدره-کارخانه آسفالت ايلام راه بان</v>
      </c>
      <c r="D1633" s="1">
        <v>12777</v>
      </c>
      <c r="E1633" s="1">
        <v>15000</v>
      </c>
      <c r="F1633" s="1">
        <v>96</v>
      </c>
      <c r="G1633" s="1">
        <v>0</v>
      </c>
      <c r="H1633" s="1" t="str">
        <f>"96/07/24"</f>
        <v>96/07/24</v>
      </c>
      <c r="I1633" s="1" t="str">
        <f>"كيلوگرم"</f>
        <v>كيلوگرم</v>
      </c>
      <c r="J1633" s="1" t="str">
        <f>"1000000003"</f>
        <v>1000000003</v>
      </c>
      <c r="K1633" s="1" t="str">
        <f>"قير MC250"</f>
        <v>قير MC250</v>
      </c>
      <c r="L1633" s="1">
        <v>100</v>
      </c>
      <c r="M1633" s="1" t="str">
        <f>"مخازن قير اصفهان"</f>
        <v>مخازن قير اصفهان</v>
      </c>
      <c r="N1633" s="1">
        <v>11476</v>
      </c>
      <c r="O1633" s="1">
        <v>50036756</v>
      </c>
      <c r="P1633" s="1" t="str">
        <f>"  آرمه بتن هيراد"</f>
        <v xml:space="preserve">  آرمه بتن هيراد</v>
      </c>
      <c r="Q1633" s="1">
        <v>62</v>
      </c>
      <c r="R1633" s="1" t="str">
        <f>"فروش داخلي - سازمان بنيادمسكن انقلاب اسلامي"</f>
        <v>فروش داخلي - سازمان بنيادمسكن انقلاب اسلامي</v>
      </c>
      <c r="S1633" s="1" t="str">
        <f>"قرارداد فروش"</f>
        <v>قرارداد فروش</v>
      </c>
      <c r="T1633" s="1" t="str">
        <f>"ندارد"</f>
        <v>ندارد</v>
      </c>
      <c r="U1633" s="1" t="str">
        <f>"ريسماني حسن(1007ج89)"</f>
        <v>ريسماني حسن(1007ج89)</v>
      </c>
      <c r="V1633" s="1">
        <v>966200326</v>
      </c>
      <c r="W1633" s="1">
        <v>966200326</v>
      </c>
      <c r="X1633" s="1" t="str">
        <f>"1396518905"</f>
        <v>1396518905</v>
      </c>
      <c r="Y1633" s="1" t="str">
        <f>"96/07/24"</f>
        <v>96/07/24</v>
      </c>
      <c r="Z1633" s="1" t="str">
        <f>"32882/د"</f>
        <v>32882/د</v>
      </c>
      <c r="AA1633" s="1" t="str">
        <f>"بنيادمسكن انقلاب اسلامي"</f>
        <v>بنيادمسكن انقلاب اسلامي</v>
      </c>
      <c r="AB1633" s="1" t="str">
        <f>"96/07/24"</f>
        <v>96/07/24</v>
      </c>
      <c r="AC1633" s="1" t="str">
        <f>"استان ايلام"</f>
        <v>استان ايلام</v>
      </c>
      <c r="AD1633" s="1" t="str">
        <f>"96/07/24"</f>
        <v>96/07/24</v>
      </c>
      <c r="AE1633" s="1" t="str">
        <f>"اختتام"</f>
        <v>اختتام</v>
      </c>
      <c r="AF1633" s="1" t="str">
        <f>""</f>
        <v/>
      </c>
      <c r="AG1633" s="1" t="str">
        <f>""</f>
        <v/>
      </c>
      <c r="AH1633" s="1" t="str">
        <f>""</f>
        <v/>
      </c>
      <c r="AI1633" s="1" t="str">
        <f>""</f>
        <v/>
      </c>
      <c r="AJ1633" s="1" t="str">
        <f>""</f>
        <v/>
      </c>
      <c r="AK1633" s="1" t="str">
        <f>""</f>
        <v/>
      </c>
    </row>
    <row r="1634" spans="1:37">
      <c r="A1634" s="1">
        <v>250000</v>
      </c>
      <c r="B1634" s="1">
        <v>966200409</v>
      </c>
      <c r="C1634" s="1" t="str">
        <f>"تخليه-سيستان و بلوچستان-چابهار-سنگ شکن صدرا اميد دمبدف"</f>
        <v>تخليه-سيستان و بلوچستان-چابهار-سنگ شکن صدرا اميد دمبدف</v>
      </c>
      <c r="D1634" s="1">
        <v>15947</v>
      </c>
      <c r="E1634" s="1">
        <v>239500</v>
      </c>
      <c r="F1634" s="1">
        <v>96</v>
      </c>
      <c r="G1634" s="1">
        <v>10500</v>
      </c>
      <c r="H1634" s="1" t="str">
        <f>"96/09/09"</f>
        <v>96/09/09</v>
      </c>
      <c r="I1634" s="1" t="str">
        <f>"كيلوگرم"</f>
        <v>كيلوگرم</v>
      </c>
      <c r="J1634" s="1" t="str">
        <f>"1000000003"</f>
        <v>1000000003</v>
      </c>
      <c r="K1634" s="1" t="str">
        <f>"قير MC250"</f>
        <v>قير MC250</v>
      </c>
      <c r="L1634" s="1">
        <v>100</v>
      </c>
      <c r="M1634" s="1" t="str">
        <f>"مخازن قير اصفهان"</f>
        <v>مخازن قير اصفهان</v>
      </c>
      <c r="N1634" s="1">
        <v>11496</v>
      </c>
      <c r="O1634" s="1">
        <v>50037373</v>
      </c>
      <c r="P1634" s="1" t="str">
        <f>"  سخت کاران سپاهان"</f>
        <v xml:space="preserve">  سخت کاران سپاهان</v>
      </c>
      <c r="Q1634" s="1">
        <v>62</v>
      </c>
      <c r="R1634" s="1" t="str">
        <f>"فروش داخلي - سازمان بنيادمسكن انقلاب اسلامي"</f>
        <v>فروش داخلي - سازمان بنيادمسكن انقلاب اسلامي</v>
      </c>
      <c r="S1634" s="1" t="str">
        <f>"قرارداد فروش"</f>
        <v>قرارداد فروش</v>
      </c>
      <c r="T1634" s="1" t="str">
        <f>"ندارد"</f>
        <v>ندارد</v>
      </c>
      <c r="U1634" s="1" t="str">
        <f>"تاج سعيد هوشنگ (1031ج 89)"</f>
        <v>تاج سعيد هوشنگ (1031ج 89)</v>
      </c>
      <c r="V1634" s="1">
        <v>966200409</v>
      </c>
      <c r="W1634" s="1">
        <v>966200409</v>
      </c>
      <c r="X1634" s="1" t="str">
        <f>"1396529174"</f>
        <v>1396529174</v>
      </c>
      <c r="Y1634" s="1" t="str">
        <f>"96/09/09"</f>
        <v>96/09/09</v>
      </c>
      <c r="Z1634" s="1" t="str">
        <f>"37696/د"</f>
        <v>37696/د</v>
      </c>
      <c r="AA1634" s="1" t="str">
        <f>"بنيادمسكن انقلاب اسلامي"</f>
        <v>بنيادمسكن انقلاب اسلامي</v>
      </c>
      <c r="AB1634" s="1" t="str">
        <f>"96/08/22"</f>
        <v>96/08/22</v>
      </c>
      <c r="AC1634" s="1" t="str">
        <f>"استان سيستان بلوچستان"</f>
        <v>استان سيستان بلوچستان</v>
      </c>
      <c r="AD1634" s="1" t="str">
        <f>"96/09/08"</f>
        <v>96/09/08</v>
      </c>
      <c r="AE1634" s="1" t="str">
        <f>"اختتام"</f>
        <v>اختتام</v>
      </c>
      <c r="AF1634" s="1" t="str">
        <f>""</f>
        <v/>
      </c>
      <c r="AG1634" s="1" t="str">
        <f>""</f>
        <v/>
      </c>
      <c r="AH1634" s="1" t="str">
        <f>""</f>
        <v/>
      </c>
      <c r="AI1634" s="1" t="str">
        <f>""</f>
        <v/>
      </c>
      <c r="AJ1634" s="1" t="str">
        <f>""</f>
        <v/>
      </c>
      <c r="AK1634" s="1" t="str">
        <f>""</f>
        <v/>
      </c>
    </row>
    <row r="1635" spans="1:37">
      <c r="A1635" s="1">
        <v>48000</v>
      </c>
      <c r="B1635" s="1">
        <v>961100077</v>
      </c>
      <c r="C1635" s="1" t="str">
        <f>"تخليه -زنجان كيلومتر9جاده فرودگاه كارخانه آسفالت سارمساقلو"</f>
        <v>تخليه -زنجان كيلومتر9جاده فرودگاه كارخانه آسفالت سارمساقلو</v>
      </c>
      <c r="D1635" s="1">
        <v>12777</v>
      </c>
      <c r="E1635" s="1">
        <v>45460</v>
      </c>
      <c r="F1635" s="1">
        <v>96</v>
      </c>
      <c r="G1635" s="1">
        <v>2540</v>
      </c>
      <c r="H1635" s="1" t="str">
        <f>"96/07/19"</f>
        <v>96/07/19</v>
      </c>
      <c r="I1635" s="1" t="str">
        <f>"كيلوگرم"</f>
        <v>كيلوگرم</v>
      </c>
      <c r="J1635" s="1" t="str">
        <f>"1000000003"</f>
        <v>1000000003</v>
      </c>
      <c r="K1635" s="1" t="str">
        <f>"قير MC250"</f>
        <v>قير MC250</v>
      </c>
      <c r="L1635" s="1">
        <v>100</v>
      </c>
      <c r="M1635" s="1" t="str">
        <f>"مخازن قير اصفهان"</f>
        <v>مخازن قير اصفهان</v>
      </c>
      <c r="N1635" s="1">
        <v>11096</v>
      </c>
      <c r="O1635" s="1">
        <v>50036686</v>
      </c>
      <c r="P1635" s="1" t="str">
        <f>"  شهرداري زنجان"</f>
        <v xml:space="preserve">  شهرداري زنجان</v>
      </c>
      <c r="Q1635" s="1">
        <v>11</v>
      </c>
      <c r="R1635" s="1" t="str">
        <f>"فروش داخلي تهران - بورس"</f>
        <v>فروش داخلي تهران - بورس</v>
      </c>
      <c r="S1635" s="1" t="str">
        <f>"قرارداد فروش"</f>
        <v>قرارداد فروش</v>
      </c>
      <c r="T1635" s="1" t="str">
        <f>"ندارد"</f>
        <v>ندارد</v>
      </c>
      <c r="U1635" s="1" t="str">
        <f>"فتاح زاده سيداحمد(3843011)"</f>
        <v>فتاح زاده سيداحمد(3843011)</v>
      </c>
      <c r="V1635" s="1">
        <v>961100077</v>
      </c>
      <c r="W1635" s="1">
        <v>961100077</v>
      </c>
      <c r="X1635" s="1" t="str">
        <f>"1396517667"</f>
        <v>1396517667</v>
      </c>
      <c r="Y1635" s="1" t="str">
        <f>"96/07/19"</f>
        <v>96/07/19</v>
      </c>
      <c r="Z1635" s="1" t="str">
        <f>"96/2/30308ص"</f>
        <v>96/2/30308ص</v>
      </c>
      <c r="AA1635" s="1" t="str">
        <f>"شهرداريها"</f>
        <v>شهرداريها</v>
      </c>
      <c r="AB1635" s="1" t="str">
        <f>"96/07/15"</f>
        <v>96/07/15</v>
      </c>
      <c r="AC1635" s="1" t="str">
        <f>"استان زنجان"</f>
        <v>استان زنجان</v>
      </c>
      <c r="AD1635" s="1" t="str">
        <f>"96/07/18"</f>
        <v>96/07/18</v>
      </c>
      <c r="AE1635" s="1" t="str">
        <f>"اختتام"</f>
        <v>اختتام</v>
      </c>
      <c r="AF1635" s="1" t="str">
        <f>""</f>
        <v/>
      </c>
      <c r="AG1635" s="1" t="str">
        <f>""</f>
        <v/>
      </c>
      <c r="AH1635" s="1" t="str">
        <f>""</f>
        <v/>
      </c>
      <c r="AI1635" s="1" t="str">
        <f>""</f>
        <v/>
      </c>
      <c r="AJ1635" s="1" t="str">
        <f>""</f>
        <v/>
      </c>
      <c r="AK1635" s="1" t="str">
        <f>""</f>
        <v/>
      </c>
    </row>
    <row r="1636" spans="1:37">
      <c r="A1636" s="1">
        <v>50000</v>
      </c>
      <c r="B1636" s="1">
        <v>961100101</v>
      </c>
      <c r="C1636" s="1" t="str">
        <f>"تخليه -زنجان كيلومتر9جاده فرودگاه كارخانه آسفالت سارمساقلو"</f>
        <v>تخليه -زنجان كيلومتر9جاده فرودگاه كارخانه آسفالت سارمساقلو</v>
      </c>
      <c r="D1636" s="1">
        <v>15947</v>
      </c>
      <c r="E1636" s="1">
        <v>50000</v>
      </c>
      <c r="F1636" s="1">
        <v>96</v>
      </c>
      <c r="G1636" s="1">
        <v>0</v>
      </c>
      <c r="H1636" s="1" t="str">
        <f>"96/09/19"</f>
        <v>96/09/19</v>
      </c>
      <c r="I1636" s="1" t="str">
        <f>"كيلوگرم"</f>
        <v>كيلوگرم</v>
      </c>
      <c r="J1636" s="1" t="str">
        <f>"1000000003"</f>
        <v>1000000003</v>
      </c>
      <c r="K1636" s="1" t="str">
        <f>"قير MC250"</f>
        <v>قير MC250</v>
      </c>
      <c r="L1636" s="1">
        <v>100</v>
      </c>
      <c r="M1636" s="1" t="str">
        <f>"مخازن قير اصفهان"</f>
        <v>مخازن قير اصفهان</v>
      </c>
      <c r="N1636" s="1">
        <v>11096</v>
      </c>
      <c r="O1636" s="1">
        <v>50037848</v>
      </c>
      <c r="P1636" s="1" t="str">
        <f>"  شهرداري زنجان"</f>
        <v xml:space="preserve">  شهرداري زنجان</v>
      </c>
      <c r="Q1636" s="1">
        <v>11</v>
      </c>
      <c r="R1636" s="1" t="str">
        <f>"فروش داخلي تهران - بورس"</f>
        <v>فروش داخلي تهران - بورس</v>
      </c>
      <c r="S1636" s="1" t="str">
        <f>"قرارداد فروش"</f>
        <v>قرارداد فروش</v>
      </c>
      <c r="T1636" s="1" t="str">
        <f>"ندارد"</f>
        <v>ندارد</v>
      </c>
      <c r="U1636" s="1" t="str">
        <f>"فتاح زاده سيداحمد(3843011)"</f>
        <v>فتاح زاده سيداحمد(3843011)</v>
      </c>
      <c r="V1636" s="1">
        <v>961100101</v>
      </c>
      <c r="W1636" s="1">
        <v>961100101</v>
      </c>
      <c r="X1636" s="1" t="str">
        <f>"1396529919"</f>
        <v>1396529919</v>
      </c>
      <c r="Y1636" s="1" t="str">
        <f>"96/09/14"</f>
        <v>96/09/14</v>
      </c>
      <c r="Z1636" s="1" t="str">
        <f>"96/1/38333"</f>
        <v>96/1/38333</v>
      </c>
      <c r="AA1636" s="1" t="str">
        <f>"شهرداريها"</f>
        <v>شهرداريها</v>
      </c>
      <c r="AB1636" s="1" t="str">
        <f>"96/09/09"</f>
        <v>96/09/09</v>
      </c>
      <c r="AC1636" s="1" t="str">
        <f>"استان زنجان"</f>
        <v>استان زنجان</v>
      </c>
      <c r="AD1636" s="1" t="str">
        <f>"96/09/14"</f>
        <v>96/09/14</v>
      </c>
      <c r="AE1636" s="1" t="str">
        <f>"اختتام"</f>
        <v>اختتام</v>
      </c>
      <c r="AF1636" s="1" t="str">
        <f>""</f>
        <v/>
      </c>
      <c r="AG1636" s="1" t="str">
        <f>""</f>
        <v/>
      </c>
      <c r="AH1636" s="1" t="str">
        <f>""</f>
        <v/>
      </c>
      <c r="AI1636" s="1" t="str">
        <f>""</f>
        <v/>
      </c>
      <c r="AJ1636" s="1" t="str">
        <f>""</f>
        <v/>
      </c>
      <c r="AK1636" s="1" t="str">
        <f>""</f>
        <v/>
      </c>
    </row>
    <row r="1637" spans="1:37">
      <c r="A1637" s="1">
        <v>15000</v>
      </c>
      <c r="B1637" s="1">
        <v>966200749</v>
      </c>
      <c r="C1637" s="1" t="str">
        <f>"تخليه -خراسان جنوبي اسفدن -كارخانه توس راديه"</f>
        <v>تخليه -خراسان جنوبي اسفدن -كارخانه توس راديه</v>
      </c>
      <c r="D1637" s="1">
        <v>16650</v>
      </c>
      <c r="E1637" s="1">
        <v>15000</v>
      </c>
      <c r="F1637" s="1">
        <v>96</v>
      </c>
      <c r="G1637" s="1">
        <v>0</v>
      </c>
      <c r="H1637" s="1" t="str">
        <f>"96/12/26"</f>
        <v>96/12/26</v>
      </c>
      <c r="I1637" s="1" t="str">
        <f>"كيلوگرم"</f>
        <v>كيلوگرم</v>
      </c>
      <c r="J1637" s="1" t="str">
        <f>"1000000003"</f>
        <v>1000000003</v>
      </c>
      <c r="K1637" s="1" t="str">
        <f>"قير MC250"</f>
        <v>قير MC250</v>
      </c>
      <c r="L1637" s="1">
        <v>100</v>
      </c>
      <c r="M1637" s="1" t="str">
        <f>"مخازن قير اصفهان"</f>
        <v>مخازن قير اصفهان</v>
      </c>
      <c r="N1637" s="1">
        <v>11119</v>
      </c>
      <c r="O1637" s="1">
        <v>50039110</v>
      </c>
      <c r="P1637" s="1" t="str">
        <f>"  نويدگسترزهان"</f>
        <v xml:space="preserve">  نويدگسترزهان</v>
      </c>
      <c r="Q1637" s="1">
        <v>62</v>
      </c>
      <c r="R1637" s="1" t="str">
        <f>"فروش داخلي - سازمان بنيادمسكن انقلاب اسلامي"</f>
        <v>فروش داخلي - سازمان بنيادمسكن انقلاب اسلامي</v>
      </c>
      <c r="S1637" s="1" t="str">
        <f>"قرارداد فروش"</f>
        <v>قرارداد فروش</v>
      </c>
      <c r="T1637" s="1" t="str">
        <f>"ندارد"</f>
        <v>ندارد</v>
      </c>
      <c r="U1637" s="1" t="str">
        <f>"آقا علي منوچهر(1016ج89)"</f>
        <v>آقا علي منوچهر(1016ج89)</v>
      </c>
      <c r="V1637" s="1">
        <v>966200749</v>
      </c>
      <c r="W1637" s="1">
        <v>966200749</v>
      </c>
      <c r="X1637" s="1" t="str">
        <f>"1396555373"</f>
        <v>1396555373</v>
      </c>
      <c r="Y1637" s="1" t="str">
        <f>"96/12/26"</f>
        <v>96/12/26</v>
      </c>
      <c r="Z1637" s="1" t="str">
        <f>"59745/د"</f>
        <v>59745/د</v>
      </c>
      <c r="AA1637" s="1" t="str">
        <f>"بنيادمسكن انقلاب اسلامي"</f>
        <v>بنيادمسكن انقلاب اسلامي</v>
      </c>
      <c r="AB1637" s="1" t="str">
        <f>"96/12/26"</f>
        <v>96/12/26</v>
      </c>
      <c r="AC1637" s="1" t="str">
        <f>"خراسان جنوبي"</f>
        <v>خراسان جنوبي</v>
      </c>
      <c r="AD1637" s="1" t="str">
        <f>"96/12/26"</f>
        <v>96/12/26</v>
      </c>
      <c r="AE1637" s="1" t="str">
        <f>"اختتام"</f>
        <v>اختتام</v>
      </c>
      <c r="AF1637" s="1" t="str">
        <f>""</f>
        <v/>
      </c>
      <c r="AG1637" s="1" t="str">
        <f>""</f>
        <v/>
      </c>
      <c r="AH1637" s="1" t="str">
        <f>""</f>
        <v/>
      </c>
      <c r="AI1637" s="1" t="str">
        <f>""</f>
        <v/>
      </c>
      <c r="AJ1637" s="1" t="str">
        <f>""</f>
        <v/>
      </c>
      <c r="AK1637" s="1" t="str">
        <f>""</f>
        <v/>
      </c>
    </row>
    <row r="1638" spans="1:37">
      <c r="A1638" s="1">
        <v>20000</v>
      </c>
      <c r="B1638" s="1">
        <v>966200026</v>
      </c>
      <c r="C1638" s="1" t="str">
        <f>"تخليه - اصفهان-6/5 کيلومتري جنوب جاده اصفهان نايين-امتداد جاده به سمت کشتارگاه روستاي فساران"</f>
        <v>تخليه - اصفهان-6/5 کيلومتري جنوب جاده اصفهان نايين-امتداد جاده به سمت کشتارگاه روستاي فساران</v>
      </c>
      <c r="D1638" s="1">
        <v>11482</v>
      </c>
      <c r="E1638" s="1">
        <v>18160</v>
      </c>
      <c r="F1638" s="1">
        <v>96</v>
      </c>
      <c r="G1638" s="1">
        <v>1840</v>
      </c>
      <c r="H1638" s="1" t="str">
        <f>"96/01/23"</f>
        <v>96/01/23</v>
      </c>
      <c r="I1638" s="1" t="str">
        <f>"كيلوگرم"</f>
        <v>كيلوگرم</v>
      </c>
      <c r="J1638" s="1" t="str">
        <f>"1000000003"</f>
        <v>1000000003</v>
      </c>
      <c r="K1638" s="1" t="str">
        <f>"قير MC250"</f>
        <v>قير MC250</v>
      </c>
      <c r="L1638" s="1">
        <v>100</v>
      </c>
      <c r="M1638" s="1" t="str">
        <f>"مخازن قير اصفهان"</f>
        <v>مخازن قير اصفهان</v>
      </c>
      <c r="N1638" s="1">
        <v>11236</v>
      </c>
      <c r="O1638" s="1">
        <v>50034537</v>
      </c>
      <c r="P1638" s="1" t="str">
        <f>"  ستايش گستر زنده رود"</f>
        <v xml:space="preserve">  ستايش گستر زنده رود</v>
      </c>
      <c r="Q1638" s="1">
        <v>62</v>
      </c>
      <c r="R1638" s="1" t="str">
        <f>"فروش داخلي - سازمان بنيادمسكن انقلاب اسلامي"</f>
        <v>فروش داخلي - سازمان بنيادمسكن انقلاب اسلامي</v>
      </c>
      <c r="S1638" s="1" t="str">
        <f>"قرارداد فروش"</f>
        <v>قرارداد فروش</v>
      </c>
      <c r="T1638" s="1" t="str">
        <f>"ندارد"</f>
        <v>ندارد</v>
      </c>
      <c r="U1638" s="1" t="str">
        <f>"قره باغي مجيد(1871065)"</f>
        <v>قره باغي مجيد(1871065)</v>
      </c>
      <c r="V1638" s="1">
        <v>966200026</v>
      </c>
      <c r="W1638" s="1">
        <v>966200026</v>
      </c>
      <c r="X1638" s="1" t="str">
        <f>"1396474037"</f>
        <v>1396474037</v>
      </c>
      <c r="Y1638" s="1" t="str">
        <f>"96/01/23"</f>
        <v>96/01/23</v>
      </c>
      <c r="Z1638" s="1" t="str">
        <f>"1447/د"</f>
        <v>1447/د</v>
      </c>
      <c r="AA1638" s="1" t="str">
        <f>"بنيادمسكن انقلاب اسلامي"</f>
        <v>بنيادمسكن انقلاب اسلامي</v>
      </c>
      <c r="AB1638" s="1" t="str">
        <f>"96/01/23"</f>
        <v>96/01/23</v>
      </c>
      <c r="AC1638" s="1" t="str">
        <f>"استان اصفهان"</f>
        <v>استان اصفهان</v>
      </c>
      <c r="AD1638" s="1" t="str">
        <f>"96/01/23"</f>
        <v>96/01/23</v>
      </c>
      <c r="AE1638" s="1" t="str">
        <f>"اختتام"</f>
        <v>اختتام</v>
      </c>
      <c r="AF1638" s="1" t="str">
        <f>""</f>
        <v/>
      </c>
      <c r="AG1638" s="1" t="str">
        <f>""</f>
        <v/>
      </c>
      <c r="AH1638" s="1" t="str">
        <f>""</f>
        <v/>
      </c>
      <c r="AI1638" s="1" t="str">
        <f>""</f>
        <v/>
      </c>
      <c r="AJ1638" s="1" t="str">
        <f>""</f>
        <v/>
      </c>
      <c r="AK1638" s="1" t="str">
        <f>""</f>
        <v/>
      </c>
    </row>
    <row r="1639" spans="1:37">
      <c r="A1639" s="1">
        <v>151000</v>
      </c>
      <c r="B1639" s="1">
        <v>966200596</v>
      </c>
      <c r="C1639" s="1" t="str">
        <f>"تخليه - سيستان و بلوچستان-شهرستان نيمروز-روستاي سفيدآبه"</f>
        <v>تخليه - سيستان و بلوچستان-شهرستان نيمروز-روستاي سفيدآبه</v>
      </c>
      <c r="D1639" s="1">
        <v>16650</v>
      </c>
      <c r="E1639" s="1">
        <v>138600</v>
      </c>
      <c r="F1639" s="1">
        <v>96</v>
      </c>
      <c r="G1639" s="1">
        <v>12400</v>
      </c>
      <c r="H1639" s="1" t="str">
        <f>"96/12/08"</f>
        <v>96/12/08</v>
      </c>
      <c r="I1639" s="1" t="str">
        <f>"كيلوگرم"</f>
        <v>كيلوگرم</v>
      </c>
      <c r="J1639" s="1" t="str">
        <f>"1000000003"</f>
        <v>1000000003</v>
      </c>
      <c r="K1639" s="1" t="str">
        <f>"قير MC250"</f>
        <v>قير MC250</v>
      </c>
      <c r="L1639" s="1">
        <v>100</v>
      </c>
      <c r="M1639" s="1" t="str">
        <f>"مخازن قير اصفهان"</f>
        <v>مخازن قير اصفهان</v>
      </c>
      <c r="N1639" s="1">
        <v>11134</v>
      </c>
      <c r="O1639" s="1">
        <v>50038642</v>
      </c>
      <c r="P1639" s="1" t="str">
        <f>"  آژينه سازه زاگرس"</f>
        <v xml:space="preserve">  آژينه سازه زاگرس</v>
      </c>
      <c r="Q1639" s="1">
        <v>62</v>
      </c>
      <c r="R1639" s="1" t="str">
        <f>"فروش داخلي - سازمان بنيادمسكن انقلاب اسلامي"</f>
        <v>فروش داخلي - سازمان بنيادمسكن انقلاب اسلامي</v>
      </c>
      <c r="S1639" s="1" t="str">
        <f>"قرارداد فروش"</f>
        <v>قرارداد فروش</v>
      </c>
      <c r="T1639" s="1" t="str">
        <f>"ندارد"</f>
        <v>ندارد</v>
      </c>
      <c r="U1639" s="1" t="str">
        <f>"عزيزي صفر(1006ج 89)"</f>
        <v>عزيزي صفر(1006ج 89)</v>
      </c>
      <c r="V1639" s="1">
        <v>966200596</v>
      </c>
      <c r="W1639" s="1">
        <v>966200596</v>
      </c>
      <c r="X1639" s="1" t="str">
        <f>"1396551023"</f>
        <v>1396551023</v>
      </c>
      <c r="Y1639" s="1" t="str">
        <f>"96/12/08"</f>
        <v>96/12/08</v>
      </c>
      <c r="Z1639" s="1" t="str">
        <f>"55336/د"</f>
        <v>55336/د</v>
      </c>
      <c r="AA1639" s="1" t="str">
        <f>"بنيادمسكن انقلاب اسلامي"</f>
        <v>بنيادمسكن انقلاب اسلامي</v>
      </c>
      <c r="AB1639" s="1" t="str">
        <f>"96/12/07"</f>
        <v>96/12/07</v>
      </c>
      <c r="AC1639" s="1" t="str">
        <f>"استان سيستان بلوچستان"</f>
        <v>استان سيستان بلوچستان</v>
      </c>
      <c r="AD1639" s="1" t="str">
        <f>"96/12/08"</f>
        <v>96/12/08</v>
      </c>
      <c r="AE1639" s="1" t="str">
        <f>"اختتام"</f>
        <v>اختتام</v>
      </c>
      <c r="AF1639" s="1" t="str">
        <f>""</f>
        <v/>
      </c>
      <c r="AG1639" s="1" t="str">
        <f>""</f>
        <v/>
      </c>
      <c r="AH1639" s="1" t="str">
        <f>""</f>
        <v/>
      </c>
      <c r="AI1639" s="1" t="str">
        <f>""</f>
        <v/>
      </c>
      <c r="AJ1639" s="1" t="str">
        <f>""</f>
        <v/>
      </c>
      <c r="AK1639" s="1" t="str">
        <f>""</f>
        <v/>
      </c>
    </row>
    <row r="1640" spans="1:37">
      <c r="A1640" s="1">
        <v>15000</v>
      </c>
      <c r="B1640" s="1">
        <v>966200682</v>
      </c>
      <c r="C1640" s="1" t="str">
        <f>"تخليه - اصفهان-6/5 کيلومتري جنوب جاده اصفهان نايين-امتداد جاده به سمت کشتارگاه روستاي فساران"</f>
        <v>تخليه - اصفهان-6/5 کيلومتري جنوب جاده اصفهان نايين-امتداد جاده به سمت کشتارگاه روستاي فساران</v>
      </c>
      <c r="D1640" s="1">
        <v>16650</v>
      </c>
      <c r="E1640" s="1">
        <v>15000</v>
      </c>
      <c r="F1640" s="1">
        <v>96</v>
      </c>
      <c r="G1640" s="1">
        <v>0</v>
      </c>
      <c r="H1640" s="1" t="str">
        <f>"96/12/20"</f>
        <v>96/12/20</v>
      </c>
      <c r="I1640" s="1" t="str">
        <f>"كيلوگرم"</f>
        <v>كيلوگرم</v>
      </c>
      <c r="J1640" s="1" t="str">
        <f>"1000000003"</f>
        <v>1000000003</v>
      </c>
      <c r="K1640" s="1" t="str">
        <f>"قير MC250"</f>
        <v>قير MC250</v>
      </c>
      <c r="L1640" s="1">
        <v>100</v>
      </c>
      <c r="M1640" s="1" t="str">
        <f>"مخازن قير اصفهان"</f>
        <v>مخازن قير اصفهان</v>
      </c>
      <c r="N1640" s="1">
        <v>11236</v>
      </c>
      <c r="O1640" s="1">
        <v>50038868</v>
      </c>
      <c r="P1640" s="1" t="str">
        <f>"  ستايش گستر زنده رود"</f>
        <v xml:space="preserve">  ستايش گستر زنده رود</v>
      </c>
      <c r="Q1640" s="1">
        <v>62</v>
      </c>
      <c r="R1640" s="1" t="str">
        <f>"فروش داخلي - سازمان بنيادمسكن انقلاب اسلامي"</f>
        <v>فروش داخلي - سازمان بنيادمسكن انقلاب اسلامي</v>
      </c>
      <c r="S1640" s="1" t="str">
        <f>"قرارداد فروش"</f>
        <v>قرارداد فروش</v>
      </c>
      <c r="T1640" s="1" t="str">
        <f>"ندارد"</f>
        <v>ندارد</v>
      </c>
      <c r="U1640" s="1" t="str">
        <f>"قره باغي مجيد(1871065)"</f>
        <v>قره باغي مجيد(1871065)</v>
      </c>
      <c r="V1640" s="1">
        <v>966200682</v>
      </c>
      <c r="W1640" s="1">
        <v>966200682</v>
      </c>
      <c r="X1640" s="1" t="str">
        <f>"1396553922"</f>
        <v>1396553922</v>
      </c>
      <c r="Y1640" s="1" t="str">
        <f>"96/12/20"</f>
        <v>96/12/20</v>
      </c>
      <c r="Z1640" s="1" t="str">
        <f>"58144/د"</f>
        <v>58144/د</v>
      </c>
      <c r="AA1640" s="1" t="str">
        <f>"بنيادمسكن انقلاب اسلامي"</f>
        <v>بنيادمسكن انقلاب اسلامي</v>
      </c>
      <c r="AB1640" s="1" t="str">
        <f>"96/12/19"</f>
        <v>96/12/19</v>
      </c>
      <c r="AC1640" s="1" t="str">
        <f>"استان اصفهان"</f>
        <v>استان اصفهان</v>
      </c>
      <c r="AD1640" s="1" t="str">
        <f>"96/12/20"</f>
        <v>96/12/20</v>
      </c>
      <c r="AE1640" s="1" t="str">
        <f>"اختتام"</f>
        <v>اختتام</v>
      </c>
      <c r="AF1640" s="1" t="str">
        <f>""</f>
        <v/>
      </c>
      <c r="AG1640" s="1" t="str">
        <f>""</f>
        <v/>
      </c>
      <c r="AH1640" s="1" t="str">
        <f>""</f>
        <v/>
      </c>
      <c r="AI1640" s="1" t="str">
        <f>""</f>
        <v/>
      </c>
      <c r="AJ1640" s="1" t="str">
        <f>""</f>
        <v/>
      </c>
      <c r="AK1640" s="1" t="str">
        <f>""</f>
        <v/>
      </c>
    </row>
    <row r="1641" spans="1:37">
      <c r="A1641" s="1">
        <v>375000</v>
      </c>
      <c r="B1641" s="1">
        <v>966200133</v>
      </c>
      <c r="C1641" s="1" t="str">
        <f>"تخليه-سيستان و بلوچستان-ايرانشهر-روستاهاي شهردراز-چاه جمال و رسول آباد"</f>
        <v>تخليه-سيستان و بلوچستان-ايرانشهر-روستاهاي شهردراز-چاه جمال و رسول آباد</v>
      </c>
      <c r="D1641" s="1">
        <v>12222</v>
      </c>
      <c r="E1641" s="1">
        <v>374060</v>
      </c>
      <c r="F1641" s="1">
        <v>96</v>
      </c>
      <c r="G1641" s="1">
        <v>940</v>
      </c>
      <c r="H1641" s="1" t="str">
        <f>"96/04/20"</f>
        <v>96/04/20</v>
      </c>
      <c r="I1641" s="1" t="str">
        <f>"كيلوگرم"</f>
        <v>كيلوگرم</v>
      </c>
      <c r="J1641" s="1" t="str">
        <f>"1000000003"</f>
        <v>1000000003</v>
      </c>
      <c r="K1641" s="1" t="str">
        <f>"قير MC250"</f>
        <v>قير MC250</v>
      </c>
      <c r="L1641" s="1">
        <v>100</v>
      </c>
      <c r="M1641" s="1" t="str">
        <f>"مخازن قير اصفهان"</f>
        <v>مخازن قير اصفهان</v>
      </c>
      <c r="N1641" s="1">
        <v>11373</v>
      </c>
      <c r="O1641" s="1">
        <v>50035164</v>
      </c>
      <c r="P1641" s="1" t="str">
        <f>"  نويد راه بان البرز"</f>
        <v xml:space="preserve">  نويد راه بان البرز</v>
      </c>
      <c r="Q1641" s="1">
        <v>62</v>
      </c>
      <c r="R1641" s="1" t="str">
        <f>"فروش داخلي - سازمان بنيادمسكن انقلاب اسلامي"</f>
        <v>فروش داخلي - سازمان بنيادمسكن انقلاب اسلامي</v>
      </c>
      <c r="S1641" s="1" t="str">
        <f>"قرارداد فروش"</f>
        <v>قرارداد فروش</v>
      </c>
      <c r="T1641" s="1" t="str">
        <f>"ندارد"</f>
        <v>ندارد</v>
      </c>
      <c r="U1641" s="1" t="str">
        <f>"تاج سعيد هوشنگ (1031ج 89)"</f>
        <v>تاج سعيد هوشنگ (1031ج 89)</v>
      </c>
      <c r="V1641" s="1">
        <v>966200133</v>
      </c>
      <c r="W1641" s="1">
        <v>966200133</v>
      </c>
      <c r="X1641" s="1" t="str">
        <f>"1396495017"</f>
        <v>1396495017</v>
      </c>
      <c r="Y1641" s="1" t="str">
        <f>"96/04/20"</f>
        <v>96/04/20</v>
      </c>
      <c r="Z1641" s="1" t="str">
        <f>"15407/د"</f>
        <v>15407/د</v>
      </c>
      <c r="AA1641" s="1" t="str">
        <f>"بنيادمسكن انقلاب اسلامي"</f>
        <v>بنيادمسكن انقلاب اسلامي</v>
      </c>
      <c r="AB1641" s="1" t="str">
        <f>"96/04/18"</f>
        <v>96/04/18</v>
      </c>
      <c r="AC1641" s="1" t="str">
        <f>"استان سيستان بلوچستان"</f>
        <v>استان سيستان بلوچستان</v>
      </c>
      <c r="AD1641" s="1" t="str">
        <f>"96/04/19"</f>
        <v>96/04/19</v>
      </c>
      <c r="AE1641" s="1" t="str">
        <f>"اختتام"</f>
        <v>اختتام</v>
      </c>
      <c r="AF1641" s="1" t="str">
        <f>""</f>
        <v/>
      </c>
      <c r="AG1641" s="1" t="str">
        <f>""</f>
        <v/>
      </c>
      <c r="AH1641" s="1" t="str">
        <f>""</f>
        <v/>
      </c>
      <c r="AI1641" s="1" t="str">
        <f>""</f>
        <v/>
      </c>
      <c r="AJ1641" s="1" t="str">
        <f>""</f>
        <v/>
      </c>
      <c r="AK1641" s="1" t="str">
        <f>""</f>
        <v/>
      </c>
    </row>
    <row r="1642" spans="1:37">
      <c r="A1642" s="1">
        <v>67000</v>
      </c>
      <c r="B1642" s="1">
        <v>966200332</v>
      </c>
      <c r="C1642" s="1" t="str">
        <f>"تخليه - خراسان جنوبي-آرين شهر-کيلومتر 3 جاده آرين شهر-بيرجند-کارخانه آسفالت آب شن راه طوس"</f>
        <v>تخليه - خراسان جنوبي-آرين شهر-کيلومتر 3 جاده آرين شهر-بيرجند-کارخانه آسفالت آب شن راه طوس</v>
      </c>
      <c r="D1642" s="1">
        <v>12777</v>
      </c>
      <c r="E1642" s="1">
        <v>62920</v>
      </c>
      <c r="F1642" s="1">
        <v>96</v>
      </c>
      <c r="G1642" s="1">
        <v>4080</v>
      </c>
      <c r="H1642" s="1" t="str">
        <f>"96/07/24"</f>
        <v>96/07/24</v>
      </c>
      <c r="I1642" s="1" t="str">
        <f>"كيلوگرم"</f>
        <v>كيلوگرم</v>
      </c>
      <c r="J1642" s="1" t="str">
        <f>"1000000003"</f>
        <v>1000000003</v>
      </c>
      <c r="K1642" s="1" t="str">
        <f>"قير MC250"</f>
        <v>قير MC250</v>
      </c>
      <c r="L1642" s="1">
        <v>100</v>
      </c>
      <c r="M1642" s="1" t="str">
        <f>"مخازن قير اصفهان"</f>
        <v>مخازن قير اصفهان</v>
      </c>
      <c r="N1642" s="1">
        <v>11477</v>
      </c>
      <c r="O1642" s="1">
        <v>50036762</v>
      </c>
      <c r="P1642" s="1" t="str">
        <f>"  آب شن راه طوس"</f>
        <v xml:space="preserve">  آب شن راه طوس</v>
      </c>
      <c r="Q1642" s="1">
        <v>62</v>
      </c>
      <c r="R1642" s="1" t="str">
        <f>"فروش داخلي - سازمان بنيادمسكن انقلاب اسلامي"</f>
        <v>فروش داخلي - سازمان بنيادمسكن انقلاب اسلامي</v>
      </c>
      <c r="S1642" s="1" t="str">
        <f>"قرارداد فروش"</f>
        <v>قرارداد فروش</v>
      </c>
      <c r="T1642" s="1" t="str">
        <f>"ندارد"</f>
        <v>ندارد</v>
      </c>
      <c r="U1642" s="1" t="str">
        <f>"غلام نجفي سيامك‌‌‌‌‌‌(1881082)"</f>
        <v>غلام نجفي سيامك‌‌‌‌‌‌(1881082)</v>
      </c>
      <c r="V1642" s="1">
        <v>966200332</v>
      </c>
      <c r="W1642" s="1">
        <v>966200332</v>
      </c>
      <c r="X1642" s="1" t="str">
        <f>"1396518905"</f>
        <v>1396518905</v>
      </c>
      <c r="Y1642" s="1" t="str">
        <f>"96/07/24"</f>
        <v>96/07/24</v>
      </c>
      <c r="Z1642" s="1" t="str">
        <f>"32928/د"</f>
        <v>32928/د</v>
      </c>
      <c r="AA1642" s="1" t="str">
        <f>"بنيادمسكن انقلاب اسلامي"</f>
        <v>بنيادمسكن انقلاب اسلامي</v>
      </c>
      <c r="AB1642" s="1" t="str">
        <f>"96/07/24"</f>
        <v>96/07/24</v>
      </c>
      <c r="AC1642" s="1" t="str">
        <f>"خراسان جنوبي"</f>
        <v>خراسان جنوبي</v>
      </c>
      <c r="AD1642" s="1" t="str">
        <f>"96/07/24"</f>
        <v>96/07/24</v>
      </c>
      <c r="AE1642" s="1" t="str">
        <f>"اختتام"</f>
        <v>اختتام</v>
      </c>
      <c r="AF1642" s="1" t="str">
        <f>""</f>
        <v/>
      </c>
      <c r="AG1642" s="1" t="str">
        <f>""</f>
        <v/>
      </c>
      <c r="AH1642" s="1" t="str">
        <f>""</f>
        <v/>
      </c>
      <c r="AI1642" s="1" t="str">
        <f>""</f>
        <v/>
      </c>
      <c r="AJ1642" s="1" t="str">
        <f>""</f>
        <v/>
      </c>
      <c r="AK1642" s="1" t="str">
        <f>""</f>
        <v/>
      </c>
    </row>
    <row r="1643" spans="1:37">
      <c r="A1643" s="1">
        <v>30000</v>
      </c>
      <c r="B1643" s="1">
        <v>966200378</v>
      </c>
      <c r="C1643" s="1" t="str">
        <f>"تخليه - ايلام-جاده قديم صالح آباد -بالاتر از شهرک سرطاف-کارخانه آسفالت شرکت ايلام قيرپاش"</f>
        <v>تخليه - ايلام-جاده قديم صالح آباد -بالاتر از شهرک سرطاف-کارخانه آسفالت شرکت ايلام قيرپاش</v>
      </c>
      <c r="D1643" s="1">
        <v>13257</v>
      </c>
      <c r="E1643" s="1">
        <v>29000</v>
      </c>
      <c r="F1643" s="1">
        <v>96</v>
      </c>
      <c r="G1643" s="1">
        <v>1000</v>
      </c>
      <c r="H1643" s="1" t="str">
        <f>"96/08/20"</f>
        <v>96/08/20</v>
      </c>
      <c r="I1643" s="1" t="str">
        <f>"كيلوگرم"</f>
        <v>كيلوگرم</v>
      </c>
      <c r="J1643" s="1" t="str">
        <f>"1000000003"</f>
        <v>1000000003</v>
      </c>
      <c r="K1643" s="1" t="str">
        <f>"قير MC250"</f>
        <v>قير MC250</v>
      </c>
      <c r="L1643" s="1">
        <v>100</v>
      </c>
      <c r="M1643" s="1" t="str">
        <f>"مخازن قير اصفهان"</f>
        <v>مخازن قير اصفهان</v>
      </c>
      <c r="N1643" s="1">
        <v>11481</v>
      </c>
      <c r="O1643" s="1">
        <v>50037166</v>
      </c>
      <c r="P1643" s="1" t="str">
        <f>"  فلك افرازمانشت"</f>
        <v xml:space="preserve">  فلك افرازمانشت</v>
      </c>
      <c r="Q1643" s="1">
        <v>62</v>
      </c>
      <c r="R1643" s="1" t="str">
        <f>"فروش داخلي - سازمان بنيادمسكن انقلاب اسلامي"</f>
        <v>فروش داخلي - سازمان بنيادمسكن انقلاب اسلامي</v>
      </c>
      <c r="S1643" s="1" t="str">
        <f>"قرارداد فروش"</f>
        <v>قرارداد فروش</v>
      </c>
      <c r="T1643" s="1" t="str">
        <f>"ندارد"</f>
        <v>ندارد</v>
      </c>
      <c r="U1643" s="1" t="str">
        <f>"عظيمي محمد(2842015)"</f>
        <v>عظيمي محمد(2842015)</v>
      </c>
      <c r="V1643" s="1">
        <v>966200378</v>
      </c>
      <c r="W1643" s="1">
        <v>966200378</v>
      </c>
      <c r="X1643" s="1" t="str">
        <f>"1396525026"</f>
        <v>1396525026</v>
      </c>
      <c r="Y1643" s="1" t="str">
        <f>"96/08/20"</f>
        <v>96/08/20</v>
      </c>
      <c r="Z1643" s="1" t="str">
        <f>"37025/د"</f>
        <v>37025/د</v>
      </c>
      <c r="AA1643" s="1" t="str">
        <f>"بنيادمسكن انقلاب اسلامي"</f>
        <v>بنيادمسكن انقلاب اسلامي</v>
      </c>
      <c r="AB1643" s="1" t="str">
        <f>"96/08/20"</f>
        <v>96/08/20</v>
      </c>
      <c r="AC1643" s="1" t="str">
        <f>"استان ايلام"</f>
        <v>استان ايلام</v>
      </c>
      <c r="AD1643" s="1" t="str">
        <f>"96/08/20"</f>
        <v>96/08/20</v>
      </c>
      <c r="AE1643" s="1" t="str">
        <f>"اختتام"</f>
        <v>اختتام</v>
      </c>
      <c r="AF1643" s="1" t="str">
        <f>""</f>
        <v/>
      </c>
      <c r="AG1643" s="1" t="str">
        <f>""</f>
        <v/>
      </c>
      <c r="AH1643" s="1" t="str">
        <f>""</f>
        <v/>
      </c>
      <c r="AI1643" s="1" t="str">
        <f>""</f>
        <v/>
      </c>
      <c r="AJ1643" s="1" t="str">
        <f>""</f>
        <v/>
      </c>
      <c r="AK1643" s="1" t="str">
        <f>""</f>
        <v/>
      </c>
    </row>
    <row r="1644" spans="1:37">
      <c r="A1644" s="1">
        <v>36000</v>
      </c>
      <c r="B1644" s="1">
        <v>966200054</v>
      </c>
      <c r="C1644" s="1" t="str">
        <f>"تخليه - فارس-لارستان-منطقه صحراي باغ-عماد ده-کارخانه آسفالت سيف ا.. غلامي"</f>
        <v>تخليه - فارس-لارستان-منطقه صحراي باغ-عماد ده-کارخانه آسفالت سيف ا.. غلامي</v>
      </c>
      <c r="D1644" s="1">
        <v>12482</v>
      </c>
      <c r="E1644" s="1">
        <v>35420</v>
      </c>
      <c r="F1644" s="1">
        <v>96</v>
      </c>
      <c r="G1644" s="1">
        <v>580</v>
      </c>
      <c r="H1644" s="1" t="str">
        <f>"96/02/06"</f>
        <v>96/02/06</v>
      </c>
      <c r="I1644" s="1" t="str">
        <f>"كيلوگرم"</f>
        <v>كيلوگرم</v>
      </c>
      <c r="J1644" s="1" t="str">
        <f>"1000000003"</f>
        <v>1000000003</v>
      </c>
      <c r="K1644" s="1" t="str">
        <f>"قير MC250"</f>
        <v>قير MC250</v>
      </c>
      <c r="L1644" s="1">
        <v>100</v>
      </c>
      <c r="M1644" s="1" t="str">
        <f>"مخازن قير اصفهان"</f>
        <v>مخازن قير اصفهان</v>
      </c>
      <c r="N1644" s="1">
        <v>11345</v>
      </c>
      <c r="O1644" s="1">
        <v>50034707</v>
      </c>
      <c r="P1644" s="1" t="str">
        <f>"  سينا نويد گستر"</f>
        <v xml:space="preserve">  سينا نويد گستر</v>
      </c>
      <c r="Q1644" s="1">
        <v>62</v>
      </c>
      <c r="R1644" s="1" t="str">
        <f>"فروش داخلي - سازمان بنيادمسكن انقلاب اسلامي"</f>
        <v>فروش داخلي - سازمان بنيادمسكن انقلاب اسلامي</v>
      </c>
      <c r="S1644" s="1" t="str">
        <f>"قرارداد فروش"</f>
        <v>قرارداد فروش</v>
      </c>
      <c r="T1644" s="1" t="str">
        <f>"ندارد"</f>
        <v>ندارد</v>
      </c>
      <c r="U1644" s="1" t="str">
        <f>"حاصليان ترابرجنوب مرتضي حاصلي (4844006)"</f>
        <v>حاصليان ترابرجنوب مرتضي حاصلي (4844006)</v>
      </c>
      <c r="V1644" s="1">
        <v>966200054</v>
      </c>
      <c r="W1644" s="1">
        <v>966200054</v>
      </c>
      <c r="X1644" s="1" t="str">
        <f>"1396477335"</f>
        <v>1396477335</v>
      </c>
      <c r="Y1644" s="1" t="str">
        <f>"96/02/06"</f>
        <v>96/02/06</v>
      </c>
      <c r="Z1644" s="1" t="str">
        <f>"3762/د"</f>
        <v>3762/د</v>
      </c>
      <c r="AA1644" s="1" t="str">
        <f>"بنيادمسكن انقلاب اسلامي"</f>
        <v>بنيادمسكن انقلاب اسلامي</v>
      </c>
      <c r="AB1644" s="1" t="str">
        <f>"96/02/06"</f>
        <v>96/02/06</v>
      </c>
      <c r="AC1644" s="1" t="str">
        <f>"استان هرمزگان"</f>
        <v>استان هرمزگان</v>
      </c>
      <c r="AD1644" s="1" t="str">
        <f>"96/02/06"</f>
        <v>96/02/06</v>
      </c>
      <c r="AE1644" s="1" t="str">
        <f>"اختتام"</f>
        <v>اختتام</v>
      </c>
      <c r="AF1644" s="1" t="str">
        <f>""</f>
        <v/>
      </c>
      <c r="AG1644" s="1" t="str">
        <f>""</f>
        <v/>
      </c>
      <c r="AH1644" s="1" t="str">
        <f>""</f>
        <v/>
      </c>
      <c r="AI1644" s="1" t="str">
        <f>""</f>
        <v/>
      </c>
      <c r="AJ1644" s="1" t="str">
        <f>""</f>
        <v/>
      </c>
      <c r="AK1644" s="1" t="str">
        <f>""</f>
        <v/>
      </c>
    </row>
    <row r="1645" spans="1:37">
      <c r="A1645" s="1">
        <v>15000</v>
      </c>
      <c r="B1645" s="1">
        <v>966200139</v>
      </c>
      <c r="C1645" s="1" t="str">
        <f>"تخليه - ايلام-جاده قديم صالح آباد -بعداز شهرک شهيد کشوري-کارخانه آسفالت شرکت ايلام قيرپاش"</f>
        <v>تخليه - ايلام-جاده قديم صالح آباد -بعداز شهرک شهيد کشوري-کارخانه آسفالت شرکت ايلام قيرپاش</v>
      </c>
      <c r="D1645" s="1">
        <v>12222</v>
      </c>
      <c r="E1645" s="1">
        <v>14540</v>
      </c>
      <c r="F1645" s="1">
        <v>96</v>
      </c>
      <c r="G1645" s="1">
        <v>460</v>
      </c>
      <c r="H1645" s="1" t="str">
        <f>"96/04/25"</f>
        <v>96/04/25</v>
      </c>
      <c r="I1645" s="1" t="str">
        <f>"كيلوگرم"</f>
        <v>كيلوگرم</v>
      </c>
      <c r="J1645" s="1" t="str">
        <f>"1000000003"</f>
        <v>1000000003</v>
      </c>
      <c r="K1645" s="1" t="str">
        <f>"قير MC250"</f>
        <v>قير MC250</v>
      </c>
      <c r="L1645" s="1">
        <v>100</v>
      </c>
      <c r="M1645" s="1" t="str">
        <f>"مخازن قير اصفهان"</f>
        <v>مخازن قير اصفهان</v>
      </c>
      <c r="N1645" s="1">
        <v>11375</v>
      </c>
      <c r="O1645" s="1">
        <v>50035229</v>
      </c>
      <c r="P1645" s="1" t="str">
        <f>"  بانژ ثمين بام"</f>
        <v xml:space="preserve">  بانژ ثمين بام</v>
      </c>
      <c r="Q1645" s="1">
        <v>62</v>
      </c>
      <c r="R1645" s="1" t="str">
        <f>"فروش داخلي - سازمان بنيادمسكن انقلاب اسلامي"</f>
        <v>فروش داخلي - سازمان بنيادمسكن انقلاب اسلامي</v>
      </c>
      <c r="S1645" s="1" t="str">
        <f>"قرارداد فروش"</f>
        <v>قرارداد فروش</v>
      </c>
      <c r="T1645" s="1" t="str">
        <f>"ندارد"</f>
        <v>ندارد</v>
      </c>
      <c r="U1645" s="1" t="str">
        <f>"عظيمي محمد(2842015)"</f>
        <v>عظيمي محمد(2842015)</v>
      </c>
      <c r="V1645" s="1">
        <v>966200139</v>
      </c>
      <c r="W1645" s="1">
        <v>966200139</v>
      </c>
      <c r="X1645" s="1" t="str">
        <f>"1396496983"</f>
        <v>1396496983</v>
      </c>
      <c r="Y1645" s="1" t="str">
        <f>"96/04/25"</f>
        <v>96/04/25</v>
      </c>
      <c r="Z1645" s="1" t="str">
        <f>"16081/د"</f>
        <v>16081/د</v>
      </c>
      <c r="AA1645" s="1" t="str">
        <f>"بنيادمسكن انقلاب اسلامي"</f>
        <v>بنيادمسكن انقلاب اسلامي</v>
      </c>
      <c r="AB1645" s="1" t="str">
        <f>"96/04/21"</f>
        <v>96/04/21</v>
      </c>
      <c r="AC1645" s="1" t="str">
        <f>"استان ايلام"</f>
        <v>استان ايلام</v>
      </c>
      <c r="AD1645" s="1" t="str">
        <f>"96/04/25"</f>
        <v>96/04/25</v>
      </c>
      <c r="AE1645" s="1" t="str">
        <f>"اختتام"</f>
        <v>اختتام</v>
      </c>
      <c r="AF1645" s="1" t="str">
        <f>""</f>
        <v/>
      </c>
      <c r="AG1645" s="1" t="str">
        <f>""</f>
        <v/>
      </c>
      <c r="AH1645" s="1" t="str">
        <f>""</f>
        <v/>
      </c>
      <c r="AI1645" s="1" t="str">
        <f>""</f>
        <v/>
      </c>
      <c r="AJ1645" s="1" t="str">
        <f>""</f>
        <v/>
      </c>
      <c r="AK1645" s="1" t="str">
        <f>""</f>
        <v/>
      </c>
    </row>
    <row r="1646" spans="1:37">
      <c r="A1646" s="1">
        <v>15000</v>
      </c>
      <c r="B1646" s="1">
        <v>966200343</v>
      </c>
      <c r="C1646" s="1" t="str">
        <f>"تخليه ايلام سرابله سه راهي كارزان كارخانه آسفالت شركت خردادراه سازايلام"</f>
        <v>تخليه ايلام سرابله سه راهي كارزان كارخانه آسفالت شركت خردادراه سازايلام</v>
      </c>
      <c r="D1646" s="1">
        <v>12777</v>
      </c>
      <c r="E1646" s="1">
        <v>13960</v>
      </c>
      <c r="F1646" s="1">
        <v>96</v>
      </c>
      <c r="G1646" s="1">
        <v>1040</v>
      </c>
      <c r="H1646" s="1" t="str">
        <f>"96/07/25"</f>
        <v>96/07/25</v>
      </c>
      <c r="I1646" s="1" t="str">
        <f>"كيلوگرم"</f>
        <v>كيلوگرم</v>
      </c>
      <c r="J1646" s="1" t="str">
        <f>"1000000003"</f>
        <v>1000000003</v>
      </c>
      <c r="K1646" s="1" t="str">
        <f>"قير MC250"</f>
        <v>قير MC250</v>
      </c>
      <c r="L1646" s="1">
        <v>100</v>
      </c>
      <c r="M1646" s="1" t="str">
        <f>"مخازن قير اصفهان"</f>
        <v>مخازن قير اصفهان</v>
      </c>
      <c r="N1646" s="1">
        <v>11481</v>
      </c>
      <c r="O1646" s="1">
        <v>50036793</v>
      </c>
      <c r="P1646" s="1" t="str">
        <f>"  فلك افرازمانشت"</f>
        <v xml:space="preserve">  فلك افرازمانشت</v>
      </c>
      <c r="Q1646" s="1">
        <v>62</v>
      </c>
      <c r="R1646" s="1" t="str">
        <f>"فروش داخلي - سازمان بنيادمسكن انقلاب اسلامي"</f>
        <v>فروش داخلي - سازمان بنيادمسكن انقلاب اسلامي</v>
      </c>
      <c r="S1646" s="1" t="str">
        <f>"قرارداد فروش"</f>
        <v>قرارداد فروش</v>
      </c>
      <c r="T1646" s="1" t="str">
        <f>"ندارد"</f>
        <v>ندارد</v>
      </c>
      <c r="U1646" s="1" t="str">
        <f>"عظيمي محمد(2842015)"</f>
        <v>عظيمي محمد(2842015)</v>
      </c>
      <c r="V1646" s="1">
        <v>966200343</v>
      </c>
      <c r="W1646" s="1">
        <v>966200343</v>
      </c>
      <c r="X1646" s="1" t="str">
        <f>"1396519154"</f>
        <v>1396519154</v>
      </c>
      <c r="Y1646" s="1" t="str">
        <f>"96/07/25"</f>
        <v>96/07/25</v>
      </c>
      <c r="Z1646" s="1" t="str">
        <f>"33085/د"</f>
        <v>33085/د</v>
      </c>
      <c r="AA1646" s="1" t="str">
        <f>"بنيادمسكن انقلاب اسلامي"</f>
        <v>بنيادمسكن انقلاب اسلامي</v>
      </c>
      <c r="AB1646" s="1" t="str">
        <f>"96/07/24"</f>
        <v>96/07/24</v>
      </c>
      <c r="AC1646" s="1" t="str">
        <f>"استان ايلام"</f>
        <v>استان ايلام</v>
      </c>
      <c r="AD1646" s="1" t="str">
        <f>"96/07/25"</f>
        <v>96/07/25</v>
      </c>
      <c r="AE1646" s="1" t="str">
        <f>"اختتام"</f>
        <v>اختتام</v>
      </c>
      <c r="AF1646" s="1" t="str">
        <f>""</f>
        <v/>
      </c>
      <c r="AG1646" s="1" t="str">
        <f>""</f>
        <v/>
      </c>
      <c r="AH1646" s="1" t="str">
        <f>""</f>
        <v/>
      </c>
      <c r="AI1646" s="1" t="str">
        <f>""</f>
        <v/>
      </c>
      <c r="AJ1646" s="1" t="str">
        <f>""</f>
        <v/>
      </c>
      <c r="AK1646" s="1" t="str">
        <f>""</f>
        <v/>
      </c>
    </row>
    <row r="1647" spans="1:37">
      <c r="A1647" s="1">
        <v>23000</v>
      </c>
      <c r="B1647" s="1">
        <v>961100137</v>
      </c>
      <c r="C1647" s="1" t="str">
        <f>"تخليه كردستان سنندج كيلومتر6جاده سنندج كامياران"</f>
        <v>تخليه كردستان سنندج كيلومتر6جاده سنندج كامياران</v>
      </c>
      <c r="D1647" s="1">
        <v>16650</v>
      </c>
      <c r="E1647" s="1">
        <v>20960</v>
      </c>
      <c r="F1647" s="1">
        <v>96</v>
      </c>
      <c r="G1647" s="1">
        <v>2040</v>
      </c>
      <c r="H1647" s="1" t="str">
        <f>"96/12/24"</f>
        <v>96/12/24</v>
      </c>
      <c r="I1647" s="1" t="str">
        <f>"كيلوگرم"</f>
        <v>كيلوگرم</v>
      </c>
      <c r="J1647" s="1" t="str">
        <f>"1000000003"</f>
        <v>1000000003</v>
      </c>
      <c r="K1647" s="1" t="str">
        <f>"قير MC250"</f>
        <v>قير MC250</v>
      </c>
      <c r="L1647" s="1">
        <v>100</v>
      </c>
      <c r="M1647" s="1" t="str">
        <f>"مخازن قير اصفهان"</f>
        <v>مخازن قير اصفهان</v>
      </c>
      <c r="N1647" s="1">
        <v>11552</v>
      </c>
      <c r="O1647" s="1">
        <v>50038985</v>
      </c>
      <c r="P1647" s="1" t="str">
        <f>"  سازمان عمران و بازآفريني فضاي شهري شهرداري سنندج(2849000)"</f>
        <v xml:space="preserve">  سازمان عمران و بازآفريني فضاي شهري شهرداري سنندج(2849000)</v>
      </c>
      <c r="Q1647" s="1">
        <v>11</v>
      </c>
      <c r="R1647" s="1" t="str">
        <f>"فروش داخلي تهران - بورس"</f>
        <v>فروش داخلي تهران - بورس</v>
      </c>
      <c r="S1647" s="1" t="str">
        <f>"قرارداد فروش"</f>
        <v>قرارداد فروش</v>
      </c>
      <c r="T1647" s="1" t="str">
        <f>"ندارد"</f>
        <v>ندارد</v>
      </c>
      <c r="U1647" s="1" t="str">
        <f>"سازمان عمران و بازآفريني فضاي شهري شهرداري سنندج (2849000)"</f>
        <v>سازمان عمران و بازآفريني فضاي شهري شهرداري سنندج (2849000)</v>
      </c>
      <c r="V1647" s="1">
        <v>961100137</v>
      </c>
      <c r="W1647" s="1">
        <v>961100137</v>
      </c>
      <c r="X1647" s="1" t="str">
        <f>"1396554548"</f>
        <v>1396554548</v>
      </c>
      <c r="Y1647" s="1" t="str">
        <f>"96/12/23"</f>
        <v>96/12/23</v>
      </c>
      <c r="Z1647" s="1" t="str">
        <f>"96-37490"</f>
        <v>96-37490</v>
      </c>
      <c r="AA1647" s="1" t="str">
        <f>"شهرداريها"</f>
        <v>شهرداريها</v>
      </c>
      <c r="AB1647" s="1" t="str">
        <f>"96/12/23"</f>
        <v>96/12/23</v>
      </c>
      <c r="AC1647" s="1" t="str">
        <f>"استان كردستان"</f>
        <v>استان كردستان</v>
      </c>
      <c r="AD1647" s="1" t="str">
        <f>"96/12/22"</f>
        <v>96/12/22</v>
      </c>
      <c r="AE1647" s="1" t="str">
        <f>"اختتام"</f>
        <v>اختتام</v>
      </c>
      <c r="AF1647" s="1" t="str">
        <f>""</f>
        <v/>
      </c>
      <c r="AG1647" s="1" t="str">
        <f>""</f>
        <v/>
      </c>
      <c r="AH1647" s="1" t="str">
        <f>""</f>
        <v/>
      </c>
      <c r="AI1647" s="1" t="str">
        <f>""</f>
        <v/>
      </c>
      <c r="AJ1647" s="1" t="str">
        <f>""</f>
        <v/>
      </c>
      <c r="AK1647" s="1" t="str">
        <f>""</f>
        <v/>
      </c>
    </row>
    <row r="1648" spans="1:37">
      <c r="A1648" s="1">
        <v>118458</v>
      </c>
      <c r="B1648" s="1">
        <v>962000222</v>
      </c>
      <c r="C1648" s="1" t="str">
        <f>"تخليه يزداردكان كارخانه آسفالت هامون اردکان"</f>
        <v>تخليه يزداردكان كارخانه آسفالت هامون اردکان</v>
      </c>
      <c r="D1648" s="1">
        <v>9113</v>
      </c>
      <c r="E1648" s="1">
        <v>118458</v>
      </c>
      <c r="F1648" s="1">
        <v>96</v>
      </c>
      <c r="G1648" s="1">
        <v>0</v>
      </c>
      <c r="H1648" s="1" t="str">
        <f>"96/07/03"</f>
        <v>96/07/03</v>
      </c>
      <c r="I1648" s="1" t="str">
        <f>"كيلوگرم"</f>
        <v>كيلوگرم</v>
      </c>
      <c r="J1648" s="1" t="str">
        <f>"0000000076"</f>
        <v>0000000076</v>
      </c>
      <c r="K1648" s="1" t="str">
        <f>"قير 60/70 - فله"</f>
        <v>قير 60/70 - فله</v>
      </c>
      <c r="L1648" s="1">
        <v>100</v>
      </c>
      <c r="M1648" s="1" t="str">
        <f>"مخازن قير اصفهان"</f>
        <v>مخازن قير اصفهان</v>
      </c>
      <c r="N1648" s="1">
        <v>11202</v>
      </c>
      <c r="O1648" s="1">
        <v>50036459</v>
      </c>
      <c r="P1648" s="1" t="str">
        <f>"  شهرداري بفروئيه"</f>
        <v xml:space="preserve">  شهرداري بفروئيه</v>
      </c>
      <c r="Q1648" s="1">
        <v>20</v>
      </c>
      <c r="R1648" s="1" t="str">
        <f>"فروش داخلي - سازمان شهرداري ها و دهياري هاي كشور"</f>
        <v>فروش داخلي - سازمان شهرداري ها و دهياري هاي كشور</v>
      </c>
      <c r="S1648" s="1" t="str">
        <f>"قرارداد فروش"</f>
        <v>قرارداد فروش</v>
      </c>
      <c r="T1648" s="1" t="str">
        <f>"ندارد"</f>
        <v>ندارد</v>
      </c>
      <c r="U1648" s="1" t="str">
        <f>"تعاوني جم گستر (1001 ج 89)"</f>
        <v>تعاوني جم گستر (1001 ج 89)</v>
      </c>
      <c r="V1648" s="1">
        <v>962000222</v>
      </c>
      <c r="W1648" s="1">
        <v>962000222</v>
      </c>
      <c r="X1648" s="1" t="str">
        <f>"1396514467"</f>
        <v>1396514467</v>
      </c>
      <c r="Y1648" s="1" t="str">
        <f>"96/07/03"</f>
        <v>96/07/03</v>
      </c>
      <c r="Z1648" s="1" t="str">
        <f>"26878مرحله اول"</f>
        <v>26878مرحله اول</v>
      </c>
      <c r="AA1648" s="1" t="str">
        <f>"شهرداريها"</f>
        <v>شهرداريها</v>
      </c>
      <c r="AB1648" s="1" t="str">
        <f>"96/06/29"</f>
        <v>96/06/29</v>
      </c>
      <c r="AC1648" s="1" t="str">
        <f>"استان يزد"</f>
        <v>استان يزد</v>
      </c>
      <c r="AD1648" s="1" t="str">
        <f>"96/07/03"</f>
        <v>96/07/03</v>
      </c>
      <c r="AE1648" s="1" t="str">
        <f>"اختتام"</f>
        <v>اختتام</v>
      </c>
      <c r="AF1648" s="1" t="str">
        <f>""</f>
        <v/>
      </c>
      <c r="AG1648" s="1" t="str">
        <f>""</f>
        <v/>
      </c>
      <c r="AH1648" s="1" t="str">
        <f>""</f>
        <v/>
      </c>
      <c r="AI1648" s="1" t="str">
        <f>""</f>
        <v/>
      </c>
      <c r="AJ1648" s="1" t="str">
        <f>""</f>
        <v/>
      </c>
      <c r="AK1648" s="1" t="str">
        <f>""</f>
        <v/>
      </c>
    </row>
    <row r="1649" spans="1:37">
      <c r="A1649" s="1">
        <v>280000</v>
      </c>
      <c r="B1649" s="1">
        <v>966200074</v>
      </c>
      <c r="C1649" s="1" t="str">
        <f>"تخليه-سيستان و بلوچستان - چابهار-روستاي کمب"</f>
        <v>تخليه-سيستان و بلوچستان - چابهار-روستاي کمب</v>
      </c>
      <c r="D1649" s="1">
        <v>8918</v>
      </c>
      <c r="E1649" s="1">
        <v>279380</v>
      </c>
      <c r="F1649" s="1">
        <v>96</v>
      </c>
      <c r="G1649" s="1">
        <v>620</v>
      </c>
      <c r="H1649" s="1" t="str">
        <f>"96/02/26"</f>
        <v>96/02/26</v>
      </c>
      <c r="I1649" s="1" t="str">
        <f>"كيلوگرم"</f>
        <v>كيلوگرم</v>
      </c>
      <c r="J1649" s="1" t="str">
        <f>"0000000076"</f>
        <v>0000000076</v>
      </c>
      <c r="K1649" s="1" t="str">
        <f>"قير 60/70 - فله"</f>
        <v>قير 60/70 - فله</v>
      </c>
      <c r="L1649" s="1">
        <v>100</v>
      </c>
      <c r="M1649" s="1" t="str">
        <f>"مخازن قير اصفهان"</f>
        <v>مخازن قير اصفهان</v>
      </c>
      <c r="N1649" s="1">
        <v>11216</v>
      </c>
      <c r="O1649" s="1">
        <v>50034841</v>
      </c>
      <c r="P1649" s="1" t="str">
        <f>"  آکام راه هرمز"</f>
        <v xml:space="preserve">  آکام راه هرمز</v>
      </c>
      <c r="Q1649" s="1">
        <v>62</v>
      </c>
      <c r="R1649" s="1" t="str">
        <f>"فروش داخلي - سازمان بنيادمسكن انقلاب اسلامي"</f>
        <v>فروش داخلي - سازمان بنيادمسكن انقلاب اسلامي</v>
      </c>
      <c r="S1649" s="1" t="str">
        <f>"قرارداد فروش"</f>
        <v>قرارداد فروش</v>
      </c>
      <c r="T1649" s="1" t="str">
        <f>"ندارد"</f>
        <v>ندارد</v>
      </c>
      <c r="U1649" s="1" t="str">
        <f>"پورباقري ترابر (4914036)"</f>
        <v>پورباقري ترابر (4914036)</v>
      </c>
      <c r="V1649" s="1">
        <v>966200074</v>
      </c>
      <c r="W1649" s="1">
        <v>966200074</v>
      </c>
      <c r="X1649" s="1" t="str">
        <f>"1396481180"</f>
        <v>1396481180</v>
      </c>
      <c r="Y1649" s="1" t="str">
        <f>"96/02/26"</f>
        <v>96/02/26</v>
      </c>
      <c r="Z1649" s="1" t="str">
        <f>"6830/د"</f>
        <v>6830/د</v>
      </c>
      <c r="AA1649" s="1" t="str">
        <f>"بنيادمسكن انقلاب اسلامي"</f>
        <v>بنيادمسكن انقلاب اسلامي</v>
      </c>
      <c r="AB1649" s="1" t="str">
        <f>"96/02/25"</f>
        <v>96/02/25</v>
      </c>
      <c r="AC1649" s="1" t="str">
        <f>"استان سيستان بلوچستان"</f>
        <v>استان سيستان بلوچستان</v>
      </c>
      <c r="AD1649" s="1" t="str">
        <f>"96/02/26"</f>
        <v>96/02/26</v>
      </c>
      <c r="AE1649" s="1" t="str">
        <f>"اختتام"</f>
        <v>اختتام</v>
      </c>
      <c r="AF1649" s="1" t="str">
        <f>""</f>
        <v/>
      </c>
      <c r="AG1649" s="1" t="str">
        <f>""</f>
        <v/>
      </c>
      <c r="AH1649" s="1" t="str">
        <f>""</f>
        <v/>
      </c>
      <c r="AI1649" s="1" t="str">
        <f>""</f>
        <v/>
      </c>
      <c r="AJ1649" s="1" t="str">
        <f>""</f>
        <v/>
      </c>
      <c r="AK1649" s="1" t="str">
        <f>""</f>
        <v/>
      </c>
    </row>
    <row r="1650" spans="1:37">
      <c r="A1650" s="1">
        <v>138000</v>
      </c>
      <c r="B1650" s="1">
        <v>966200525</v>
      </c>
      <c r="C1650" s="1" t="str">
        <f>"تخليه -لرستان-کيلومتر 7 جاده ازنا-اليگودرز-نرسيده به ازنا-پشت شهرک المهدي"</f>
        <v>تخليه -لرستان-کيلومتر 7 جاده ازنا-اليگودرز-نرسيده به ازنا-پشت شهرک المهدي</v>
      </c>
      <c r="D1650" s="1">
        <v>12850</v>
      </c>
      <c r="E1650" s="1">
        <v>136700</v>
      </c>
      <c r="F1650" s="1">
        <v>96</v>
      </c>
      <c r="G1650" s="1">
        <v>1300</v>
      </c>
      <c r="H1650" s="1" t="str">
        <f>"96/10/23"</f>
        <v>96/10/23</v>
      </c>
      <c r="I1650" s="1" t="str">
        <f>"كيلوگرم"</f>
        <v>كيلوگرم</v>
      </c>
      <c r="J1650" s="1" t="str">
        <f>"0000000076"</f>
        <v>0000000076</v>
      </c>
      <c r="K1650" s="1" t="str">
        <f>"قير 60/70 - فله"</f>
        <v>قير 60/70 - فله</v>
      </c>
      <c r="L1650" s="1">
        <v>100</v>
      </c>
      <c r="M1650" s="1" t="str">
        <f>"مخازن قير اصفهان"</f>
        <v>مخازن قير اصفهان</v>
      </c>
      <c r="N1650" s="1">
        <v>11217</v>
      </c>
      <c r="O1650" s="1">
        <v>50038142</v>
      </c>
      <c r="P1650" s="1" t="str">
        <f>"  شميم کاه گل"</f>
        <v xml:space="preserve">  شميم کاه گل</v>
      </c>
      <c r="Q1650" s="1">
        <v>62</v>
      </c>
      <c r="R1650" s="1" t="str">
        <f>"فروش داخلي - سازمان بنيادمسكن انقلاب اسلامي"</f>
        <v>فروش داخلي - سازمان بنيادمسكن انقلاب اسلامي</v>
      </c>
      <c r="S1650" s="1" t="str">
        <f>"قرارداد فروش"</f>
        <v>قرارداد فروش</v>
      </c>
      <c r="T1650" s="1" t="str">
        <f>"ندارد"</f>
        <v>ندارد</v>
      </c>
      <c r="U1650" s="1" t="str">
        <f>"بستاني محسن (2882039)"</f>
        <v>بستاني محسن (2882039)</v>
      </c>
      <c r="V1650" s="1">
        <v>966200525</v>
      </c>
      <c r="W1650" s="1">
        <v>966200525</v>
      </c>
      <c r="X1650" s="1" t="str">
        <f>"1396539696"</f>
        <v>1396539696</v>
      </c>
      <c r="Y1650" s="1" t="str">
        <f>"96/10/23"</f>
        <v>96/10/23</v>
      </c>
      <c r="Z1650" s="1" t="str">
        <f>"46815/د"</f>
        <v>46815/د</v>
      </c>
      <c r="AA1650" s="1" t="str">
        <f>"بنيادمسكن انقلاب اسلامي"</f>
        <v>بنيادمسكن انقلاب اسلامي</v>
      </c>
      <c r="AB1650" s="1" t="str">
        <f>"96/10/20"</f>
        <v>96/10/20</v>
      </c>
      <c r="AC1650" s="1" t="str">
        <f>"لرستان"</f>
        <v>لرستان</v>
      </c>
      <c r="AD1650" s="1" t="str">
        <f>"96/10/23"</f>
        <v>96/10/23</v>
      </c>
      <c r="AE1650" s="1" t="str">
        <f>"اختتام"</f>
        <v>اختتام</v>
      </c>
      <c r="AF1650" s="1" t="str">
        <f>""</f>
        <v/>
      </c>
      <c r="AG1650" s="1" t="str">
        <f>""</f>
        <v/>
      </c>
      <c r="AH1650" s="1" t="str">
        <f>""</f>
        <v/>
      </c>
      <c r="AI1650" s="1" t="str">
        <f>""</f>
        <v/>
      </c>
      <c r="AJ1650" s="1" t="str">
        <f>""</f>
        <v/>
      </c>
      <c r="AK1650" s="1" t="str">
        <f>""</f>
        <v/>
      </c>
    </row>
    <row r="1651" spans="1:37">
      <c r="A1651" s="1">
        <v>48000</v>
      </c>
      <c r="B1651" s="1">
        <v>966300019</v>
      </c>
      <c r="C1651" s="1" t="str">
        <f>"تخليه اصفهان شهركردكارخانه اتحادناغان"</f>
        <v>تخليه اصفهان شهركردكارخانه اتحادناغان</v>
      </c>
      <c r="D1651" s="1">
        <v>9416</v>
      </c>
      <c r="E1651" s="1">
        <v>48000</v>
      </c>
      <c r="F1651" s="1">
        <v>96</v>
      </c>
      <c r="G1651" s="1">
        <v>0</v>
      </c>
      <c r="H1651" s="1" t="str">
        <f>"96/08/20"</f>
        <v>96/08/20</v>
      </c>
      <c r="I1651" s="1" t="str">
        <f>"كيلوگرم"</f>
        <v>كيلوگرم</v>
      </c>
      <c r="J1651" s="1" t="str">
        <f>"0000000076"</f>
        <v>0000000076</v>
      </c>
      <c r="K1651" s="1" t="str">
        <f>"قير 60/70 - فله"</f>
        <v>قير 60/70 - فله</v>
      </c>
      <c r="L1651" s="1">
        <v>100</v>
      </c>
      <c r="M1651" s="1" t="str">
        <f>"مخازن قير اصفهان"</f>
        <v>مخازن قير اصفهان</v>
      </c>
      <c r="N1651" s="1">
        <v>11220</v>
      </c>
      <c r="O1651" s="1">
        <v>50037162</v>
      </c>
      <c r="P1651" s="1" t="str">
        <f>"  پايه ستون زاگرس"</f>
        <v xml:space="preserve">  پايه ستون زاگرس</v>
      </c>
      <c r="Q1651" s="1">
        <v>63</v>
      </c>
      <c r="R1651" s="1" t="str">
        <f>"سازمان نوسازي،توسعه و تجهيز مدارس كشور"</f>
        <v>سازمان نوسازي،توسعه و تجهيز مدارس كشور</v>
      </c>
      <c r="S1651" s="1" t="str">
        <f>"قرارداد فروش"</f>
        <v>قرارداد فروش</v>
      </c>
      <c r="T1651" s="1" t="str">
        <f>"ندارد"</f>
        <v>ندارد</v>
      </c>
      <c r="U1651" s="1" t="str">
        <f>"قره باغي مجيد(1871065)"</f>
        <v>قره باغي مجيد(1871065)</v>
      </c>
      <c r="V1651" s="1">
        <v>966300019</v>
      </c>
      <c r="W1651" s="1">
        <v>966300019</v>
      </c>
      <c r="X1651" s="1" t="str">
        <f>"1396525016"</f>
        <v>1396525016</v>
      </c>
      <c r="Y1651" s="1" t="str">
        <f>"96/08/20"</f>
        <v>96/08/20</v>
      </c>
      <c r="Z1651" s="1" t="str">
        <f>"18/96/1/7656"</f>
        <v>18/96/1/7656</v>
      </c>
      <c r="AA1651" s="1" t="str">
        <f>"سازمان نوسازي توسعه وتجهيزمدارس كشور"</f>
        <v>سازمان نوسازي توسعه وتجهيزمدارس كشور</v>
      </c>
      <c r="AB1651" s="1" t="str">
        <f>"96/08/16"</f>
        <v>96/08/16</v>
      </c>
      <c r="AC1651" s="1" t="str">
        <f>"استان چهارمحال بختياري"</f>
        <v>استان چهارمحال بختياري</v>
      </c>
      <c r="AD1651" s="1" t="str">
        <f>"96/08/20"</f>
        <v>96/08/20</v>
      </c>
      <c r="AE1651" s="1" t="str">
        <f>"اختتام"</f>
        <v>اختتام</v>
      </c>
      <c r="AF1651" s="1" t="str">
        <f>""</f>
        <v/>
      </c>
      <c r="AG1651" s="1" t="str">
        <f>""</f>
        <v/>
      </c>
      <c r="AH1651" s="1" t="str">
        <f>""</f>
        <v/>
      </c>
      <c r="AI1651" s="1" t="str">
        <f>""</f>
        <v/>
      </c>
      <c r="AJ1651" s="1" t="str">
        <f>""</f>
        <v/>
      </c>
      <c r="AK1651" s="1" t="str">
        <f>""</f>
        <v/>
      </c>
    </row>
    <row r="1652" spans="1:37">
      <c r="A1652" s="1">
        <v>159000</v>
      </c>
      <c r="B1652" s="1">
        <v>966300020</v>
      </c>
      <c r="C1652" s="1" t="str">
        <f>"تخليه اصفهان شهركردكارخانه اتحادناغان"</f>
        <v>تخليه اصفهان شهركردكارخانه اتحادناغان</v>
      </c>
      <c r="D1652" s="1">
        <v>9416</v>
      </c>
      <c r="E1652" s="1">
        <v>158260</v>
      </c>
      <c r="F1652" s="1">
        <v>96</v>
      </c>
      <c r="G1652" s="1">
        <v>740</v>
      </c>
      <c r="H1652" s="1" t="str">
        <f>"96/08/20"</f>
        <v>96/08/20</v>
      </c>
      <c r="I1652" s="1" t="str">
        <f>"كيلوگرم"</f>
        <v>كيلوگرم</v>
      </c>
      <c r="J1652" s="1" t="str">
        <f>"0000000076"</f>
        <v>0000000076</v>
      </c>
      <c r="K1652" s="1" t="str">
        <f>"قير 60/70 - فله"</f>
        <v>قير 60/70 - فله</v>
      </c>
      <c r="L1652" s="1">
        <v>100</v>
      </c>
      <c r="M1652" s="1" t="str">
        <f>"مخازن قير اصفهان"</f>
        <v>مخازن قير اصفهان</v>
      </c>
      <c r="N1652" s="1">
        <v>11220</v>
      </c>
      <c r="O1652" s="1">
        <v>50037163</v>
      </c>
      <c r="P1652" s="1" t="str">
        <f>"  پايه ستون زاگرس"</f>
        <v xml:space="preserve">  پايه ستون زاگرس</v>
      </c>
      <c r="Q1652" s="1">
        <v>63</v>
      </c>
      <c r="R1652" s="1" t="str">
        <f>"سازمان نوسازي،توسعه و تجهيز مدارس كشور"</f>
        <v>سازمان نوسازي،توسعه و تجهيز مدارس كشور</v>
      </c>
      <c r="S1652" s="1" t="str">
        <f>"قرارداد فروش"</f>
        <v>قرارداد فروش</v>
      </c>
      <c r="T1652" s="1" t="str">
        <f>"ندارد"</f>
        <v>ندارد</v>
      </c>
      <c r="U1652" s="1" t="str">
        <f>"قره باغي مجيد(1871065)"</f>
        <v>قره باغي مجيد(1871065)</v>
      </c>
      <c r="V1652" s="1">
        <v>966300020</v>
      </c>
      <c r="W1652" s="1">
        <v>966300020</v>
      </c>
      <c r="X1652" s="1" t="str">
        <f>"1396525016"</f>
        <v>1396525016</v>
      </c>
      <c r="Y1652" s="1" t="str">
        <f>"96/08/20"</f>
        <v>96/08/20</v>
      </c>
      <c r="Z1652" s="1" t="str">
        <f>"18/96/1/7658"</f>
        <v>18/96/1/7658</v>
      </c>
      <c r="AA1652" s="1" t="str">
        <f>"سازمان نوسازي توسعه وتجهيزمدارس كشور"</f>
        <v>سازمان نوسازي توسعه وتجهيزمدارس كشور</v>
      </c>
      <c r="AB1652" s="1" t="str">
        <f>"96/08/16"</f>
        <v>96/08/16</v>
      </c>
      <c r="AC1652" s="1" t="str">
        <f>"استان چهارمحال بختياري"</f>
        <v>استان چهارمحال بختياري</v>
      </c>
      <c r="AD1652" s="1" t="str">
        <f>"96/08/20"</f>
        <v>96/08/20</v>
      </c>
      <c r="AE1652" s="1" t="str">
        <f>"اختتام"</f>
        <v>اختتام</v>
      </c>
      <c r="AF1652" s="1" t="str">
        <f>""</f>
        <v/>
      </c>
      <c r="AG1652" s="1" t="str">
        <f>""</f>
        <v/>
      </c>
      <c r="AH1652" s="1" t="str">
        <f>""</f>
        <v/>
      </c>
      <c r="AI1652" s="1" t="str">
        <f>""</f>
        <v/>
      </c>
      <c r="AJ1652" s="1" t="str">
        <f>""</f>
        <v/>
      </c>
      <c r="AK1652" s="1" t="str">
        <f>""</f>
        <v/>
      </c>
    </row>
    <row r="1653" spans="1:37">
      <c r="A1653" s="1">
        <v>153000</v>
      </c>
      <c r="B1653" s="1">
        <v>966200356</v>
      </c>
      <c r="C1653" s="1" t="str">
        <f>"تخليه -تهران-دماوند -گيلاوند -انتهاي خيابان سپاه-کيلومتر 5 جاده روستاي زره در کارخانه آسفالت پارس دماوند"</f>
        <v>تخليه -تهران-دماوند -گيلاوند -انتهاي خيابان سپاه-کيلومتر 5 جاده روستاي زره در کارخانه آسفالت پارس دماوند</v>
      </c>
      <c r="D1653" s="1">
        <v>9416</v>
      </c>
      <c r="E1653" s="1">
        <v>152180</v>
      </c>
      <c r="F1653" s="1">
        <v>96</v>
      </c>
      <c r="G1653" s="1">
        <v>820</v>
      </c>
      <c r="H1653" s="1" t="str">
        <f>"96/08/09"</f>
        <v>96/08/09</v>
      </c>
      <c r="I1653" s="1" t="str">
        <f>"كيلوگرم"</f>
        <v>كيلوگرم</v>
      </c>
      <c r="J1653" s="1" t="str">
        <f>"0000000076"</f>
        <v>0000000076</v>
      </c>
      <c r="K1653" s="1" t="str">
        <f>"قير 60/70 - فله"</f>
        <v>قير 60/70 - فله</v>
      </c>
      <c r="L1653" s="1">
        <v>100</v>
      </c>
      <c r="M1653" s="1" t="str">
        <f>"مخازن قير اصفهان"</f>
        <v>مخازن قير اصفهان</v>
      </c>
      <c r="N1653" s="1">
        <v>11278</v>
      </c>
      <c r="O1653" s="1">
        <v>50036963</v>
      </c>
      <c r="P1653" s="1" t="str">
        <f>"  آباد بوم آريا"</f>
        <v xml:space="preserve">  آباد بوم آريا</v>
      </c>
      <c r="Q1653" s="1">
        <v>62</v>
      </c>
      <c r="R1653" s="1" t="str">
        <f>"فروش داخلي - سازمان بنيادمسكن انقلاب اسلامي"</f>
        <v>فروش داخلي - سازمان بنيادمسكن انقلاب اسلامي</v>
      </c>
      <c r="S1653" s="1" t="str">
        <f>"قرارداد فروش"</f>
        <v>قرارداد فروش</v>
      </c>
      <c r="T1653" s="1" t="str">
        <f>"ندارد"</f>
        <v>ندارد</v>
      </c>
      <c r="U1653" s="1" t="str">
        <f>"فتحي حميد(1901090)"</f>
        <v>فتحي حميد(1901090)</v>
      </c>
      <c r="V1653" s="1">
        <v>966200356</v>
      </c>
      <c r="W1653" s="1">
        <v>966200356</v>
      </c>
      <c r="X1653" s="1" t="str">
        <f>"1396522093"</f>
        <v>1396522093</v>
      </c>
      <c r="Y1653" s="1" t="str">
        <f>"96/08/09"</f>
        <v>96/08/09</v>
      </c>
      <c r="Z1653" s="1" t="str">
        <f>"35121/د"</f>
        <v>35121/د</v>
      </c>
      <c r="AA1653" s="1" t="str">
        <f>"بنيادمسكن انقلاب اسلامي"</f>
        <v>بنيادمسكن انقلاب اسلامي</v>
      </c>
      <c r="AB1653" s="1" t="str">
        <f>"96/08/07"</f>
        <v>96/08/07</v>
      </c>
      <c r="AC1653" s="1" t="str">
        <f>"استان تهران"</f>
        <v>استان تهران</v>
      </c>
      <c r="AD1653" s="1" t="str">
        <f>"96/08/08"</f>
        <v>96/08/08</v>
      </c>
      <c r="AE1653" s="1" t="str">
        <f>"اختتام"</f>
        <v>اختتام</v>
      </c>
      <c r="AF1653" s="1" t="str">
        <f>""</f>
        <v/>
      </c>
      <c r="AG1653" s="1" t="str">
        <f>""</f>
        <v/>
      </c>
      <c r="AH1653" s="1" t="str">
        <f>""</f>
        <v/>
      </c>
      <c r="AI1653" s="1" t="str">
        <f>""</f>
        <v/>
      </c>
      <c r="AJ1653" s="1" t="str">
        <f>""</f>
        <v/>
      </c>
      <c r="AK1653" s="1" t="str">
        <f>""</f>
        <v/>
      </c>
    </row>
    <row r="1654" spans="1:37">
      <c r="A1654" s="1">
        <v>60000</v>
      </c>
      <c r="B1654" s="1">
        <v>966200534</v>
      </c>
      <c r="C1654" s="1" t="str">
        <f>"تخليه - چهارمحال و بختياري-لردگان-سه راهي کوشکي-کيلومتر 7 جاده ياسوج-سه راهي سلح چين-شرکت کارخانه آسفالت کوثر خانميرزا"</f>
        <v>تخليه - چهارمحال و بختياري-لردگان-سه راهي کوشکي-کيلومتر 7 جاده ياسوج-سه راهي سلح چين-شرکت کارخانه آسفالت کوثر خانميرزا</v>
      </c>
      <c r="D1654" s="1">
        <v>12850</v>
      </c>
      <c r="E1654" s="1">
        <v>54020</v>
      </c>
      <c r="F1654" s="1">
        <v>96</v>
      </c>
      <c r="G1654" s="1">
        <v>5980</v>
      </c>
      <c r="H1654" s="1" t="str">
        <f>"96/10/25"</f>
        <v>96/10/25</v>
      </c>
      <c r="I1654" s="1" t="str">
        <f>"كيلوگرم"</f>
        <v>كيلوگرم</v>
      </c>
      <c r="J1654" s="1" t="str">
        <f>"0000000076"</f>
        <v>0000000076</v>
      </c>
      <c r="K1654" s="1" t="str">
        <f>"قير 60/70 - فله"</f>
        <v>قير 60/70 - فله</v>
      </c>
      <c r="L1654" s="1">
        <v>100</v>
      </c>
      <c r="M1654" s="1" t="str">
        <f>"مخازن قير اصفهان"</f>
        <v>مخازن قير اصفهان</v>
      </c>
      <c r="N1654" s="1">
        <v>11281</v>
      </c>
      <c r="O1654" s="1">
        <v>50038181</v>
      </c>
      <c r="P1654" s="1" t="str">
        <f>"  پوياسازه ارمند"</f>
        <v xml:space="preserve">  پوياسازه ارمند</v>
      </c>
      <c r="Q1654" s="1">
        <v>62</v>
      </c>
      <c r="R1654" s="1" t="str">
        <f>"فروش داخلي - سازمان بنيادمسكن انقلاب اسلامي"</f>
        <v>فروش داخلي - سازمان بنيادمسكن انقلاب اسلامي</v>
      </c>
      <c r="S1654" s="1" t="str">
        <f>"قرارداد فروش"</f>
        <v>قرارداد فروش</v>
      </c>
      <c r="T1654" s="1" t="str">
        <f>"ندارد"</f>
        <v>ندارد</v>
      </c>
      <c r="U1654" s="1" t="str">
        <f>"ريسماني حسن(1007ج89)"</f>
        <v>ريسماني حسن(1007ج89)</v>
      </c>
      <c r="V1654" s="1">
        <v>966200534</v>
      </c>
      <c r="W1654" s="1">
        <v>966200534</v>
      </c>
      <c r="X1654" s="1" t="str">
        <f>"1396540147"</f>
        <v>1396540147</v>
      </c>
      <c r="Y1654" s="1" t="str">
        <f>"96/10/25"</f>
        <v>96/10/25</v>
      </c>
      <c r="Z1654" s="1" t="str">
        <f>"47460/د"</f>
        <v>47460/د</v>
      </c>
      <c r="AA1654" s="1" t="str">
        <f>"بنيادمسكن انقلاب اسلامي"</f>
        <v>بنيادمسكن انقلاب اسلامي</v>
      </c>
      <c r="AB1654" s="1" t="str">
        <f>"96/10/24"</f>
        <v>96/10/24</v>
      </c>
      <c r="AC1654" s="1" t="str">
        <f>"استان چهارمحال بختياري"</f>
        <v>استان چهارمحال بختياري</v>
      </c>
      <c r="AD1654" s="1" t="str">
        <f>"96/10/25"</f>
        <v>96/10/25</v>
      </c>
      <c r="AE1654" s="1" t="str">
        <f>"اختتام"</f>
        <v>اختتام</v>
      </c>
      <c r="AF1654" s="1" t="str">
        <f>""</f>
        <v/>
      </c>
      <c r="AG1654" s="1" t="str">
        <f>""</f>
        <v/>
      </c>
      <c r="AH1654" s="1" t="str">
        <f>""</f>
        <v/>
      </c>
      <c r="AI1654" s="1" t="str">
        <f>""</f>
        <v/>
      </c>
      <c r="AJ1654" s="1" t="str">
        <f>""</f>
        <v/>
      </c>
      <c r="AK1654" s="1" t="str">
        <f>""</f>
        <v/>
      </c>
    </row>
    <row r="1655" spans="1:37">
      <c r="A1655" s="1">
        <v>41000</v>
      </c>
      <c r="B1655" s="1">
        <v>966200758</v>
      </c>
      <c r="C1655" s="1" t="str">
        <f>"تخليه - کرمان - کيلومتر 15 جاده کرمان زرند-روبروي پمپ بنزين-کارخانه آسفالت گستران زنگلان"</f>
        <v>تخليه - کرمان - کيلومتر 15 جاده کرمان زرند-روبروي پمپ بنزين-کارخانه آسفالت گستران زنگلان</v>
      </c>
      <c r="D1655" s="1">
        <v>13350</v>
      </c>
      <c r="E1655" s="1">
        <v>40100</v>
      </c>
      <c r="F1655" s="1">
        <v>96</v>
      </c>
      <c r="G1655" s="1">
        <v>900</v>
      </c>
      <c r="H1655" s="1" t="str">
        <f>"96/12/27"</f>
        <v>96/12/27</v>
      </c>
      <c r="I1655" s="1" t="str">
        <f>"كيلوگرم"</f>
        <v>كيلوگرم</v>
      </c>
      <c r="J1655" s="1" t="str">
        <f>"0000000076"</f>
        <v>0000000076</v>
      </c>
      <c r="K1655" s="1" t="str">
        <f>"قير 60/70 - فله"</f>
        <v>قير 60/70 - فله</v>
      </c>
      <c r="L1655" s="1">
        <v>100</v>
      </c>
      <c r="M1655" s="1" t="str">
        <f>"مخازن قير اصفهان"</f>
        <v>مخازن قير اصفهان</v>
      </c>
      <c r="N1655" s="1">
        <v>11288</v>
      </c>
      <c r="O1655" s="1">
        <v>50039126</v>
      </c>
      <c r="P1655" s="1" t="str">
        <f>"  آسفالت گستران زنگلان"</f>
        <v xml:space="preserve">  آسفالت گستران زنگلان</v>
      </c>
      <c r="Q1655" s="1">
        <v>62</v>
      </c>
      <c r="R1655" s="1" t="str">
        <f>"فروش داخلي - سازمان بنيادمسكن انقلاب اسلامي"</f>
        <v>فروش داخلي - سازمان بنيادمسكن انقلاب اسلامي</v>
      </c>
      <c r="S1655" s="1" t="str">
        <f>"قرارداد فروش"</f>
        <v>قرارداد فروش</v>
      </c>
      <c r="T1655" s="1" t="str">
        <f>"ندارد"</f>
        <v>ندارد</v>
      </c>
      <c r="U1655" s="1" t="str">
        <f>"دهقانيان بيژن (4954038)"</f>
        <v>دهقانيان بيژن (4954038)</v>
      </c>
      <c r="V1655" s="1">
        <v>966200758</v>
      </c>
      <c r="W1655" s="1">
        <v>966200758</v>
      </c>
      <c r="X1655" s="1" t="str">
        <f>"1396555465"</f>
        <v>1396555465</v>
      </c>
      <c r="Y1655" s="1" t="str">
        <f>"96/12/27"</f>
        <v>96/12/27</v>
      </c>
      <c r="Z1655" s="1" t="str">
        <f>"59995/د"</f>
        <v>59995/د</v>
      </c>
      <c r="AA1655" s="1" t="str">
        <f>"بنيادمسكن انقلاب اسلامي"</f>
        <v>بنيادمسكن انقلاب اسلامي</v>
      </c>
      <c r="AB1655" s="1" t="str">
        <f>"96/12/26"</f>
        <v>96/12/26</v>
      </c>
      <c r="AC1655" s="1" t="str">
        <f>"استان كرمان"</f>
        <v>استان كرمان</v>
      </c>
      <c r="AD1655" s="1" t="str">
        <f>"96/12/27"</f>
        <v>96/12/27</v>
      </c>
      <c r="AE1655" s="1" t="str">
        <f>"اختتام"</f>
        <v>اختتام</v>
      </c>
      <c r="AF1655" s="1" t="str">
        <f>""</f>
        <v/>
      </c>
      <c r="AG1655" s="1" t="str">
        <f>""</f>
        <v/>
      </c>
      <c r="AH1655" s="1" t="str">
        <f>""</f>
        <v/>
      </c>
      <c r="AI1655" s="1" t="str">
        <f>""</f>
        <v/>
      </c>
      <c r="AJ1655" s="1" t="str">
        <f>""</f>
        <v/>
      </c>
      <c r="AK1655" s="1" t="str">
        <f>""</f>
        <v/>
      </c>
    </row>
    <row r="1656" spans="1:37">
      <c r="A1656" s="1">
        <v>353000</v>
      </c>
      <c r="B1656" s="1">
        <v>966200458</v>
      </c>
      <c r="C1656" s="1" t="str">
        <f>"تخليه - هرمزگان-جاده بندر عباس-سيرجان دوراهي گهکم کيلومتر 5 جاده شيراز بندرعباس-روستاي هاشم آباد"</f>
        <v>تخليه - هرمزگان-جاده بندر عباس-سيرجان دوراهي گهکم کيلومتر 5 جاده شيراز بندرعباس-روستاي هاشم آباد</v>
      </c>
      <c r="D1656" s="1">
        <v>12820</v>
      </c>
      <c r="E1656" s="1">
        <v>352100</v>
      </c>
      <c r="F1656" s="1">
        <v>96</v>
      </c>
      <c r="G1656" s="1">
        <v>900</v>
      </c>
      <c r="H1656" s="1" t="str">
        <f>"96/09/26"</f>
        <v>96/09/26</v>
      </c>
      <c r="I1656" s="1" t="str">
        <f>"كيلوگرم"</f>
        <v>كيلوگرم</v>
      </c>
      <c r="J1656" s="1" t="str">
        <f>"0000000076"</f>
        <v>0000000076</v>
      </c>
      <c r="K1656" s="1" t="str">
        <f>"قير 60/70 - فله"</f>
        <v>قير 60/70 - فله</v>
      </c>
      <c r="L1656" s="1">
        <v>100</v>
      </c>
      <c r="M1656" s="1" t="str">
        <f>"مخازن قير اصفهان"</f>
        <v>مخازن قير اصفهان</v>
      </c>
      <c r="N1656" s="1">
        <v>11299</v>
      </c>
      <c r="O1656" s="1">
        <v>50037890</v>
      </c>
      <c r="P1656" s="1" t="str">
        <f>"  ميعاد گستر مهر سمنگان"</f>
        <v xml:space="preserve">  ميعاد گستر مهر سمنگان</v>
      </c>
      <c r="Q1656" s="1">
        <v>62</v>
      </c>
      <c r="R1656" s="1" t="str">
        <f>"فروش داخلي - سازمان بنيادمسكن انقلاب اسلامي"</f>
        <v>فروش داخلي - سازمان بنيادمسكن انقلاب اسلامي</v>
      </c>
      <c r="S1656" s="1" t="str">
        <f>"قرارداد فروش"</f>
        <v>قرارداد فروش</v>
      </c>
      <c r="T1656" s="1" t="str">
        <f>"ندارد"</f>
        <v>ندارد</v>
      </c>
      <c r="U1656" s="1" t="str">
        <f>"قره باغي مجيد(1871065)"</f>
        <v>قره باغي مجيد(1871065)</v>
      </c>
      <c r="V1656" s="1">
        <v>966200458</v>
      </c>
      <c r="W1656" s="1">
        <v>966200458</v>
      </c>
      <c r="X1656" s="1" t="str">
        <f>"1396532937"</f>
        <v>1396532937</v>
      </c>
      <c r="Y1656" s="1" t="str">
        <f>"96/09/26"</f>
        <v>96/09/26</v>
      </c>
      <c r="Z1656" s="1" t="str">
        <f>"42279/د"</f>
        <v>42279/د</v>
      </c>
      <c r="AA1656" s="1" t="str">
        <f>"بنيادمسكن انقلاب اسلامي"</f>
        <v>بنيادمسكن انقلاب اسلامي</v>
      </c>
      <c r="AB1656" s="1" t="str">
        <f>"96/09/25"</f>
        <v>96/09/25</v>
      </c>
      <c r="AC1656" s="1" t="str">
        <f>"استان كرمان"</f>
        <v>استان كرمان</v>
      </c>
      <c r="AD1656" s="1" t="str">
        <f>"96/09/26"</f>
        <v>96/09/26</v>
      </c>
      <c r="AE1656" s="1" t="str">
        <f>"اختتام"</f>
        <v>اختتام</v>
      </c>
      <c r="AF1656" s="1" t="str">
        <f>""</f>
        <v/>
      </c>
      <c r="AG1656" s="1" t="str">
        <f>""</f>
        <v/>
      </c>
      <c r="AH1656" s="1" t="str">
        <f>""</f>
        <v/>
      </c>
      <c r="AI1656" s="1" t="str">
        <f>""</f>
        <v/>
      </c>
      <c r="AJ1656" s="1" t="str">
        <f>""</f>
        <v/>
      </c>
      <c r="AK1656" s="1" t="str">
        <f>""</f>
        <v/>
      </c>
    </row>
    <row r="1657" spans="1:37">
      <c r="A1657" s="1">
        <v>22000</v>
      </c>
      <c r="B1657" s="1">
        <v>966200134</v>
      </c>
      <c r="C1657" s="1" t="str">
        <f>"تخليه-ايلام-جاده ايلام-بدره-کارخانه آسفالت شرکت ايلام راهبان"</f>
        <v>تخليه-ايلام-جاده ايلام-بدره-کارخانه آسفالت شرکت ايلام راهبان</v>
      </c>
      <c r="D1657" s="1">
        <v>12222</v>
      </c>
      <c r="E1657" s="1">
        <v>20080</v>
      </c>
      <c r="F1657" s="1">
        <v>96</v>
      </c>
      <c r="G1657" s="1">
        <v>1920</v>
      </c>
      <c r="H1657" s="1" t="str">
        <f>"96/04/22"</f>
        <v>96/04/22</v>
      </c>
      <c r="I1657" s="1" t="str">
        <f>"كيلوگرم"</f>
        <v>كيلوگرم</v>
      </c>
      <c r="J1657" s="1" t="str">
        <f>"1000000003"</f>
        <v>1000000003</v>
      </c>
      <c r="K1657" s="1" t="str">
        <f>"قير MC250"</f>
        <v>قير MC250</v>
      </c>
      <c r="L1657" s="1">
        <v>100</v>
      </c>
      <c r="M1657" s="1" t="str">
        <f>"مخازن قير اصفهان"</f>
        <v>مخازن قير اصفهان</v>
      </c>
      <c r="N1657" s="1">
        <v>9296</v>
      </c>
      <c r="O1657" s="1">
        <v>50035196</v>
      </c>
      <c r="P1657" s="1" t="str">
        <f>"  ايلام راه بان"</f>
        <v xml:space="preserve">  ايلام راه بان</v>
      </c>
      <c r="Q1657" s="1">
        <v>62</v>
      </c>
      <c r="R1657" s="1" t="str">
        <f>"فروش داخلي - سازمان بنيادمسكن انقلاب اسلامي"</f>
        <v>فروش داخلي - سازمان بنيادمسكن انقلاب اسلامي</v>
      </c>
      <c r="S1657" s="1" t="str">
        <f>"قرارداد فروش"</f>
        <v>قرارداد فروش</v>
      </c>
      <c r="T1657" s="1" t="str">
        <f>"ندارد"</f>
        <v>ندارد</v>
      </c>
      <c r="U1657" s="1" t="str">
        <f>"عظيمي محمد(2842015)"</f>
        <v>عظيمي محمد(2842015)</v>
      </c>
      <c r="V1657" s="1">
        <v>966200134</v>
      </c>
      <c r="W1657" s="1">
        <v>966200134</v>
      </c>
      <c r="X1657" s="1" t="str">
        <f>"1396496308"</f>
        <v>1396496308</v>
      </c>
      <c r="Y1657" s="1" t="str">
        <f>"96/04/22"</f>
        <v>96/04/22</v>
      </c>
      <c r="Z1657" s="1" t="str">
        <f>"15789/د"</f>
        <v>15789/د</v>
      </c>
      <c r="AA1657" s="1" t="str">
        <f>"بنيادمسكن انقلاب اسلامي"</f>
        <v>بنيادمسكن انقلاب اسلامي</v>
      </c>
      <c r="AB1657" s="1" t="str">
        <f>"96/04/20"</f>
        <v>96/04/20</v>
      </c>
      <c r="AC1657" s="1" t="str">
        <f>"استان ايلام"</f>
        <v>استان ايلام</v>
      </c>
      <c r="AD1657" s="1" t="str">
        <f>"96/04/21"</f>
        <v>96/04/21</v>
      </c>
      <c r="AE1657" s="1" t="str">
        <f>"اختتام"</f>
        <v>اختتام</v>
      </c>
      <c r="AF1657" s="1" t="str">
        <f>""</f>
        <v/>
      </c>
      <c r="AG1657" s="1" t="str">
        <f>""</f>
        <v/>
      </c>
      <c r="AH1657" s="1" t="str">
        <f>""</f>
        <v/>
      </c>
      <c r="AI1657" s="1" t="str">
        <f>""</f>
        <v/>
      </c>
      <c r="AJ1657" s="1" t="str">
        <f>""</f>
        <v/>
      </c>
      <c r="AK1657" s="1" t="str">
        <f>""</f>
        <v/>
      </c>
    </row>
    <row r="1658" spans="1:37">
      <c r="A1658" s="1">
        <v>89000</v>
      </c>
      <c r="B1658" s="1">
        <v>966200042</v>
      </c>
      <c r="C1658" s="1" t="str">
        <f>"تخليه - بندرعباس-منطقه ايسين-جنب روستاي درگير -شرکت آسفالت چاوش"</f>
        <v>تخليه - بندرعباس-منطقه ايسين-جنب روستاي درگير -شرکت آسفالت چاوش</v>
      </c>
      <c r="D1658" s="1">
        <v>8918</v>
      </c>
      <c r="E1658" s="1">
        <v>87340</v>
      </c>
      <c r="F1658" s="1">
        <v>96</v>
      </c>
      <c r="G1658" s="1">
        <v>1660</v>
      </c>
      <c r="H1658" s="1" t="str">
        <f>"96/02/06"</f>
        <v>96/02/06</v>
      </c>
      <c r="I1658" s="1" t="str">
        <f>"كيلوگرم"</f>
        <v>كيلوگرم</v>
      </c>
      <c r="J1658" s="1" t="str">
        <f>"0000000076"</f>
        <v>0000000076</v>
      </c>
      <c r="K1658" s="1" t="str">
        <f>"قير 60/70 - فله"</f>
        <v>قير 60/70 - فله</v>
      </c>
      <c r="L1658" s="1">
        <v>100</v>
      </c>
      <c r="M1658" s="1" t="str">
        <f>"مخازن قير اصفهان"</f>
        <v>مخازن قير اصفهان</v>
      </c>
      <c r="N1658" s="1">
        <v>11339</v>
      </c>
      <c r="O1658" s="1">
        <v>50034687</v>
      </c>
      <c r="P1658" s="1" t="str">
        <f>"  آسفالت هرمزگان"</f>
        <v xml:space="preserve">  آسفالت هرمزگان</v>
      </c>
      <c r="Q1658" s="1">
        <v>62</v>
      </c>
      <c r="R1658" s="1" t="str">
        <f>"فروش داخلي - سازمان بنيادمسكن انقلاب اسلامي"</f>
        <v>فروش داخلي - سازمان بنيادمسكن انقلاب اسلامي</v>
      </c>
      <c r="S1658" s="1" t="str">
        <f>"قرارداد فروش"</f>
        <v>قرارداد فروش</v>
      </c>
      <c r="T1658" s="1" t="str">
        <f>"ندارد"</f>
        <v>ندارد</v>
      </c>
      <c r="U1658" s="1" t="str">
        <f>"دشت بشي پودنگ وبرادران رضا(4844014)"</f>
        <v>دشت بشي پودنگ وبرادران رضا(4844014)</v>
      </c>
      <c r="V1658" s="1">
        <v>966200042</v>
      </c>
      <c r="W1658" s="1">
        <v>966200042</v>
      </c>
      <c r="X1658" s="1" t="str">
        <f>"1396477333"</f>
        <v>1396477333</v>
      </c>
      <c r="Y1658" s="1" t="str">
        <f>"96/02/06"</f>
        <v>96/02/06</v>
      </c>
      <c r="Z1658" s="1" t="str">
        <f>"3302/د"</f>
        <v>3302/د</v>
      </c>
      <c r="AA1658" s="1" t="str">
        <f>"بنيادمسكن انقلاب اسلامي"</f>
        <v>بنيادمسكن انقلاب اسلامي</v>
      </c>
      <c r="AB1658" s="1" t="str">
        <f>"96/02/03"</f>
        <v>96/02/03</v>
      </c>
      <c r="AC1658" s="1" t="str">
        <f>"استان هرمزگان"</f>
        <v>استان هرمزگان</v>
      </c>
      <c r="AD1658" s="1" t="str">
        <f>"96/02/06"</f>
        <v>96/02/06</v>
      </c>
      <c r="AE1658" s="1" t="str">
        <f>"اختتام"</f>
        <v>اختتام</v>
      </c>
      <c r="AF1658" s="1" t="str">
        <f>""</f>
        <v/>
      </c>
      <c r="AG1658" s="1" t="str">
        <f>""</f>
        <v/>
      </c>
      <c r="AH1658" s="1" t="str">
        <f>""</f>
        <v/>
      </c>
      <c r="AI1658" s="1" t="str">
        <f>""</f>
        <v/>
      </c>
      <c r="AJ1658" s="1" t="str">
        <f>""</f>
        <v/>
      </c>
      <c r="AK1658" s="1" t="str">
        <f>""</f>
        <v/>
      </c>
    </row>
    <row r="1659" spans="1:37">
      <c r="A1659" s="1">
        <v>58000</v>
      </c>
      <c r="B1659" s="1">
        <v>966200048</v>
      </c>
      <c r="C1659" s="1" t="str">
        <f>"تخليه - هرمزگان-محوربستک بندرعباس-40 کيلومتري نرسيده به بستک-روستاي تدروئيه-کارخانه آسفالت روئيدر ساختمان"</f>
        <v>تخليه - هرمزگان-محوربستک بندرعباس-40 کيلومتري نرسيده به بستک-روستاي تدروئيه-کارخانه آسفالت روئيدر ساختمان</v>
      </c>
      <c r="D1659" s="1">
        <v>8918</v>
      </c>
      <c r="E1659" s="1">
        <v>57540</v>
      </c>
      <c r="F1659" s="1">
        <v>96</v>
      </c>
      <c r="G1659" s="1">
        <v>460</v>
      </c>
      <c r="H1659" s="1" t="str">
        <f>"96/02/06"</f>
        <v>96/02/06</v>
      </c>
      <c r="I1659" s="1" t="str">
        <f>"كيلوگرم"</f>
        <v>كيلوگرم</v>
      </c>
      <c r="J1659" s="1" t="str">
        <f>"0000000076"</f>
        <v>0000000076</v>
      </c>
      <c r="K1659" s="1" t="str">
        <f>"قير 60/70 - فله"</f>
        <v>قير 60/70 - فله</v>
      </c>
      <c r="L1659" s="1">
        <v>100</v>
      </c>
      <c r="M1659" s="1" t="str">
        <f>"مخازن قير اصفهان"</f>
        <v>مخازن قير اصفهان</v>
      </c>
      <c r="N1659" s="1">
        <v>11342</v>
      </c>
      <c r="O1659" s="1">
        <v>50034695</v>
      </c>
      <c r="P1659" s="1" t="str">
        <f>"  روئيدر ساختمان بندر"</f>
        <v xml:space="preserve">  روئيدر ساختمان بندر</v>
      </c>
      <c r="Q1659" s="1">
        <v>62</v>
      </c>
      <c r="R1659" s="1" t="str">
        <f>"فروش داخلي - سازمان بنيادمسكن انقلاب اسلامي"</f>
        <v>فروش داخلي - سازمان بنيادمسكن انقلاب اسلامي</v>
      </c>
      <c r="S1659" s="1" t="str">
        <f>"قرارداد فروش"</f>
        <v>قرارداد فروش</v>
      </c>
      <c r="T1659" s="1" t="str">
        <f>"ندارد"</f>
        <v>ندارد</v>
      </c>
      <c r="U1659" s="1" t="str">
        <f>"حاصليان ترابرجنوب مرتضي حاصلي (4844006)"</f>
        <v>حاصليان ترابرجنوب مرتضي حاصلي (4844006)</v>
      </c>
      <c r="V1659" s="1">
        <v>966200048</v>
      </c>
      <c r="W1659" s="1">
        <v>966200048</v>
      </c>
      <c r="X1659" s="1" t="str">
        <f>"1396477333"</f>
        <v>1396477333</v>
      </c>
      <c r="Y1659" s="1" t="str">
        <f>"96/02/06"</f>
        <v>96/02/06</v>
      </c>
      <c r="Z1659" s="1" t="str">
        <f>"3243/د"</f>
        <v>3243/د</v>
      </c>
      <c r="AA1659" s="1" t="str">
        <f>"بنيادمسكن انقلاب اسلامي"</f>
        <v>بنيادمسكن انقلاب اسلامي</v>
      </c>
      <c r="AB1659" s="1" t="str">
        <f>"96/02/03"</f>
        <v>96/02/03</v>
      </c>
      <c r="AC1659" s="1" t="str">
        <f>"استان هرمزگان"</f>
        <v>استان هرمزگان</v>
      </c>
      <c r="AD1659" s="1" t="str">
        <f>"96/02/06"</f>
        <v>96/02/06</v>
      </c>
      <c r="AE1659" s="1" t="str">
        <f>"اختتام"</f>
        <v>اختتام</v>
      </c>
      <c r="AF1659" s="1" t="str">
        <f>""</f>
        <v/>
      </c>
      <c r="AG1659" s="1" t="str">
        <f>""</f>
        <v/>
      </c>
      <c r="AH1659" s="1" t="str">
        <f>""</f>
        <v/>
      </c>
      <c r="AI1659" s="1" t="str">
        <f>""</f>
        <v/>
      </c>
      <c r="AJ1659" s="1" t="str">
        <f>""</f>
        <v/>
      </c>
      <c r="AK1659" s="1" t="str">
        <f>""</f>
        <v/>
      </c>
    </row>
    <row r="1660" spans="1:37">
      <c r="A1660" s="1">
        <v>2000000</v>
      </c>
      <c r="B1660" s="1">
        <v>961100013</v>
      </c>
      <c r="C1660" s="1" t="str">
        <f>"تخليه اصفهان خيابان ارغوانيه سه راه گردنه زينل كارخانه آسفالت سازمان عمران شهرداري اصفهان"</f>
        <v>تخليه اصفهان خيابان ارغوانيه سه راه گردنه زينل كارخانه آسفالت سازمان عمران شهرداري اصفهان</v>
      </c>
      <c r="D1660" s="1">
        <v>8918</v>
      </c>
      <c r="E1660" s="1">
        <v>2000000</v>
      </c>
      <c r="F1660" s="1">
        <v>96</v>
      </c>
      <c r="G1660" s="1">
        <v>0</v>
      </c>
      <c r="H1660" s="1" t="str">
        <f>"96/02/16"</f>
        <v>96/02/16</v>
      </c>
      <c r="I1660" s="1" t="str">
        <f>"كيلوگرم"</f>
        <v>كيلوگرم</v>
      </c>
      <c r="J1660" s="1" t="str">
        <f>"0000000076"</f>
        <v>0000000076</v>
      </c>
      <c r="K1660" s="1" t="str">
        <f>"قير 60/70 - فله"</f>
        <v>قير 60/70 - فله</v>
      </c>
      <c r="L1660" s="1">
        <v>100</v>
      </c>
      <c r="M1660" s="1" t="str">
        <f>"مخازن قير اصفهان"</f>
        <v>مخازن قير اصفهان</v>
      </c>
      <c r="N1660" s="1">
        <v>11346</v>
      </c>
      <c r="O1660" s="1">
        <v>50034776</v>
      </c>
      <c r="P1660" s="1" t="str">
        <f>"  شهرداري اصفهان(شهرداري منطقه 12)"</f>
        <v xml:space="preserve">  شهرداري اصفهان(شهرداري منطقه 12)</v>
      </c>
      <c r="Q1660" s="1">
        <v>11</v>
      </c>
      <c r="R1660" s="1" t="str">
        <f>"فروش داخلي تهران - بورس"</f>
        <v>فروش داخلي تهران - بورس</v>
      </c>
      <c r="S1660" s="1" t="str">
        <f>"قرارداد فروش"</f>
        <v>قرارداد فروش</v>
      </c>
      <c r="T1660" s="1" t="str">
        <f>"ندارد"</f>
        <v>ندارد</v>
      </c>
      <c r="U1660" s="1" t="str">
        <f>"ترك شاهسوندي مهدي(1022ج89)"</f>
        <v>ترك شاهسوندي مهدي(1022ج89)</v>
      </c>
      <c r="V1660" s="1">
        <v>961100013</v>
      </c>
      <c r="W1660" s="1">
        <v>961100013</v>
      </c>
      <c r="X1660" s="1" t="str">
        <f>"1396478981"</f>
        <v>1396478981</v>
      </c>
      <c r="Y1660" s="1" t="str">
        <f>"96/02/16"</f>
        <v>96/02/16</v>
      </c>
      <c r="Z1660" s="1" t="str">
        <f>"12/96/1400"</f>
        <v>12/96/1400</v>
      </c>
      <c r="AA1660" s="1" t="str">
        <f>"شهرداريها"</f>
        <v>شهرداريها</v>
      </c>
      <c r="AB1660" s="1" t="str">
        <f>"96/02/16"</f>
        <v>96/02/16</v>
      </c>
      <c r="AC1660" s="1" t="str">
        <f>"استان اصفهان"</f>
        <v>استان اصفهان</v>
      </c>
      <c r="AD1660" s="1" t="str">
        <f>"96/02/16"</f>
        <v>96/02/16</v>
      </c>
      <c r="AE1660" s="1" t="str">
        <f>"اختتام"</f>
        <v>اختتام</v>
      </c>
      <c r="AF1660" s="1" t="str">
        <f>""</f>
        <v/>
      </c>
      <c r="AG1660" s="1" t="str">
        <f>""</f>
        <v/>
      </c>
      <c r="AH1660" s="1" t="str">
        <f>""</f>
        <v/>
      </c>
      <c r="AI1660" s="1" t="str">
        <f>""</f>
        <v/>
      </c>
      <c r="AJ1660" s="1" t="str">
        <f>""</f>
        <v/>
      </c>
      <c r="AK1660" s="1" t="str">
        <f>""</f>
        <v/>
      </c>
    </row>
    <row r="1661" spans="1:37">
      <c r="A1661" s="1">
        <v>184000</v>
      </c>
      <c r="B1661" s="1">
        <v>966200085</v>
      </c>
      <c r="C1661" s="1" t="str">
        <f>"تخليه - خوزستان -بهبهان-سردشت-کيلومتر 7 جاده ديلم-کارخانه آسفالت راساسير"</f>
        <v>تخليه - خوزستان -بهبهان-سردشت-کيلومتر 7 جاده ديلم-کارخانه آسفالت راساسير</v>
      </c>
      <c r="D1661" s="1">
        <v>8918</v>
      </c>
      <c r="E1661" s="1">
        <v>182820</v>
      </c>
      <c r="F1661" s="1">
        <v>96</v>
      </c>
      <c r="G1661" s="1">
        <v>1180</v>
      </c>
      <c r="H1661" s="1" t="str">
        <f>"96/02/27"</f>
        <v>96/02/27</v>
      </c>
      <c r="I1661" s="1" t="str">
        <f>"كيلوگرم"</f>
        <v>كيلوگرم</v>
      </c>
      <c r="J1661" s="1" t="str">
        <f>"0000000076"</f>
        <v>0000000076</v>
      </c>
      <c r="K1661" s="1" t="str">
        <f>"قير 60/70 - فله"</f>
        <v>قير 60/70 - فله</v>
      </c>
      <c r="L1661" s="1">
        <v>100</v>
      </c>
      <c r="M1661" s="1" t="str">
        <f>"مخازن قير اصفهان"</f>
        <v>مخازن قير اصفهان</v>
      </c>
      <c r="N1661" s="1">
        <v>11355</v>
      </c>
      <c r="O1661" s="1">
        <v>50034855</v>
      </c>
      <c r="P1661" s="1" t="str">
        <f>"  راساسير"</f>
        <v xml:space="preserve">  راساسير</v>
      </c>
      <c r="Q1661" s="1">
        <v>62</v>
      </c>
      <c r="R1661" s="1" t="str">
        <f>"فروش داخلي - سازمان بنيادمسكن انقلاب اسلامي"</f>
        <v>فروش داخلي - سازمان بنيادمسكن انقلاب اسلامي</v>
      </c>
      <c r="S1661" s="1" t="str">
        <f>"قرارداد فروش"</f>
        <v>قرارداد فروش</v>
      </c>
      <c r="T1661" s="1" t="str">
        <f>"ندارد"</f>
        <v>ندارد</v>
      </c>
      <c r="U1661" s="1" t="str">
        <f>"پير احمدي محمد جعفر(4844021)"</f>
        <v>پير احمدي محمد جعفر(4844021)</v>
      </c>
      <c r="V1661" s="1">
        <v>966200085</v>
      </c>
      <c r="W1661" s="1">
        <v>966200085</v>
      </c>
      <c r="X1661" s="1" t="str">
        <f>"1396481875"</f>
        <v>1396481875</v>
      </c>
      <c r="Y1661" s="1" t="str">
        <f>"96/02/27"</f>
        <v>96/02/27</v>
      </c>
      <c r="Z1661" s="1" t="str">
        <f>"6839/د"</f>
        <v>6839/د</v>
      </c>
      <c r="AA1661" s="1" t="str">
        <f>"بنيادمسكن انقلاب اسلامي"</f>
        <v>بنيادمسكن انقلاب اسلامي</v>
      </c>
      <c r="AB1661" s="1" t="str">
        <f>"96/02/25"</f>
        <v>96/02/25</v>
      </c>
      <c r="AC1661" s="1" t="str">
        <f>"بوشهر"</f>
        <v>بوشهر</v>
      </c>
      <c r="AD1661" s="1" t="str">
        <f>"96/02/27"</f>
        <v>96/02/27</v>
      </c>
      <c r="AE1661" s="1" t="str">
        <f>"اختتام"</f>
        <v>اختتام</v>
      </c>
      <c r="AF1661" s="1" t="str">
        <f>""</f>
        <v/>
      </c>
      <c r="AG1661" s="1" t="str">
        <f>""</f>
        <v/>
      </c>
      <c r="AH1661" s="1" t="str">
        <f>""</f>
        <v/>
      </c>
      <c r="AI1661" s="1" t="str">
        <f>""</f>
        <v/>
      </c>
      <c r="AJ1661" s="1" t="str">
        <f>""</f>
        <v/>
      </c>
      <c r="AK1661" s="1" t="str">
        <f>""</f>
        <v/>
      </c>
    </row>
    <row r="1662" spans="1:37">
      <c r="A1662" s="1">
        <v>284000</v>
      </c>
      <c r="B1662" s="1">
        <v>966200087</v>
      </c>
      <c r="C1662" s="1" t="str">
        <f>"تخليه - بوشهر-کيلومتر 25جاده گناوه به برازجان - جنب نيروگاه سيکل ترکيبي کارخانه آسفالت حياتي گناوه"</f>
        <v>تخليه - بوشهر-کيلومتر 25جاده گناوه به برازجان - جنب نيروگاه سيکل ترکيبي کارخانه آسفالت حياتي گناوه</v>
      </c>
      <c r="D1662" s="1">
        <v>8918</v>
      </c>
      <c r="E1662" s="1">
        <v>281720</v>
      </c>
      <c r="F1662" s="1">
        <v>96</v>
      </c>
      <c r="G1662" s="1">
        <v>2280</v>
      </c>
      <c r="H1662" s="1" t="str">
        <f>"96/02/27"</f>
        <v>96/02/27</v>
      </c>
      <c r="I1662" s="1" t="str">
        <f>"كيلوگرم"</f>
        <v>كيلوگرم</v>
      </c>
      <c r="J1662" s="1" t="str">
        <f>"0000000076"</f>
        <v>0000000076</v>
      </c>
      <c r="K1662" s="1" t="str">
        <f>"قير 60/70 - فله"</f>
        <v>قير 60/70 - فله</v>
      </c>
      <c r="L1662" s="1">
        <v>100</v>
      </c>
      <c r="M1662" s="1" t="str">
        <f>"مخازن قير اصفهان"</f>
        <v>مخازن قير اصفهان</v>
      </c>
      <c r="N1662" s="1">
        <v>11357</v>
      </c>
      <c r="O1662" s="1">
        <v>50034857</v>
      </c>
      <c r="P1662" s="1" t="str">
        <f>"  شادان ليماک"</f>
        <v xml:space="preserve">  شادان ليماک</v>
      </c>
      <c r="Q1662" s="1">
        <v>62</v>
      </c>
      <c r="R1662" s="1" t="str">
        <f>"فروش داخلي - سازمان بنيادمسكن انقلاب اسلامي"</f>
        <v>فروش داخلي - سازمان بنيادمسكن انقلاب اسلامي</v>
      </c>
      <c r="S1662" s="1" t="str">
        <f>"قرارداد فروش"</f>
        <v>قرارداد فروش</v>
      </c>
      <c r="T1662" s="1" t="str">
        <f>"ندارد"</f>
        <v>ندارد</v>
      </c>
      <c r="U1662" s="1" t="str">
        <f>"حاصليان ترابرجنوب مرتضي حاصلي (4844006)"</f>
        <v>حاصليان ترابرجنوب مرتضي حاصلي (4844006)</v>
      </c>
      <c r="V1662" s="1">
        <v>966200087</v>
      </c>
      <c r="W1662" s="1">
        <v>966200087</v>
      </c>
      <c r="X1662" s="1" t="str">
        <f>"1396481875"</f>
        <v>1396481875</v>
      </c>
      <c r="Y1662" s="1" t="str">
        <f>"96/02/27"</f>
        <v>96/02/27</v>
      </c>
      <c r="Z1662" s="1" t="str">
        <f>"6837/د"</f>
        <v>6837/د</v>
      </c>
      <c r="AA1662" s="1" t="str">
        <f>"بنيادمسكن انقلاب اسلامي"</f>
        <v>بنيادمسكن انقلاب اسلامي</v>
      </c>
      <c r="AB1662" s="1" t="str">
        <f>"96/02/25"</f>
        <v>96/02/25</v>
      </c>
      <c r="AC1662" s="1" t="str">
        <f>"بوشهر"</f>
        <v>بوشهر</v>
      </c>
      <c r="AD1662" s="1" t="str">
        <f>"96/02/27"</f>
        <v>96/02/27</v>
      </c>
      <c r="AE1662" s="1" t="str">
        <f>"اختتام"</f>
        <v>اختتام</v>
      </c>
      <c r="AF1662" s="1" t="str">
        <f>""</f>
        <v/>
      </c>
      <c r="AG1662" s="1" t="str">
        <f>""</f>
        <v/>
      </c>
      <c r="AH1662" s="1" t="str">
        <f>""</f>
        <v/>
      </c>
      <c r="AI1662" s="1" t="str">
        <f>""</f>
        <v/>
      </c>
      <c r="AJ1662" s="1" t="str">
        <f>""</f>
        <v/>
      </c>
      <c r="AK1662" s="1" t="str">
        <f>""</f>
        <v/>
      </c>
    </row>
    <row r="1663" spans="1:37">
      <c r="A1663" s="1">
        <v>151000</v>
      </c>
      <c r="B1663" s="1">
        <v>966200655</v>
      </c>
      <c r="C1663" s="1" t="str">
        <f>"تخليه - لرستان-ويسيان-کيلومتر5 جاده خوزستان"</f>
        <v>تخليه - لرستان-ويسيان-کيلومتر5 جاده خوزستان</v>
      </c>
      <c r="D1663" s="1">
        <v>13350</v>
      </c>
      <c r="E1663" s="1">
        <v>151000</v>
      </c>
      <c r="F1663" s="1">
        <v>96</v>
      </c>
      <c r="G1663" s="1">
        <v>0</v>
      </c>
      <c r="H1663" s="1" t="str">
        <f>"96/12/15"</f>
        <v>96/12/15</v>
      </c>
      <c r="I1663" s="1" t="str">
        <f>"كيلوگرم"</f>
        <v>كيلوگرم</v>
      </c>
      <c r="J1663" s="1" t="str">
        <f>"0000000076"</f>
        <v>0000000076</v>
      </c>
      <c r="K1663" s="1" t="str">
        <f>"قير 60/70 - فله"</f>
        <v>قير 60/70 - فله</v>
      </c>
      <c r="L1663" s="1">
        <v>100</v>
      </c>
      <c r="M1663" s="1" t="str">
        <f>"مخازن قير اصفهان"</f>
        <v>مخازن قير اصفهان</v>
      </c>
      <c r="N1663" s="1">
        <v>11363</v>
      </c>
      <c r="O1663" s="1">
        <v>50038783</v>
      </c>
      <c r="P1663" s="1" t="str">
        <f>"  شاهين راه غرب"</f>
        <v xml:space="preserve">  شاهين راه غرب</v>
      </c>
      <c r="Q1663" s="1">
        <v>62</v>
      </c>
      <c r="R1663" s="1" t="str">
        <f>"فروش داخلي - سازمان بنيادمسكن انقلاب اسلامي"</f>
        <v>فروش داخلي - سازمان بنيادمسكن انقلاب اسلامي</v>
      </c>
      <c r="S1663" s="1" t="str">
        <f>"قرارداد فروش"</f>
        <v>قرارداد فروش</v>
      </c>
      <c r="T1663" s="1" t="str">
        <f>"ندارد"</f>
        <v>ندارد</v>
      </c>
      <c r="U1663" s="1" t="str">
        <f>"عظيمي محمد(2842015)"</f>
        <v>عظيمي محمد(2842015)</v>
      </c>
      <c r="V1663" s="1">
        <v>966200655</v>
      </c>
      <c r="W1663" s="1">
        <v>966200655</v>
      </c>
      <c r="X1663" s="1" t="str">
        <f>"1396552658"</f>
        <v>1396552658</v>
      </c>
      <c r="Y1663" s="1" t="str">
        <f>"96/12/15"</f>
        <v>96/12/15</v>
      </c>
      <c r="Z1663" s="1" t="str">
        <f>"57115/د"</f>
        <v>57115/د</v>
      </c>
      <c r="AA1663" s="1" t="str">
        <f>"بنيادمسكن انقلاب اسلامي"</f>
        <v>بنيادمسكن انقلاب اسلامي</v>
      </c>
      <c r="AB1663" s="1" t="str">
        <f>"96/12/15"</f>
        <v>96/12/15</v>
      </c>
      <c r="AC1663" s="1" t="str">
        <f>"لرستان"</f>
        <v>لرستان</v>
      </c>
      <c r="AD1663" s="1" t="str">
        <f>"96/12/15"</f>
        <v>96/12/15</v>
      </c>
      <c r="AE1663" s="1" t="str">
        <f>"اختتام"</f>
        <v>اختتام</v>
      </c>
      <c r="AF1663" s="1" t="str">
        <f>""</f>
        <v/>
      </c>
      <c r="AG1663" s="1" t="str">
        <f>""</f>
        <v/>
      </c>
      <c r="AH1663" s="1" t="str">
        <f>""</f>
        <v/>
      </c>
      <c r="AI1663" s="1" t="str">
        <f>""</f>
        <v/>
      </c>
      <c r="AJ1663" s="1" t="str">
        <f>""</f>
        <v/>
      </c>
      <c r="AK1663" s="1" t="str">
        <f>""</f>
        <v/>
      </c>
    </row>
    <row r="1664" spans="1:37">
      <c r="A1664" s="1">
        <v>80000</v>
      </c>
      <c r="B1664" s="1">
        <v>966200496</v>
      </c>
      <c r="C1664" s="1" t="str">
        <f>"تخليه- لرستان-کيلومتر 8 جاده خرم اباد -الشتر-تنگ شبيخون"</f>
        <v>تخليه- لرستان-کيلومتر 8 جاده خرم اباد -الشتر-تنگ شبيخون</v>
      </c>
      <c r="D1664" s="1">
        <v>12850</v>
      </c>
      <c r="E1664" s="1">
        <v>78300</v>
      </c>
      <c r="F1664" s="1">
        <v>96</v>
      </c>
      <c r="G1664" s="1">
        <v>1700</v>
      </c>
      <c r="H1664" s="1" t="str">
        <f>"96/10/09"</f>
        <v>96/10/09</v>
      </c>
      <c r="I1664" s="1" t="str">
        <f>"كيلوگرم"</f>
        <v>كيلوگرم</v>
      </c>
      <c r="J1664" s="1" t="str">
        <f>"0000000076"</f>
        <v>0000000076</v>
      </c>
      <c r="K1664" s="1" t="str">
        <f>"قير 60/70 - فله"</f>
        <v>قير 60/70 - فله</v>
      </c>
      <c r="L1664" s="1">
        <v>100</v>
      </c>
      <c r="M1664" s="1" t="str">
        <f>"مخازن قير اصفهان"</f>
        <v>مخازن قير اصفهان</v>
      </c>
      <c r="N1664" s="1">
        <v>11374</v>
      </c>
      <c r="O1664" s="1">
        <v>50038005</v>
      </c>
      <c r="P1664" s="1" t="str">
        <f>"  رويين سيستم معاصر"</f>
        <v xml:space="preserve">  رويين سيستم معاصر</v>
      </c>
      <c r="Q1664" s="1">
        <v>62</v>
      </c>
      <c r="R1664" s="1" t="str">
        <f>"فروش داخلي - سازمان بنيادمسكن انقلاب اسلامي"</f>
        <v>فروش داخلي - سازمان بنيادمسكن انقلاب اسلامي</v>
      </c>
      <c r="S1664" s="1" t="str">
        <f>"قرارداد فروش"</f>
        <v>قرارداد فروش</v>
      </c>
      <c r="T1664" s="1" t="str">
        <f>"ندارد"</f>
        <v>ندارد</v>
      </c>
      <c r="U1664" s="1" t="str">
        <f>"ريسماني حسن(1007ج89)"</f>
        <v>ريسماني حسن(1007ج89)</v>
      </c>
      <c r="V1664" s="1">
        <v>966200496</v>
      </c>
      <c r="W1664" s="1">
        <v>966200496</v>
      </c>
      <c r="X1664" s="1" t="str">
        <f>"1396535970"</f>
        <v>1396535970</v>
      </c>
      <c r="Y1664" s="1" t="str">
        <f>"96/10/09"</f>
        <v>96/10/09</v>
      </c>
      <c r="Z1664" s="1" t="str">
        <f>"44345/د"</f>
        <v>44345/د</v>
      </c>
      <c r="AA1664" s="1" t="str">
        <f>"بنيادمسكن انقلاب اسلامي"</f>
        <v>بنيادمسكن انقلاب اسلامي</v>
      </c>
      <c r="AB1664" s="1" t="str">
        <f>"96/10/06"</f>
        <v>96/10/06</v>
      </c>
      <c r="AC1664" s="1" t="str">
        <f>"لرستان"</f>
        <v>لرستان</v>
      </c>
      <c r="AD1664" s="1" t="str">
        <f>"96/10/09"</f>
        <v>96/10/09</v>
      </c>
      <c r="AE1664" s="1" t="str">
        <f>"اختتام"</f>
        <v>اختتام</v>
      </c>
      <c r="AF1664" s="1" t="str">
        <f>""</f>
        <v/>
      </c>
      <c r="AG1664" s="1" t="str">
        <f>""</f>
        <v/>
      </c>
      <c r="AH1664" s="1" t="str">
        <f>""</f>
        <v/>
      </c>
      <c r="AI1664" s="1" t="str">
        <f>""</f>
        <v/>
      </c>
      <c r="AJ1664" s="1" t="str">
        <f>""</f>
        <v/>
      </c>
      <c r="AK1664" s="1" t="str">
        <f>""</f>
        <v/>
      </c>
    </row>
    <row r="1665" spans="1:37">
      <c r="A1665" s="1">
        <v>325000</v>
      </c>
      <c r="B1665" s="1">
        <v>966200148</v>
      </c>
      <c r="C1665" s="1" t="str">
        <f>"تخليه - کرمان - سيرجان- کيلومتر 20 جاده بافت-کارخانه آسفالت نظري"</f>
        <v>تخليه - کرمان - سيرجان- کيلومتر 20 جاده بافت-کارخانه آسفالت نظري</v>
      </c>
      <c r="D1665" s="1">
        <v>8704</v>
      </c>
      <c r="E1665" s="1">
        <v>324320</v>
      </c>
      <c r="F1665" s="1">
        <v>96</v>
      </c>
      <c r="G1665" s="1">
        <v>680</v>
      </c>
      <c r="H1665" s="1" t="str">
        <f>"96/04/31"</f>
        <v>96/04/31</v>
      </c>
      <c r="I1665" s="1" t="str">
        <f>"كيلوگرم"</f>
        <v>كيلوگرم</v>
      </c>
      <c r="J1665" s="1" t="str">
        <f>"0000000076"</f>
        <v>0000000076</v>
      </c>
      <c r="K1665" s="1" t="str">
        <f>"قير 60/70 - فله"</f>
        <v>قير 60/70 - فله</v>
      </c>
      <c r="L1665" s="1">
        <v>100</v>
      </c>
      <c r="M1665" s="1" t="str">
        <f>"مخازن قير اصفهان"</f>
        <v>مخازن قير اصفهان</v>
      </c>
      <c r="N1665" s="1">
        <v>11379</v>
      </c>
      <c r="O1665" s="1">
        <v>50035293</v>
      </c>
      <c r="P1665" s="1" t="str">
        <f>"  دنا پي سمنگان"</f>
        <v xml:space="preserve">  دنا پي سمنگان</v>
      </c>
      <c r="Q1665" s="1">
        <v>62</v>
      </c>
      <c r="R1665" s="1" t="str">
        <f>"فروش داخلي - سازمان بنيادمسكن انقلاب اسلامي"</f>
        <v>فروش داخلي - سازمان بنيادمسكن انقلاب اسلامي</v>
      </c>
      <c r="S1665" s="1" t="str">
        <f>"قرارداد فروش"</f>
        <v>قرارداد فروش</v>
      </c>
      <c r="T1665" s="1" t="str">
        <f>"ندارد"</f>
        <v>ندارد</v>
      </c>
      <c r="U1665" s="1" t="str">
        <f>"خضرائي فريدون(4844003)"</f>
        <v>خضرائي فريدون(4844003)</v>
      </c>
      <c r="V1665" s="1">
        <v>966200148</v>
      </c>
      <c r="W1665" s="1">
        <v>966200148</v>
      </c>
      <c r="X1665" s="1" t="str">
        <f>"1396498686"</f>
        <v>1396498686</v>
      </c>
      <c r="Y1665" s="1" t="str">
        <f>"96/04/31"</f>
        <v>96/04/31</v>
      </c>
      <c r="Z1665" s="1" t="str">
        <f>"17320/د"</f>
        <v>17320/د</v>
      </c>
      <c r="AA1665" s="1" t="str">
        <f>"بنيادمسكن انقلاب اسلامي"</f>
        <v>بنيادمسكن انقلاب اسلامي</v>
      </c>
      <c r="AB1665" s="1" t="str">
        <f>"96/04/28"</f>
        <v>96/04/28</v>
      </c>
      <c r="AC1665" s="1" t="str">
        <f>"استان كرمان"</f>
        <v>استان كرمان</v>
      </c>
      <c r="AD1665" s="1" t="str">
        <f>"96/04/31"</f>
        <v>96/04/31</v>
      </c>
      <c r="AE1665" s="1" t="str">
        <f>"اختتام"</f>
        <v>اختتام</v>
      </c>
      <c r="AF1665" s="1" t="str">
        <f>""</f>
        <v/>
      </c>
      <c r="AG1665" s="1" t="str">
        <f>""</f>
        <v/>
      </c>
      <c r="AH1665" s="1" t="str">
        <f>""</f>
        <v/>
      </c>
      <c r="AI1665" s="1" t="str">
        <f>""</f>
        <v/>
      </c>
      <c r="AJ1665" s="1" t="str">
        <f>""</f>
        <v/>
      </c>
      <c r="AK1665" s="1" t="str">
        <f>""</f>
        <v/>
      </c>
    </row>
    <row r="1666" spans="1:37">
      <c r="A1666" s="1">
        <v>350000</v>
      </c>
      <c r="B1666" s="1">
        <v>966200213</v>
      </c>
      <c r="C1666" s="1" t="str">
        <f>"تخليه - خراسان رضوي-مشهد-کيلومتر10جاده سرخس-نرسيده به روستاي تنگل شور-بعداز پل"</f>
        <v>تخليه - خراسان رضوي-مشهد-کيلومتر10جاده سرخس-نرسيده به روستاي تنگل شور-بعداز پل</v>
      </c>
      <c r="D1666" s="1">
        <v>8954</v>
      </c>
      <c r="E1666" s="1">
        <v>350000</v>
      </c>
      <c r="F1666" s="1">
        <v>96</v>
      </c>
      <c r="G1666" s="1">
        <v>0</v>
      </c>
      <c r="H1666" s="1" t="str">
        <f>"96/06/05"</f>
        <v>96/06/05</v>
      </c>
      <c r="I1666" s="1" t="str">
        <f>"كيلوگرم"</f>
        <v>كيلوگرم</v>
      </c>
      <c r="J1666" s="1" t="str">
        <f>"0000000076"</f>
        <v>0000000076</v>
      </c>
      <c r="K1666" s="1" t="str">
        <f>"قير 60/70 - فله"</f>
        <v>قير 60/70 - فله</v>
      </c>
      <c r="L1666" s="1">
        <v>100</v>
      </c>
      <c r="M1666" s="1" t="str">
        <f>"مخازن قير اصفهان"</f>
        <v>مخازن قير اصفهان</v>
      </c>
      <c r="N1666" s="1">
        <v>11394</v>
      </c>
      <c r="O1666" s="1">
        <v>50035807</v>
      </c>
      <c r="P1666" s="1" t="str">
        <f>"  آريا راه کاو پارس"</f>
        <v xml:space="preserve">  آريا راه کاو پارس</v>
      </c>
      <c r="Q1666" s="1">
        <v>62</v>
      </c>
      <c r="R1666" s="1" t="str">
        <f>"فروش داخلي - سازمان بنيادمسكن انقلاب اسلامي"</f>
        <v>فروش داخلي - سازمان بنيادمسكن انقلاب اسلامي</v>
      </c>
      <c r="S1666" s="1" t="str">
        <f>"قرارداد فروش"</f>
        <v>قرارداد فروش</v>
      </c>
      <c r="T1666" s="1" t="str">
        <f>"ندارد"</f>
        <v>ندارد</v>
      </c>
      <c r="U1666" s="1" t="str">
        <f>"حسيني سيدجواد(1841076)"</f>
        <v>حسيني سيدجواد(1841076)</v>
      </c>
      <c r="V1666" s="1">
        <v>966200213</v>
      </c>
      <c r="W1666" s="1">
        <v>966200213</v>
      </c>
      <c r="X1666" s="1" t="str">
        <f>"1396508163"</f>
        <v>1396508163</v>
      </c>
      <c r="Y1666" s="1" t="str">
        <f>"96/06/05"</f>
        <v>96/06/05</v>
      </c>
      <c r="Z1666" s="1" t="str">
        <f>"24108/د"</f>
        <v>24108/د</v>
      </c>
      <c r="AA1666" s="1" t="str">
        <f>"بنيادمسكن انقلاب اسلامي"</f>
        <v>بنيادمسكن انقلاب اسلامي</v>
      </c>
      <c r="AB1666" s="1" t="str">
        <f>"96/06/04"</f>
        <v>96/06/04</v>
      </c>
      <c r="AC1666" s="1" t="str">
        <f>"خراسان رضوي"</f>
        <v>خراسان رضوي</v>
      </c>
      <c r="AD1666" s="1" t="str">
        <f>"96/06/05"</f>
        <v>96/06/05</v>
      </c>
      <c r="AE1666" s="1" t="str">
        <f>"اختتام"</f>
        <v>اختتام</v>
      </c>
      <c r="AF1666" s="1" t="str">
        <f>""</f>
        <v/>
      </c>
      <c r="AG1666" s="1" t="str">
        <f>""</f>
        <v/>
      </c>
      <c r="AH1666" s="1" t="str">
        <f>""</f>
        <v/>
      </c>
      <c r="AI1666" s="1" t="str">
        <f>""</f>
        <v/>
      </c>
      <c r="AJ1666" s="1" t="str">
        <f>""</f>
        <v/>
      </c>
      <c r="AK1666" s="1" t="str">
        <f>""</f>
        <v/>
      </c>
    </row>
    <row r="1667" spans="1:37">
      <c r="A1667" s="1">
        <v>245000</v>
      </c>
      <c r="B1667" s="1">
        <v>966200224</v>
      </c>
      <c r="C1667" s="1" t="str">
        <f>"تخليه- خراسان رضوي-سبزوار-کيلومتر 27 سبزوار-تهران-کارخانه آسفالت ابريشم راه بيهق"</f>
        <v>تخليه- خراسان رضوي-سبزوار-کيلومتر 27 سبزوار-تهران-کارخانه آسفالت ابريشم راه بيهق</v>
      </c>
      <c r="D1667" s="1">
        <v>8954</v>
      </c>
      <c r="E1667" s="1">
        <v>242500</v>
      </c>
      <c r="F1667" s="1">
        <v>96</v>
      </c>
      <c r="G1667" s="1">
        <v>2500</v>
      </c>
      <c r="H1667" s="1" t="str">
        <f>"96/06/11"</f>
        <v>96/06/11</v>
      </c>
      <c r="I1667" s="1" t="str">
        <f>"كيلوگرم"</f>
        <v>كيلوگرم</v>
      </c>
      <c r="J1667" s="1" t="str">
        <f>"0000000076"</f>
        <v>0000000076</v>
      </c>
      <c r="K1667" s="1" t="str">
        <f>"قير 60/70 - فله"</f>
        <v>قير 60/70 - فله</v>
      </c>
      <c r="L1667" s="1">
        <v>100</v>
      </c>
      <c r="M1667" s="1" t="str">
        <f>"مخازن قير اصفهان"</f>
        <v>مخازن قير اصفهان</v>
      </c>
      <c r="N1667" s="1">
        <v>11400</v>
      </c>
      <c r="O1667" s="1">
        <v>50035889</v>
      </c>
      <c r="P1667" s="1" t="str">
        <f>"  عمران بتن داتيک"</f>
        <v xml:space="preserve">  عمران بتن داتيک</v>
      </c>
      <c r="Q1667" s="1">
        <v>62</v>
      </c>
      <c r="R1667" s="1" t="str">
        <f>"فروش داخلي - سازمان بنيادمسكن انقلاب اسلامي"</f>
        <v>فروش داخلي - سازمان بنيادمسكن انقلاب اسلامي</v>
      </c>
      <c r="S1667" s="1" t="str">
        <f>"قرارداد فروش"</f>
        <v>قرارداد فروش</v>
      </c>
      <c r="T1667" s="1" t="str">
        <f>"ندارد"</f>
        <v>ندارد</v>
      </c>
      <c r="U1667" s="1" t="str">
        <f>"حسيني علي(1841001)"</f>
        <v>حسيني علي(1841001)</v>
      </c>
      <c r="V1667" s="1">
        <v>966200224</v>
      </c>
      <c r="W1667" s="1">
        <v>966200224</v>
      </c>
      <c r="X1667" s="1" t="str">
        <f>"1396509607"</f>
        <v>1396509607</v>
      </c>
      <c r="Y1667" s="1" t="str">
        <f>"96/06/11"</f>
        <v>96/06/11</v>
      </c>
      <c r="Z1667" s="1" t="str">
        <f>"25118/د"</f>
        <v>25118/د</v>
      </c>
      <c r="AA1667" s="1" t="str">
        <f>"بنيادمسكن انقلاب اسلامي"</f>
        <v>بنيادمسكن انقلاب اسلامي</v>
      </c>
      <c r="AB1667" s="1" t="str">
        <f>"96/06/08"</f>
        <v>96/06/08</v>
      </c>
      <c r="AC1667" s="1" t="str">
        <f>"خراسان رضوي"</f>
        <v>خراسان رضوي</v>
      </c>
      <c r="AD1667" s="1" t="str">
        <f>"96/06/11"</f>
        <v>96/06/11</v>
      </c>
      <c r="AE1667" s="1" t="str">
        <f>"اختتام"</f>
        <v>اختتام</v>
      </c>
      <c r="AF1667" s="1" t="str">
        <f>""</f>
        <v/>
      </c>
      <c r="AG1667" s="1" t="str">
        <f>""</f>
        <v/>
      </c>
      <c r="AH1667" s="1" t="str">
        <f>""</f>
        <v/>
      </c>
      <c r="AI1667" s="1" t="str">
        <f>""</f>
        <v/>
      </c>
      <c r="AJ1667" s="1" t="str">
        <f>""</f>
        <v/>
      </c>
      <c r="AK1667" s="1" t="str">
        <f>""</f>
        <v/>
      </c>
    </row>
    <row r="1668" spans="1:37">
      <c r="A1668" s="1">
        <v>497000</v>
      </c>
      <c r="B1668" s="1">
        <v>966200234</v>
      </c>
      <c r="C1668" s="1" t="str">
        <f>"تخليه - خراسان جنوبي - بيرجند-کيلومتر 5 جاده خوسف - جنب کوير تاير-کارخانمه آسفالت شرکت مسيرياب بيرجند"</f>
        <v>تخليه - خراسان جنوبي - بيرجند-کيلومتر 5 جاده خوسف - جنب کوير تاير-کارخانمه آسفالت شرکت مسيرياب بيرجند</v>
      </c>
      <c r="D1668" s="1">
        <v>8954</v>
      </c>
      <c r="E1668" s="1">
        <v>497000</v>
      </c>
      <c r="F1668" s="1">
        <v>96</v>
      </c>
      <c r="G1668" s="1">
        <v>0</v>
      </c>
      <c r="H1668" s="1" t="str">
        <f>"96/06/21"</f>
        <v>96/06/21</v>
      </c>
      <c r="I1668" s="1" t="str">
        <f>"كيلوگرم"</f>
        <v>كيلوگرم</v>
      </c>
      <c r="J1668" s="1" t="str">
        <f>"0000000076"</f>
        <v>0000000076</v>
      </c>
      <c r="K1668" s="1" t="str">
        <f>"قير 60/70 - فله"</f>
        <v>قير 60/70 - فله</v>
      </c>
      <c r="L1668" s="1">
        <v>100</v>
      </c>
      <c r="M1668" s="1" t="str">
        <f>"مخازن قير اصفهان"</f>
        <v>مخازن قير اصفهان</v>
      </c>
      <c r="N1668" s="1">
        <v>11402</v>
      </c>
      <c r="O1668" s="1">
        <v>50035992</v>
      </c>
      <c r="P1668" s="1" t="str">
        <f>"  تعاوني دهياريهاي بخش مرکزي بيرجند"</f>
        <v xml:space="preserve">  تعاوني دهياريهاي بخش مرکزي بيرجند</v>
      </c>
      <c r="Q1668" s="1">
        <v>62</v>
      </c>
      <c r="R1668" s="1" t="str">
        <f>"فروش داخلي - سازمان بنيادمسكن انقلاب اسلامي"</f>
        <v>فروش داخلي - سازمان بنيادمسكن انقلاب اسلامي</v>
      </c>
      <c r="S1668" s="1" t="str">
        <f>"قرارداد فروش"</f>
        <v>قرارداد فروش</v>
      </c>
      <c r="T1668" s="1" t="str">
        <f>"ندارد"</f>
        <v>ندارد</v>
      </c>
      <c r="U1668" s="1" t="str">
        <f>"كاردان اسپادان راه مصطفي  (1911100)"</f>
        <v>كاردان اسپادان راه مصطفي  (1911100)</v>
      </c>
      <c r="V1668" s="1">
        <v>966200234</v>
      </c>
      <c r="W1668" s="1">
        <v>966200234</v>
      </c>
      <c r="X1668" s="1" t="str">
        <f>"1396511685"</f>
        <v>1396511685</v>
      </c>
      <c r="Y1668" s="1" t="str">
        <f>"96/06/21"</f>
        <v>96/06/21</v>
      </c>
      <c r="Z1668" s="1" t="str">
        <f>"26382/د"</f>
        <v>26382/د</v>
      </c>
      <c r="AA1668" s="1" t="str">
        <f>"بنيادمسكن انقلاب اسلامي"</f>
        <v>بنيادمسكن انقلاب اسلامي</v>
      </c>
      <c r="AB1668" s="1" t="str">
        <f>"96/06/15"</f>
        <v>96/06/15</v>
      </c>
      <c r="AC1668" s="1" t="str">
        <f>"خراسان جنوبي"</f>
        <v>خراسان جنوبي</v>
      </c>
      <c r="AD1668" s="1" t="str">
        <f>"96/06/21"</f>
        <v>96/06/21</v>
      </c>
      <c r="AE1668" s="1" t="str">
        <f>"اختتام"</f>
        <v>اختتام</v>
      </c>
      <c r="AF1668" s="1" t="str">
        <f>""</f>
        <v/>
      </c>
      <c r="AG1668" s="1" t="str">
        <f>""</f>
        <v/>
      </c>
      <c r="AH1668" s="1" t="str">
        <f>""</f>
        <v/>
      </c>
      <c r="AI1668" s="1" t="str">
        <f>""</f>
        <v/>
      </c>
      <c r="AJ1668" s="1" t="str">
        <f>""</f>
        <v/>
      </c>
      <c r="AK1668" s="1" t="str">
        <f>""</f>
        <v/>
      </c>
    </row>
    <row r="1669" spans="1:37">
      <c r="A1669" s="1">
        <v>68000</v>
      </c>
      <c r="B1669" s="1">
        <v>966200245</v>
      </c>
      <c r="C1669" s="1" t="str">
        <f>"تخليه - خراسان جنوبي - بيرجند-کيلومتر 5 جاده خوسف - جنب کوير تاير-کارخانمه آسفالت شرکت مسيرياب بيرجند"</f>
        <v>تخليه - خراسان جنوبي - بيرجند-کيلومتر 5 جاده خوسف - جنب کوير تاير-کارخانمه آسفالت شرکت مسيرياب بيرجند</v>
      </c>
      <c r="D1669" s="1">
        <v>8954</v>
      </c>
      <c r="E1669" s="1">
        <v>66720</v>
      </c>
      <c r="F1669" s="1">
        <v>96</v>
      </c>
      <c r="G1669" s="1">
        <v>1280</v>
      </c>
      <c r="H1669" s="1" t="str">
        <f>"96/06/22"</f>
        <v>96/06/22</v>
      </c>
      <c r="I1669" s="1" t="str">
        <f>"كيلوگرم"</f>
        <v>كيلوگرم</v>
      </c>
      <c r="J1669" s="1" t="str">
        <f>"0000000076"</f>
        <v>0000000076</v>
      </c>
      <c r="K1669" s="1" t="str">
        <f>"قير 60/70 - فله"</f>
        <v>قير 60/70 - فله</v>
      </c>
      <c r="L1669" s="1">
        <v>100</v>
      </c>
      <c r="M1669" s="1" t="str">
        <f>"مخازن قير اصفهان"</f>
        <v>مخازن قير اصفهان</v>
      </c>
      <c r="N1669" s="1">
        <v>11402</v>
      </c>
      <c r="O1669" s="1">
        <v>50036033</v>
      </c>
      <c r="P1669" s="1" t="str">
        <f>"  تعاوني دهياريهاي بخش مرکزي بيرجند"</f>
        <v xml:space="preserve">  تعاوني دهياريهاي بخش مرکزي بيرجند</v>
      </c>
      <c r="Q1669" s="1">
        <v>62</v>
      </c>
      <c r="R1669" s="1" t="str">
        <f>"فروش داخلي - سازمان بنيادمسكن انقلاب اسلامي"</f>
        <v>فروش داخلي - سازمان بنيادمسكن انقلاب اسلامي</v>
      </c>
      <c r="S1669" s="1" t="str">
        <f>"قرارداد فروش"</f>
        <v>قرارداد فروش</v>
      </c>
      <c r="T1669" s="1" t="str">
        <f>"ندارد"</f>
        <v>ندارد</v>
      </c>
      <c r="U1669" s="1" t="str">
        <f>"كاردان اسپادان راه مصطفي  (1911100)"</f>
        <v>كاردان اسپادان راه مصطفي  (1911100)</v>
      </c>
      <c r="V1669" s="1">
        <v>966200245</v>
      </c>
      <c r="W1669" s="1">
        <v>966200245</v>
      </c>
      <c r="X1669" s="1" t="str">
        <f>"1396512368"</f>
        <v>1396512368</v>
      </c>
      <c r="Y1669" s="1" t="str">
        <f>"96/06/22"</f>
        <v>96/06/22</v>
      </c>
      <c r="Z1669" s="1" t="str">
        <f>"27198/د"</f>
        <v>27198/د</v>
      </c>
      <c r="AA1669" s="1" t="str">
        <f>"بنيادمسكن انقلاب اسلامي"</f>
        <v>بنيادمسكن انقلاب اسلامي</v>
      </c>
      <c r="AB1669" s="1" t="str">
        <f>"96/06/21"</f>
        <v>96/06/21</v>
      </c>
      <c r="AC1669" s="1" t="str">
        <f>"خراسان جنوبي"</f>
        <v>خراسان جنوبي</v>
      </c>
      <c r="AD1669" s="1" t="str">
        <f>"96/06/22"</f>
        <v>96/06/22</v>
      </c>
      <c r="AE1669" s="1" t="str">
        <f>"اختتام"</f>
        <v>اختتام</v>
      </c>
      <c r="AF1669" s="1" t="str">
        <f>""</f>
        <v/>
      </c>
      <c r="AG1669" s="1" t="str">
        <f>""</f>
        <v/>
      </c>
      <c r="AH1669" s="1" t="str">
        <f>""</f>
        <v/>
      </c>
      <c r="AI1669" s="1" t="str">
        <f>""</f>
        <v/>
      </c>
      <c r="AJ1669" s="1" t="str">
        <f>""</f>
        <v/>
      </c>
      <c r="AK1669" s="1" t="str">
        <f>""</f>
        <v/>
      </c>
    </row>
    <row r="1670" spans="1:37">
      <c r="A1670" s="1">
        <v>110000</v>
      </c>
      <c r="B1670" s="1">
        <v>966200238</v>
      </c>
      <c r="C1670" s="1" t="str">
        <f>"تخليه - خراسان رضوي-نيشابور-جاده قديم سبزوار-جاده فولاد خراسان-کيلومتر 2 جاده آبقوي-کارخانه پيشگام آسفالت"</f>
        <v>تخليه - خراسان رضوي-نيشابور-جاده قديم سبزوار-جاده فولاد خراسان-کيلومتر 2 جاده آبقوي-کارخانه پيشگام آسفالت</v>
      </c>
      <c r="D1670" s="1">
        <v>8954</v>
      </c>
      <c r="E1670" s="1">
        <v>109040</v>
      </c>
      <c r="F1670" s="1">
        <v>96</v>
      </c>
      <c r="G1670" s="1">
        <v>960</v>
      </c>
      <c r="H1670" s="1" t="str">
        <f>"96/06/21"</f>
        <v>96/06/21</v>
      </c>
      <c r="I1670" s="1" t="str">
        <f>"كيلوگرم"</f>
        <v>كيلوگرم</v>
      </c>
      <c r="J1670" s="1" t="str">
        <f>"0000000076"</f>
        <v>0000000076</v>
      </c>
      <c r="K1670" s="1" t="str">
        <f>"قير 60/70 - فله"</f>
        <v>قير 60/70 - فله</v>
      </c>
      <c r="L1670" s="1">
        <v>100</v>
      </c>
      <c r="M1670" s="1" t="str">
        <f>"مخازن قير اصفهان"</f>
        <v>مخازن قير اصفهان</v>
      </c>
      <c r="N1670" s="1">
        <v>11404</v>
      </c>
      <c r="O1670" s="1">
        <v>50035997</v>
      </c>
      <c r="P1670" s="1" t="str">
        <f>"  تترا دژ خراسان"</f>
        <v xml:space="preserve">  تترا دژ خراسان</v>
      </c>
      <c r="Q1670" s="1">
        <v>62</v>
      </c>
      <c r="R1670" s="1" t="str">
        <f>"فروش داخلي - سازمان بنيادمسكن انقلاب اسلامي"</f>
        <v>فروش داخلي - سازمان بنيادمسكن انقلاب اسلامي</v>
      </c>
      <c r="S1670" s="1" t="str">
        <f>"قرارداد فروش"</f>
        <v>قرارداد فروش</v>
      </c>
      <c r="T1670" s="1" t="str">
        <f>"ندارد"</f>
        <v>ندارد</v>
      </c>
      <c r="U1670" s="1" t="str">
        <f>"نظام دوست امين (1911102)"</f>
        <v>نظام دوست امين (1911102)</v>
      </c>
      <c r="V1670" s="1">
        <v>966200238</v>
      </c>
      <c r="W1670" s="1">
        <v>966200238</v>
      </c>
      <c r="X1670" s="1" t="str">
        <f>"1396511620"</f>
        <v>1396511620</v>
      </c>
      <c r="Y1670" s="1" t="str">
        <f>"96/06/21"</f>
        <v>96/06/21</v>
      </c>
      <c r="Z1670" s="1" t="str">
        <f>"26384/د"</f>
        <v>26384/د</v>
      </c>
      <c r="AA1670" s="1" t="str">
        <f>"بنيادمسكن انقلاب اسلامي"</f>
        <v>بنيادمسكن انقلاب اسلامي</v>
      </c>
      <c r="AB1670" s="1" t="str">
        <f>"96/06/15"</f>
        <v>96/06/15</v>
      </c>
      <c r="AC1670" s="1" t="str">
        <f>"خراسان رضوي"</f>
        <v>خراسان رضوي</v>
      </c>
      <c r="AD1670" s="1" t="str">
        <f>"96/06/21"</f>
        <v>96/06/21</v>
      </c>
      <c r="AE1670" s="1" t="str">
        <f>"اختتام"</f>
        <v>اختتام</v>
      </c>
      <c r="AF1670" s="1" t="str">
        <f>""</f>
        <v/>
      </c>
      <c r="AG1670" s="1" t="str">
        <f>""</f>
        <v/>
      </c>
      <c r="AH1670" s="1" t="str">
        <f>""</f>
        <v/>
      </c>
      <c r="AI1670" s="1" t="str">
        <f>""</f>
        <v/>
      </c>
      <c r="AJ1670" s="1" t="str">
        <f>""</f>
        <v/>
      </c>
      <c r="AK1670" s="1" t="str">
        <f>""</f>
        <v/>
      </c>
    </row>
    <row r="1671" spans="1:37">
      <c r="A1671" s="1">
        <v>109470</v>
      </c>
      <c r="B1671" s="1">
        <v>962000113</v>
      </c>
      <c r="C1671" s="1" t="str">
        <f>"تخليه بوشهربزرگراه سيراف نرسيده به شهرخورموج كارخانه آسفالت راهگشيان دشتي"</f>
        <v>تخليه بوشهربزرگراه سيراف نرسيده به شهرخورموج كارخانه آسفالت راهگشيان دشتي</v>
      </c>
      <c r="D1671" s="1">
        <v>9113</v>
      </c>
      <c r="E1671" s="1">
        <v>109470</v>
      </c>
      <c r="F1671" s="1">
        <v>96</v>
      </c>
      <c r="G1671" s="1">
        <v>0</v>
      </c>
      <c r="H1671" s="1" t="str">
        <f>"96/07/03"</f>
        <v>96/07/03</v>
      </c>
      <c r="I1671" s="1" t="str">
        <f>"كيلوگرم"</f>
        <v>كيلوگرم</v>
      </c>
      <c r="J1671" s="1" t="str">
        <f>"0000000076"</f>
        <v>0000000076</v>
      </c>
      <c r="K1671" s="1" t="str">
        <f>"قير 60/70 - فله"</f>
        <v>قير 60/70 - فله</v>
      </c>
      <c r="L1671" s="1">
        <v>100</v>
      </c>
      <c r="M1671" s="1" t="str">
        <f>"مخازن قير اصفهان"</f>
        <v>مخازن قير اصفهان</v>
      </c>
      <c r="N1671" s="1">
        <v>11418</v>
      </c>
      <c r="O1671" s="1">
        <v>50036277</v>
      </c>
      <c r="P1671" s="1" t="str">
        <f>"  شهرداري دلوار"</f>
        <v xml:space="preserve">  شهرداري دلوار</v>
      </c>
      <c r="Q1671" s="1">
        <v>20</v>
      </c>
      <c r="R1671" s="1" t="str">
        <f>"فروش داخلي - سازمان شهرداري ها و دهياري هاي كشور"</f>
        <v>فروش داخلي - سازمان شهرداري ها و دهياري هاي كشور</v>
      </c>
      <c r="S1671" s="1" t="str">
        <f>"قرارداد فروش"</f>
        <v>قرارداد فروش</v>
      </c>
      <c r="T1671" s="1" t="str">
        <f>"ندارد"</f>
        <v>ندارد</v>
      </c>
      <c r="U1671" s="1" t="str">
        <f>"تعاوني جم گستر (1001 ج 89)"</f>
        <v>تعاوني جم گستر (1001 ج 89)</v>
      </c>
      <c r="V1671" s="1">
        <v>962000113</v>
      </c>
      <c r="W1671" s="1">
        <v>962000113</v>
      </c>
      <c r="X1671" s="1" t="str">
        <f>"1396514467"</f>
        <v>1396514467</v>
      </c>
      <c r="Y1671" s="1" t="str">
        <f>"96/07/03"</f>
        <v>96/07/03</v>
      </c>
      <c r="Z1671" s="1" t="str">
        <f>"26821مرحله اول"</f>
        <v>26821مرحله اول</v>
      </c>
      <c r="AA1671" s="1" t="str">
        <f>"شهرداريها"</f>
        <v>شهرداريها</v>
      </c>
      <c r="AB1671" s="1" t="str">
        <f>"96/06/29"</f>
        <v>96/06/29</v>
      </c>
      <c r="AC1671" s="1" t="str">
        <f>"بوشهر"</f>
        <v>بوشهر</v>
      </c>
      <c r="AD1671" s="1" t="str">
        <f>"96/07/03"</f>
        <v>96/07/03</v>
      </c>
      <c r="AE1671" s="1" t="str">
        <f>"تاييدشده"</f>
        <v>تاييدشده</v>
      </c>
      <c r="AF1671" s="1" t="str">
        <f>""</f>
        <v/>
      </c>
      <c r="AG1671" s="1" t="str">
        <f>""</f>
        <v/>
      </c>
      <c r="AH1671" s="1" t="str">
        <f>""</f>
        <v/>
      </c>
      <c r="AI1671" s="1" t="str">
        <f>""</f>
        <v/>
      </c>
      <c r="AJ1671" s="1" t="str">
        <f>""</f>
        <v/>
      </c>
      <c r="AK1671" s="1" t="str">
        <f>""</f>
        <v/>
      </c>
    </row>
    <row r="1672" spans="1:37">
      <c r="A1672" s="1">
        <v>64853</v>
      </c>
      <c r="B1672" s="1">
        <v>962000248</v>
      </c>
      <c r="C1672" s="1" t="str">
        <f>"خراسان جنوبي كيلومتر5جاده فردوس سرايان كارخانه آسفالت توس راديه"</f>
        <v>خراسان جنوبي كيلومتر5جاده فردوس سرايان كارخانه آسفالت توس راديه</v>
      </c>
      <c r="D1672" s="1">
        <v>9113</v>
      </c>
      <c r="E1672" s="1">
        <v>63693</v>
      </c>
      <c r="F1672" s="1">
        <v>96</v>
      </c>
      <c r="G1672" s="1">
        <v>1160</v>
      </c>
      <c r="H1672" s="1" t="str">
        <f>"96/09/08"</f>
        <v>96/09/08</v>
      </c>
      <c r="I1672" s="1" t="str">
        <f>"كيلوگرم"</f>
        <v>كيلوگرم</v>
      </c>
      <c r="J1672" s="1" t="str">
        <f>"0000000076"</f>
        <v>0000000076</v>
      </c>
      <c r="K1672" s="1" t="str">
        <f>"قير 60/70 - فله"</f>
        <v>قير 60/70 - فله</v>
      </c>
      <c r="L1672" s="1">
        <v>100</v>
      </c>
      <c r="M1672" s="1" t="str">
        <f>"مخازن قير اصفهان"</f>
        <v>مخازن قير اصفهان</v>
      </c>
      <c r="N1672" s="1">
        <v>11424</v>
      </c>
      <c r="O1672" s="1">
        <v>50037376</v>
      </c>
      <c r="P1672" s="1" t="str">
        <f>"  شهرداري ارسك"</f>
        <v xml:space="preserve">  شهرداري ارسك</v>
      </c>
      <c r="Q1672" s="1">
        <v>20</v>
      </c>
      <c r="R1672" s="1" t="str">
        <f>"فروش داخلي - سازمان شهرداري ها و دهياري هاي كشور"</f>
        <v>فروش داخلي - سازمان شهرداري ها و دهياري هاي كشور</v>
      </c>
      <c r="S1672" s="1" t="str">
        <f>"قرارداد فروش"</f>
        <v>قرارداد فروش</v>
      </c>
      <c r="T1672" s="1" t="str">
        <f>"ندارد"</f>
        <v>ندارد</v>
      </c>
      <c r="U1672" s="1" t="str">
        <f>"تعاوني جم گستر (1001 ج 89)"</f>
        <v>تعاوني جم گستر (1001 ج 89)</v>
      </c>
      <c r="V1672" s="1">
        <v>962000248</v>
      </c>
      <c r="W1672" s="1">
        <v>962000248</v>
      </c>
      <c r="X1672" s="1" t="str">
        <f>"1396514467"</f>
        <v>1396514467</v>
      </c>
      <c r="Y1672" s="1" t="str">
        <f>"96/09/08"</f>
        <v>96/09/08</v>
      </c>
      <c r="Z1672" s="1" t="str">
        <f>"37092مرحله دوم"</f>
        <v>37092مرحله دوم</v>
      </c>
      <c r="AA1672" s="1" t="str">
        <f>"شهرداريها"</f>
        <v>شهرداريها</v>
      </c>
      <c r="AB1672" s="1" t="str">
        <f>"96/09/04"</f>
        <v>96/09/04</v>
      </c>
      <c r="AC1672" s="1" t="str">
        <f>"خراسان جنوبي"</f>
        <v>خراسان جنوبي</v>
      </c>
      <c r="AD1672" s="1" t="str">
        <f>"96/07/03"</f>
        <v>96/07/03</v>
      </c>
      <c r="AE1672" s="1" t="str">
        <f>"اختتام"</f>
        <v>اختتام</v>
      </c>
      <c r="AF1672" s="1" t="str">
        <f>""</f>
        <v/>
      </c>
      <c r="AG1672" s="1" t="str">
        <f>""</f>
        <v/>
      </c>
      <c r="AH1672" s="1" t="str">
        <f>""</f>
        <v/>
      </c>
      <c r="AI1672" s="1" t="str">
        <f>""</f>
        <v/>
      </c>
      <c r="AJ1672" s="1" t="str">
        <f>""</f>
        <v/>
      </c>
      <c r="AK1672" s="1" t="str">
        <f>""</f>
        <v/>
      </c>
    </row>
    <row r="1673" spans="1:37">
      <c r="A1673" s="1">
        <v>75474</v>
      </c>
      <c r="B1673" s="1">
        <v>962000335</v>
      </c>
      <c r="C1673" s="1" t="str">
        <f>"تخليه خراسان رضوي كيلومتر12محورفيروزقوچان شركت دل حفره"</f>
        <v>تخليه خراسان رضوي كيلومتر12محورفيروزقوچان شركت دل حفره</v>
      </c>
      <c r="D1673" s="1">
        <v>9113</v>
      </c>
      <c r="E1673" s="1">
        <v>74672</v>
      </c>
      <c r="F1673" s="1">
        <v>96</v>
      </c>
      <c r="G1673" s="1">
        <v>802</v>
      </c>
      <c r="H1673" s="1" t="str">
        <f>"96/09/13"</f>
        <v>96/09/13</v>
      </c>
      <c r="I1673" s="1" t="str">
        <f>"كيلوگرم"</f>
        <v>كيلوگرم</v>
      </c>
      <c r="J1673" s="1" t="str">
        <f>"0000000076"</f>
        <v>0000000076</v>
      </c>
      <c r="K1673" s="1" t="str">
        <f>"قير 60/70 - فله"</f>
        <v>قير 60/70 - فله</v>
      </c>
      <c r="L1673" s="1">
        <v>100</v>
      </c>
      <c r="M1673" s="1" t="str">
        <f>"مخازن قير اصفهان"</f>
        <v>مخازن قير اصفهان</v>
      </c>
      <c r="N1673" s="1">
        <v>11437</v>
      </c>
      <c r="O1673" s="1">
        <v>50037544</v>
      </c>
      <c r="P1673" s="1" t="str">
        <f>"  شهرداري خرو"</f>
        <v xml:space="preserve">  شهرداري خرو</v>
      </c>
      <c r="Q1673" s="1">
        <v>20</v>
      </c>
      <c r="R1673" s="1" t="str">
        <f>"فروش داخلي - سازمان شهرداري ها و دهياري هاي كشور"</f>
        <v>فروش داخلي - سازمان شهرداري ها و دهياري هاي كشور</v>
      </c>
      <c r="S1673" s="1" t="str">
        <f>"قرارداد فروش"</f>
        <v>قرارداد فروش</v>
      </c>
      <c r="T1673" s="1" t="str">
        <f>"ندارد"</f>
        <v>ندارد</v>
      </c>
      <c r="U1673" s="1" t="str">
        <f>"تعاوني جم گستر (1001 ج 89)"</f>
        <v>تعاوني جم گستر (1001 ج 89)</v>
      </c>
      <c r="V1673" s="1">
        <v>962000335</v>
      </c>
      <c r="W1673" s="1">
        <v>962000335</v>
      </c>
      <c r="X1673" s="1" t="str">
        <f>"1396514467"</f>
        <v>1396514467</v>
      </c>
      <c r="Y1673" s="1" t="str">
        <f>"96/09/12"</f>
        <v>96/09/12</v>
      </c>
      <c r="Z1673" s="1" t="str">
        <f>"37016مرحله دوم"</f>
        <v>37016مرحله دوم</v>
      </c>
      <c r="AA1673" s="1" t="str">
        <f>"شهرداريها"</f>
        <v>شهرداريها</v>
      </c>
      <c r="AB1673" s="1" t="str">
        <f>"96/09/04"</f>
        <v>96/09/04</v>
      </c>
      <c r="AC1673" s="1" t="str">
        <f>"خراسان رضوي"</f>
        <v>خراسان رضوي</v>
      </c>
      <c r="AD1673" s="1" t="str">
        <f>"96/07/03"</f>
        <v>96/07/03</v>
      </c>
      <c r="AE1673" s="1" t="str">
        <f>"اختتام"</f>
        <v>اختتام</v>
      </c>
      <c r="AF1673" s="1" t="str">
        <f>""</f>
        <v/>
      </c>
      <c r="AG1673" s="1" t="str">
        <f>""</f>
        <v/>
      </c>
      <c r="AH1673" s="1" t="str">
        <f>""</f>
        <v/>
      </c>
      <c r="AI1673" s="1" t="str">
        <f>""</f>
        <v/>
      </c>
      <c r="AJ1673" s="1" t="str">
        <f>""</f>
        <v/>
      </c>
      <c r="AK1673" s="1" t="str">
        <f>""</f>
        <v/>
      </c>
    </row>
    <row r="1674" spans="1:37">
      <c r="A1674" s="1">
        <v>57145</v>
      </c>
      <c r="B1674" s="1">
        <v>962000329</v>
      </c>
      <c r="C1674" s="1" t="str">
        <f>"تخليه خراسان رضوي بزرگراه باغچه روبروي بازه حوركارخانه آسفالت آستان قدس"</f>
        <v>تخليه خراسان رضوي بزرگراه باغچه روبروي بازه حوركارخانه آسفالت آستان قدس</v>
      </c>
      <c r="D1674" s="1">
        <v>9113</v>
      </c>
      <c r="E1674" s="1">
        <v>55310</v>
      </c>
      <c r="F1674" s="1">
        <v>96</v>
      </c>
      <c r="G1674" s="1">
        <v>1835</v>
      </c>
      <c r="H1674" s="1" t="str">
        <f>"96/09/13"</f>
        <v>96/09/13</v>
      </c>
      <c r="I1674" s="1" t="str">
        <f>"كيلوگرم"</f>
        <v>كيلوگرم</v>
      </c>
      <c r="J1674" s="1" t="str">
        <f>"0000000076"</f>
        <v>0000000076</v>
      </c>
      <c r="K1674" s="1" t="str">
        <f>"قير 60/70 - فله"</f>
        <v>قير 60/70 - فله</v>
      </c>
      <c r="L1674" s="1">
        <v>100</v>
      </c>
      <c r="M1674" s="1" t="str">
        <f>"مخازن قير اصفهان"</f>
        <v>مخازن قير اصفهان</v>
      </c>
      <c r="N1674" s="1">
        <v>11441</v>
      </c>
      <c r="O1674" s="1">
        <v>50037536</v>
      </c>
      <c r="P1674" s="1" t="str">
        <f>"  شهرداري رضويه"</f>
        <v xml:space="preserve">  شهرداري رضويه</v>
      </c>
      <c r="Q1674" s="1">
        <v>20</v>
      </c>
      <c r="R1674" s="1" t="str">
        <f>"فروش داخلي - سازمان شهرداري ها و دهياري هاي كشور"</f>
        <v>فروش داخلي - سازمان شهرداري ها و دهياري هاي كشور</v>
      </c>
      <c r="S1674" s="1" t="str">
        <f>"قرارداد فروش"</f>
        <v>قرارداد فروش</v>
      </c>
      <c r="T1674" s="1" t="str">
        <f>"ندارد"</f>
        <v>ندارد</v>
      </c>
      <c r="U1674" s="1" t="str">
        <f>"تعاوني جم گستر (1001 ج 89)"</f>
        <v>تعاوني جم گستر (1001 ج 89)</v>
      </c>
      <c r="V1674" s="1">
        <v>962000329</v>
      </c>
      <c r="W1674" s="1">
        <v>962000329</v>
      </c>
      <c r="X1674" s="1" t="str">
        <f>"1396514467"</f>
        <v>1396514467</v>
      </c>
      <c r="Y1674" s="1" t="str">
        <f>"96/09/12"</f>
        <v>96/09/12</v>
      </c>
      <c r="Z1674" s="1" t="str">
        <f>"37026مرحله دوم"</f>
        <v>37026مرحله دوم</v>
      </c>
      <c r="AA1674" s="1" t="str">
        <f>"شهرداريها"</f>
        <v>شهرداريها</v>
      </c>
      <c r="AB1674" s="1" t="str">
        <f>"96/09/04"</f>
        <v>96/09/04</v>
      </c>
      <c r="AC1674" s="1" t="str">
        <f>"خراسان رضوي"</f>
        <v>خراسان رضوي</v>
      </c>
      <c r="AD1674" s="1" t="str">
        <f>"96/07/03"</f>
        <v>96/07/03</v>
      </c>
      <c r="AE1674" s="1" t="str">
        <f>"اختتام"</f>
        <v>اختتام</v>
      </c>
      <c r="AF1674" s="1" t="str">
        <f>""</f>
        <v/>
      </c>
      <c r="AG1674" s="1" t="str">
        <f>""</f>
        <v/>
      </c>
      <c r="AH1674" s="1" t="str">
        <f>""</f>
        <v/>
      </c>
      <c r="AI1674" s="1" t="str">
        <f>""</f>
        <v/>
      </c>
      <c r="AJ1674" s="1" t="str">
        <f>""</f>
        <v/>
      </c>
      <c r="AK1674" s="1" t="str">
        <f>""</f>
        <v/>
      </c>
    </row>
    <row r="1675" spans="1:37">
      <c r="A1675" s="1">
        <v>98975</v>
      </c>
      <c r="B1675" s="1">
        <v>962000314</v>
      </c>
      <c r="C1675" s="1" t="str">
        <f>"تخليه خراسان رضوي سرخس كيلومتر7جاده روستاي قوش عظيم كارخانه آسفالت شهرداري"</f>
        <v>تخليه خراسان رضوي سرخس كيلومتر7جاده روستاي قوش عظيم كارخانه آسفالت شهرداري</v>
      </c>
      <c r="D1675" s="1">
        <v>9113</v>
      </c>
      <c r="E1675" s="1">
        <v>90130</v>
      </c>
      <c r="F1675" s="1">
        <v>96</v>
      </c>
      <c r="G1675" s="1">
        <v>8845</v>
      </c>
      <c r="H1675" s="1" t="str">
        <f>"96/09/13"</f>
        <v>96/09/13</v>
      </c>
      <c r="I1675" s="1" t="str">
        <f>"كيلوگرم"</f>
        <v>كيلوگرم</v>
      </c>
      <c r="J1675" s="1" t="str">
        <f>"0000000076"</f>
        <v>0000000076</v>
      </c>
      <c r="K1675" s="1" t="str">
        <f>"قير 60/70 - فله"</f>
        <v>قير 60/70 - فله</v>
      </c>
      <c r="L1675" s="1">
        <v>100</v>
      </c>
      <c r="M1675" s="1" t="str">
        <f>"مخازن قير اصفهان"</f>
        <v>مخازن قير اصفهان</v>
      </c>
      <c r="N1675" s="1">
        <v>11443</v>
      </c>
      <c r="O1675" s="1">
        <v>50037518</v>
      </c>
      <c r="P1675" s="1" t="str">
        <f>"  شهرداري سرخس"</f>
        <v xml:space="preserve">  شهرداري سرخس</v>
      </c>
      <c r="Q1675" s="1">
        <v>20</v>
      </c>
      <c r="R1675" s="1" t="str">
        <f>"فروش داخلي - سازمان شهرداري ها و دهياري هاي كشور"</f>
        <v>فروش داخلي - سازمان شهرداري ها و دهياري هاي كشور</v>
      </c>
      <c r="S1675" s="1" t="str">
        <f>"قرارداد فروش"</f>
        <v>قرارداد فروش</v>
      </c>
      <c r="T1675" s="1" t="str">
        <f>"ندارد"</f>
        <v>ندارد</v>
      </c>
      <c r="U1675" s="1" t="str">
        <f>"تعاوني جم گستر (1001 ج 89)"</f>
        <v>تعاوني جم گستر (1001 ج 89)</v>
      </c>
      <c r="V1675" s="1">
        <v>962000314</v>
      </c>
      <c r="W1675" s="1">
        <v>962000314</v>
      </c>
      <c r="X1675" s="1" t="str">
        <f>"1396514467"</f>
        <v>1396514467</v>
      </c>
      <c r="Y1675" s="1" t="str">
        <f>"96/09/12"</f>
        <v>96/09/12</v>
      </c>
      <c r="Z1675" s="1" t="str">
        <f>"37029مرحله دوم"</f>
        <v>37029مرحله دوم</v>
      </c>
      <c r="AA1675" s="1" t="str">
        <f>"شهرداريها"</f>
        <v>شهرداريها</v>
      </c>
      <c r="AB1675" s="1" t="str">
        <f>"96/09/04"</f>
        <v>96/09/04</v>
      </c>
      <c r="AC1675" s="1" t="str">
        <f>"خراسان رضوي"</f>
        <v>خراسان رضوي</v>
      </c>
      <c r="AD1675" s="1" t="str">
        <f>"96/07/03"</f>
        <v>96/07/03</v>
      </c>
      <c r="AE1675" s="1" t="str">
        <f>"اختتام"</f>
        <v>اختتام</v>
      </c>
      <c r="AF1675" s="1" t="str">
        <f>""</f>
        <v/>
      </c>
      <c r="AG1675" s="1" t="str">
        <f>""</f>
        <v/>
      </c>
      <c r="AH1675" s="1" t="str">
        <f>""</f>
        <v/>
      </c>
      <c r="AI1675" s="1" t="str">
        <f>""</f>
        <v/>
      </c>
      <c r="AJ1675" s="1" t="str">
        <f>""</f>
        <v/>
      </c>
      <c r="AK1675" s="1" t="str">
        <f>""</f>
        <v/>
      </c>
    </row>
    <row r="1676" spans="1:37">
      <c r="A1676" s="1">
        <v>61464</v>
      </c>
      <c r="B1676" s="1">
        <v>962000299</v>
      </c>
      <c r="C1676" s="1" t="str">
        <f>"تخليه خراسان رضوي تربت حيدريه كيلومتر15جاده دولت آبادكارخانه آسفالت نباتي"</f>
        <v>تخليه خراسان رضوي تربت حيدريه كيلومتر15جاده دولت آبادكارخانه آسفالت نباتي</v>
      </c>
      <c r="D1676" s="1">
        <v>9113</v>
      </c>
      <c r="E1676" s="1">
        <v>61012</v>
      </c>
      <c r="F1676" s="1">
        <v>96</v>
      </c>
      <c r="G1676" s="1">
        <v>452</v>
      </c>
      <c r="H1676" s="1" t="str">
        <f>"96/09/13"</f>
        <v>96/09/13</v>
      </c>
      <c r="I1676" s="1" t="str">
        <f>"كيلوگرم"</f>
        <v>كيلوگرم</v>
      </c>
      <c r="J1676" s="1" t="str">
        <f>"0000000076"</f>
        <v>0000000076</v>
      </c>
      <c r="K1676" s="1" t="str">
        <f>"قير 60/70 - فله"</f>
        <v>قير 60/70 - فله</v>
      </c>
      <c r="L1676" s="1">
        <v>100</v>
      </c>
      <c r="M1676" s="1" t="str">
        <f>"مخازن قير اصفهان"</f>
        <v>مخازن قير اصفهان</v>
      </c>
      <c r="N1676" s="1">
        <v>11444</v>
      </c>
      <c r="O1676" s="1">
        <v>50037500</v>
      </c>
      <c r="P1676" s="1" t="str">
        <f>"  شهرداري سلامي"</f>
        <v xml:space="preserve">  شهرداري سلامي</v>
      </c>
      <c r="Q1676" s="1">
        <v>20</v>
      </c>
      <c r="R1676" s="1" t="str">
        <f>"فروش داخلي - سازمان شهرداري ها و دهياري هاي كشور"</f>
        <v>فروش داخلي - سازمان شهرداري ها و دهياري هاي كشور</v>
      </c>
      <c r="S1676" s="1" t="str">
        <f>"قرارداد فروش"</f>
        <v>قرارداد فروش</v>
      </c>
      <c r="T1676" s="1" t="str">
        <f>"ندارد"</f>
        <v>ندارد</v>
      </c>
      <c r="U1676" s="1" t="str">
        <f>"تعاوني جم گستر (1001 ج 89)"</f>
        <v>تعاوني جم گستر (1001 ج 89)</v>
      </c>
      <c r="V1676" s="1">
        <v>962000299</v>
      </c>
      <c r="W1676" s="1">
        <v>962000299</v>
      </c>
      <c r="X1676" s="1" t="str">
        <f>"1396514467"</f>
        <v>1396514467</v>
      </c>
      <c r="Y1676" s="1" t="str">
        <f>"96/09/12"</f>
        <v>96/09/12</v>
      </c>
      <c r="Z1676" s="1" t="str">
        <f>"37031مرحله دوم"</f>
        <v>37031مرحله دوم</v>
      </c>
      <c r="AA1676" s="1" t="str">
        <f>"شهرداريها"</f>
        <v>شهرداريها</v>
      </c>
      <c r="AB1676" s="1" t="str">
        <f>"96/09/04"</f>
        <v>96/09/04</v>
      </c>
      <c r="AC1676" s="1" t="str">
        <f>"خراسان رضوي"</f>
        <v>خراسان رضوي</v>
      </c>
      <c r="AD1676" s="1" t="str">
        <f>"96/07/03"</f>
        <v>96/07/03</v>
      </c>
      <c r="AE1676" s="1" t="str">
        <f>"اختتام"</f>
        <v>اختتام</v>
      </c>
      <c r="AF1676" s="1" t="str">
        <f>""</f>
        <v/>
      </c>
      <c r="AG1676" s="1" t="str">
        <f>""</f>
        <v/>
      </c>
      <c r="AH1676" s="1" t="str">
        <f>""</f>
        <v/>
      </c>
      <c r="AI1676" s="1" t="str">
        <f>""</f>
        <v/>
      </c>
      <c r="AJ1676" s="1" t="str">
        <f>""</f>
        <v/>
      </c>
      <c r="AK1676" s="1" t="str">
        <f>""</f>
        <v/>
      </c>
    </row>
    <row r="1677" spans="1:37">
      <c r="A1677" s="1">
        <v>445000</v>
      </c>
      <c r="B1677" s="1">
        <v>966200293</v>
      </c>
      <c r="C1677" s="1" t="str">
        <f>"تخليه - خراسان رضوي-سرخس-کارخانه آسفالت شهرداري سرخس"</f>
        <v>تخليه - خراسان رضوي-سرخس-کارخانه آسفالت شهرداري سرخس</v>
      </c>
      <c r="D1677" s="1">
        <v>9113</v>
      </c>
      <c r="E1677" s="1">
        <v>437520</v>
      </c>
      <c r="F1677" s="1">
        <v>96</v>
      </c>
      <c r="G1677" s="1">
        <v>7480</v>
      </c>
      <c r="H1677" s="1" t="str">
        <f>"96/07/13"</f>
        <v>96/07/13</v>
      </c>
      <c r="I1677" s="1" t="str">
        <f>"كيلوگرم"</f>
        <v>كيلوگرم</v>
      </c>
      <c r="J1677" s="1" t="str">
        <f>"0000000076"</f>
        <v>0000000076</v>
      </c>
      <c r="K1677" s="1" t="str">
        <f>"قير 60/70 - فله"</f>
        <v>قير 60/70 - فله</v>
      </c>
      <c r="L1677" s="1">
        <v>100</v>
      </c>
      <c r="M1677" s="1" t="str">
        <f>"مخازن قير اصفهان"</f>
        <v>مخازن قير اصفهان</v>
      </c>
      <c r="N1677" s="1">
        <v>11469</v>
      </c>
      <c r="O1677" s="1">
        <v>50036549</v>
      </c>
      <c r="P1677" s="1" t="str">
        <f>"  آرشام دژ توس"</f>
        <v xml:space="preserve">  آرشام دژ توس</v>
      </c>
      <c r="Q1677" s="1">
        <v>62</v>
      </c>
      <c r="R1677" s="1" t="str">
        <f>"فروش داخلي - سازمان بنيادمسكن انقلاب اسلامي"</f>
        <v>فروش داخلي - سازمان بنيادمسكن انقلاب اسلامي</v>
      </c>
      <c r="S1677" s="1" t="str">
        <f>"قرارداد فروش"</f>
        <v>قرارداد فروش</v>
      </c>
      <c r="T1677" s="1" t="str">
        <f>"ندارد"</f>
        <v>ندارد</v>
      </c>
      <c r="U1677" s="1" t="str">
        <f>"حسيني حسن(1841075)"</f>
        <v>حسيني حسن(1841075)</v>
      </c>
      <c r="V1677" s="1">
        <v>966200293</v>
      </c>
      <c r="W1677" s="1">
        <v>966200293</v>
      </c>
      <c r="X1677" s="1" t="str">
        <f>"1396516803"</f>
        <v>1396516803</v>
      </c>
      <c r="Y1677" s="1" t="str">
        <f>"96/07/13"</f>
        <v>96/07/13</v>
      </c>
      <c r="Z1677" s="1" t="str">
        <f>"30663/د"</f>
        <v>30663/د</v>
      </c>
      <c r="AA1677" s="1" t="str">
        <f>"بنيادمسكن انقلاب اسلامي"</f>
        <v>بنيادمسكن انقلاب اسلامي</v>
      </c>
      <c r="AB1677" s="1" t="str">
        <f>"96/07/11"</f>
        <v>96/07/11</v>
      </c>
      <c r="AC1677" s="1" t="str">
        <f>"خراسان رضوي"</f>
        <v>خراسان رضوي</v>
      </c>
      <c r="AD1677" s="1" t="str">
        <f>"96/07/12"</f>
        <v>96/07/12</v>
      </c>
      <c r="AE1677" s="1" t="str">
        <f>"اختتام"</f>
        <v>اختتام</v>
      </c>
      <c r="AF1677" s="1" t="str">
        <f>""</f>
        <v/>
      </c>
      <c r="AG1677" s="1" t="str">
        <f>""</f>
        <v/>
      </c>
      <c r="AH1677" s="1" t="str">
        <f>""</f>
        <v/>
      </c>
      <c r="AI1677" s="1" t="str">
        <f>""</f>
        <v/>
      </c>
      <c r="AJ1677" s="1" t="str">
        <f>""</f>
        <v/>
      </c>
      <c r="AK1677" s="1" t="str">
        <f>""</f>
        <v/>
      </c>
    </row>
    <row r="1678" spans="1:37">
      <c r="A1678" s="1">
        <v>390000</v>
      </c>
      <c r="B1678" s="1">
        <v>966200311</v>
      </c>
      <c r="C1678" s="1" t="str">
        <f>"تخليه خراسان رضوي كيلومتر13جاده فيروزه -قوچان"</f>
        <v>تخليه خراسان رضوي كيلومتر13جاده فيروزه -قوچان</v>
      </c>
      <c r="D1678" s="1">
        <v>9113</v>
      </c>
      <c r="E1678" s="1">
        <v>387300</v>
      </c>
      <c r="F1678" s="1">
        <v>96</v>
      </c>
      <c r="G1678" s="1">
        <v>2700</v>
      </c>
      <c r="H1678" s="1" t="str">
        <f>"96/07/18"</f>
        <v>96/07/18</v>
      </c>
      <c r="I1678" s="1" t="str">
        <f>"كيلوگرم"</f>
        <v>كيلوگرم</v>
      </c>
      <c r="J1678" s="1" t="str">
        <f>"0000000076"</f>
        <v>0000000076</v>
      </c>
      <c r="K1678" s="1" t="str">
        <f>"قير 60/70 - فله"</f>
        <v>قير 60/70 - فله</v>
      </c>
      <c r="L1678" s="1">
        <v>100</v>
      </c>
      <c r="M1678" s="1" t="str">
        <f>"مخازن قير اصفهان"</f>
        <v>مخازن قير اصفهان</v>
      </c>
      <c r="N1678" s="1">
        <v>11473</v>
      </c>
      <c r="O1678" s="1">
        <v>50036678</v>
      </c>
      <c r="P1678" s="1" t="str">
        <f>"  دل حفره نيشابور"</f>
        <v xml:space="preserve">  دل حفره نيشابور</v>
      </c>
      <c r="Q1678" s="1">
        <v>62</v>
      </c>
      <c r="R1678" s="1" t="str">
        <f>"فروش داخلي - سازمان بنيادمسكن انقلاب اسلامي"</f>
        <v>فروش داخلي - سازمان بنيادمسكن انقلاب اسلامي</v>
      </c>
      <c r="S1678" s="1" t="str">
        <f>"قرارداد فروش"</f>
        <v>قرارداد فروش</v>
      </c>
      <c r="T1678" s="1" t="str">
        <f>"ندارد"</f>
        <v>ندارد</v>
      </c>
      <c r="U1678" s="1" t="str">
        <f>"حسيني سيدجواد(1841076)"</f>
        <v>حسيني سيدجواد(1841076)</v>
      </c>
      <c r="V1678" s="1">
        <v>966200311</v>
      </c>
      <c r="W1678" s="1">
        <v>966200311</v>
      </c>
      <c r="X1678" s="1" t="str">
        <f>"1396517669"</f>
        <v>1396517669</v>
      </c>
      <c r="Y1678" s="1" t="str">
        <f>"96/07/18"</f>
        <v>96/07/18</v>
      </c>
      <c r="Z1678" s="1" t="str">
        <f>"31802/د"</f>
        <v>31802/د</v>
      </c>
      <c r="AA1678" s="1" t="str">
        <f>"بنيادمسكن انقلاب اسلامي"</f>
        <v>بنيادمسكن انقلاب اسلامي</v>
      </c>
      <c r="AB1678" s="1" t="str">
        <f>"96/07/17"</f>
        <v>96/07/17</v>
      </c>
      <c r="AC1678" s="1" t="str">
        <f>"خراسان رضوي"</f>
        <v>خراسان رضوي</v>
      </c>
      <c r="AD1678" s="1" t="str">
        <f>"96/07/18"</f>
        <v>96/07/18</v>
      </c>
      <c r="AE1678" s="1" t="str">
        <f>"اختتام"</f>
        <v>اختتام</v>
      </c>
      <c r="AF1678" s="1" t="str">
        <f>""</f>
        <v/>
      </c>
      <c r="AG1678" s="1" t="str">
        <f>""</f>
        <v/>
      </c>
      <c r="AH1678" s="1" t="str">
        <f>""</f>
        <v/>
      </c>
      <c r="AI1678" s="1" t="str">
        <f>""</f>
        <v/>
      </c>
      <c r="AJ1678" s="1" t="str">
        <f>""</f>
        <v/>
      </c>
      <c r="AK1678" s="1" t="str">
        <f>""</f>
        <v/>
      </c>
    </row>
    <row r="1679" spans="1:37">
      <c r="A1679" s="1">
        <v>296000</v>
      </c>
      <c r="B1679" s="1">
        <v>966200331</v>
      </c>
      <c r="C1679" s="1" t="str">
        <f>"تخليه - خراسان جنوبي-آرين شهر-کيلومتر 3 جاده آرين شهر-بيرجند-کارخانه آسفالت آب شن راه طوس"</f>
        <v>تخليه - خراسان جنوبي-آرين شهر-کيلومتر 3 جاده آرين شهر-بيرجند-کارخانه آسفالت آب شن راه طوس</v>
      </c>
      <c r="D1679" s="1">
        <v>9113</v>
      </c>
      <c r="E1679" s="1">
        <v>285580</v>
      </c>
      <c r="F1679" s="1">
        <v>96</v>
      </c>
      <c r="G1679" s="1">
        <v>10420</v>
      </c>
      <c r="H1679" s="1" t="str">
        <f>"96/07/24"</f>
        <v>96/07/24</v>
      </c>
      <c r="I1679" s="1" t="str">
        <f>"كيلوگرم"</f>
        <v>كيلوگرم</v>
      </c>
      <c r="J1679" s="1" t="str">
        <f>"0000000076"</f>
        <v>0000000076</v>
      </c>
      <c r="K1679" s="1" t="str">
        <f>"قير 60/70 - فله"</f>
        <v>قير 60/70 - فله</v>
      </c>
      <c r="L1679" s="1">
        <v>100</v>
      </c>
      <c r="M1679" s="1" t="str">
        <f>"مخازن قير اصفهان"</f>
        <v>مخازن قير اصفهان</v>
      </c>
      <c r="N1679" s="1">
        <v>11477</v>
      </c>
      <c r="O1679" s="1">
        <v>50036761</v>
      </c>
      <c r="P1679" s="1" t="str">
        <f>"  آب شن راه طوس"</f>
        <v xml:space="preserve">  آب شن راه طوس</v>
      </c>
      <c r="Q1679" s="1">
        <v>62</v>
      </c>
      <c r="R1679" s="1" t="str">
        <f>"فروش داخلي - سازمان بنيادمسكن انقلاب اسلامي"</f>
        <v>فروش داخلي - سازمان بنيادمسكن انقلاب اسلامي</v>
      </c>
      <c r="S1679" s="1" t="str">
        <f>"قرارداد فروش"</f>
        <v>قرارداد فروش</v>
      </c>
      <c r="T1679" s="1" t="str">
        <f>"ندارد"</f>
        <v>ندارد</v>
      </c>
      <c r="U1679" s="1" t="str">
        <f>"غلام نجفي سيامك‌‌‌‌‌‌(1881082)"</f>
        <v>غلام نجفي سيامك‌‌‌‌‌‌(1881082)</v>
      </c>
      <c r="V1679" s="1">
        <v>966200331</v>
      </c>
      <c r="W1679" s="1">
        <v>966200331</v>
      </c>
      <c r="X1679" s="1" t="str">
        <f>"1396518902"</f>
        <v>1396518902</v>
      </c>
      <c r="Y1679" s="1" t="str">
        <f>"96/07/24"</f>
        <v>96/07/24</v>
      </c>
      <c r="Z1679" s="1" t="str">
        <f>"32928/د"</f>
        <v>32928/د</v>
      </c>
      <c r="AA1679" s="1" t="str">
        <f>"بنيادمسكن انقلاب اسلامي"</f>
        <v>بنيادمسكن انقلاب اسلامي</v>
      </c>
      <c r="AB1679" s="1" t="str">
        <f>"96/07/24"</f>
        <v>96/07/24</v>
      </c>
      <c r="AC1679" s="1" t="str">
        <f>"خراسان جنوبي"</f>
        <v>خراسان جنوبي</v>
      </c>
      <c r="AD1679" s="1" t="str">
        <f>"96/07/24"</f>
        <v>96/07/24</v>
      </c>
      <c r="AE1679" s="1" t="str">
        <f>"اختتام"</f>
        <v>اختتام</v>
      </c>
      <c r="AF1679" s="1" t="str">
        <f>""</f>
        <v/>
      </c>
      <c r="AG1679" s="1" t="str">
        <f>""</f>
        <v/>
      </c>
      <c r="AH1679" s="1" t="str">
        <f>""</f>
        <v/>
      </c>
      <c r="AI1679" s="1" t="str">
        <f>""</f>
        <v/>
      </c>
      <c r="AJ1679" s="1" t="str">
        <f>""</f>
        <v/>
      </c>
      <c r="AK1679" s="1" t="str">
        <f>""</f>
        <v/>
      </c>
    </row>
    <row r="1680" spans="1:37">
      <c r="A1680" s="1">
        <v>150000</v>
      </c>
      <c r="B1680" s="1">
        <v>966200366</v>
      </c>
      <c r="C1680" s="1" t="str">
        <f>"تخليه - کهگيلويه و بويراحمد-ياسوج-20کيلومتري جاده ياسوج اصفهان-کارخانه آسفالت مقصود مرتضوي"</f>
        <v>تخليه - کهگيلويه و بويراحمد-ياسوج-20کيلومتري جاده ياسوج اصفهان-کارخانه آسفالت مقصود مرتضوي</v>
      </c>
      <c r="D1680" s="1">
        <v>9416</v>
      </c>
      <c r="E1680" s="1">
        <v>148840</v>
      </c>
      <c r="F1680" s="1">
        <v>96</v>
      </c>
      <c r="G1680" s="1">
        <v>1160</v>
      </c>
      <c r="H1680" s="1" t="str">
        <f>"96/08/10"</f>
        <v>96/08/10</v>
      </c>
      <c r="I1680" s="1" t="str">
        <f>"كيلوگرم"</f>
        <v>كيلوگرم</v>
      </c>
      <c r="J1680" s="1" t="str">
        <f>"0000000076"</f>
        <v>0000000076</v>
      </c>
      <c r="K1680" s="1" t="str">
        <f>"قير 60/70 - فله"</f>
        <v>قير 60/70 - فله</v>
      </c>
      <c r="L1680" s="1">
        <v>100</v>
      </c>
      <c r="M1680" s="1" t="str">
        <f>"مخازن قير اصفهان"</f>
        <v>مخازن قير اصفهان</v>
      </c>
      <c r="N1680" s="1">
        <v>11490</v>
      </c>
      <c r="O1680" s="1">
        <v>50036992</v>
      </c>
      <c r="P1680" s="1" t="str">
        <f>"  فرهاد بيستون جنوب"</f>
        <v xml:space="preserve">  فرهاد بيستون جنوب</v>
      </c>
      <c r="Q1680" s="1">
        <v>62</v>
      </c>
      <c r="R1680" s="1" t="str">
        <f>"فروش داخلي - سازمان بنيادمسكن انقلاب اسلامي"</f>
        <v>فروش داخلي - سازمان بنيادمسكن انقلاب اسلامي</v>
      </c>
      <c r="S1680" s="1" t="str">
        <f>"قرارداد فروش"</f>
        <v>قرارداد فروش</v>
      </c>
      <c r="T1680" s="1" t="str">
        <f>"ندارد"</f>
        <v>ندارد</v>
      </c>
      <c r="U1680" s="1" t="str">
        <f>"غلام نجفي سيامك‌‌‌‌‌‌(1881082)"</f>
        <v>غلام نجفي سيامك‌‌‌‌‌‌(1881082)</v>
      </c>
      <c r="V1680" s="1">
        <v>966200366</v>
      </c>
      <c r="W1680" s="1">
        <v>966200366</v>
      </c>
      <c r="X1680" s="1" t="str">
        <f>"1396523298"</f>
        <v>1396523298</v>
      </c>
      <c r="Y1680" s="1" t="str">
        <f>"96/08/10"</f>
        <v>96/08/10</v>
      </c>
      <c r="Z1680" s="1" t="str">
        <f>"35253/د"</f>
        <v>35253/د</v>
      </c>
      <c r="AA1680" s="1" t="str">
        <f>"بنيادمسكن انقلاب اسلامي"</f>
        <v>بنيادمسكن انقلاب اسلامي</v>
      </c>
      <c r="AB1680" s="1" t="str">
        <f>"96/08/08"</f>
        <v>96/08/08</v>
      </c>
      <c r="AC1680" s="1" t="str">
        <f>"كهكيلويه و بوير احمد"</f>
        <v>كهكيلويه و بوير احمد</v>
      </c>
      <c r="AD1680" s="1" t="str">
        <f>"96/08/10"</f>
        <v>96/08/10</v>
      </c>
      <c r="AE1680" s="1" t="str">
        <f>"اختتام"</f>
        <v>اختتام</v>
      </c>
      <c r="AF1680" s="1" t="str">
        <f>""</f>
        <v/>
      </c>
      <c r="AG1680" s="1" t="str">
        <f>""</f>
        <v/>
      </c>
      <c r="AH1680" s="1" t="str">
        <f>""</f>
        <v/>
      </c>
      <c r="AI1680" s="1" t="str">
        <f>""</f>
        <v/>
      </c>
      <c r="AJ1680" s="1" t="str">
        <f>""</f>
        <v/>
      </c>
      <c r="AK1680" s="1" t="str">
        <f>""</f>
        <v/>
      </c>
    </row>
    <row r="1681" spans="1:37">
      <c r="A1681" s="1">
        <v>728000</v>
      </c>
      <c r="B1681" s="1">
        <v>966300017</v>
      </c>
      <c r="C1681" s="1" t="str">
        <f>"تخليه خراسان جنوبي كيلومتر8جاده فردوس سرايان كارخانه پتروفردوس"</f>
        <v>تخليه خراسان جنوبي كيلومتر8جاده فردوس سرايان كارخانه پتروفردوس</v>
      </c>
      <c r="D1681" s="1">
        <v>9416</v>
      </c>
      <c r="E1681" s="1">
        <v>728000</v>
      </c>
      <c r="F1681" s="1">
        <v>96</v>
      </c>
      <c r="G1681" s="1">
        <v>0</v>
      </c>
      <c r="H1681" s="1" t="str">
        <f>"96/08/17"</f>
        <v>96/08/17</v>
      </c>
      <c r="I1681" s="1" t="str">
        <f>"كيلوگرم"</f>
        <v>كيلوگرم</v>
      </c>
      <c r="J1681" s="1" t="str">
        <f>"0000000076"</f>
        <v>0000000076</v>
      </c>
      <c r="K1681" s="1" t="str">
        <f>"قير 60/70 - فله"</f>
        <v>قير 60/70 - فله</v>
      </c>
      <c r="L1681" s="1">
        <v>100</v>
      </c>
      <c r="M1681" s="1" t="str">
        <f>"مخازن قير اصفهان"</f>
        <v>مخازن قير اصفهان</v>
      </c>
      <c r="N1681" s="1">
        <v>11491</v>
      </c>
      <c r="O1681" s="1">
        <v>50037121</v>
      </c>
      <c r="P1681" s="1" t="str">
        <f>"  توليدي صنعتي و معدني پتروفردوس"</f>
        <v xml:space="preserve">  توليدي صنعتي و معدني پتروفردوس</v>
      </c>
      <c r="Q1681" s="1">
        <v>63</v>
      </c>
      <c r="R1681" s="1" t="str">
        <f>"سازمان نوسازي،توسعه و تجهيز مدارس كشور"</f>
        <v>سازمان نوسازي،توسعه و تجهيز مدارس كشور</v>
      </c>
      <c r="S1681" s="1" t="str">
        <f>"قرارداد فروش"</f>
        <v>قرارداد فروش</v>
      </c>
      <c r="T1681" s="1" t="str">
        <f>"ندارد"</f>
        <v>ندارد</v>
      </c>
      <c r="U1681" s="1" t="str">
        <f>"عزيزي صفر(1006ج 89)"</f>
        <v>عزيزي صفر(1006ج 89)</v>
      </c>
      <c r="V1681" s="1">
        <v>966300017</v>
      </c>
      <c r="W1681" s="1">
        <v>966300017</v>
      </c>
      <c r="X1681" s="1" t="str">
        <f>"1396524014"</f>
        <v>1396524014</v>
      </c>
      <c r="Y1681" s="1" t="str">
        <f>"96/08/17"</f>
        <v>96/08/17</v>
      </c>
      <c r="Z1681" s="1" t="str">
        <f>"3096/19-7174"</f>
        <v>3096/19-7174</v>
      </c>
      <c r="AA1681" s="1" t="str">
        <f>"سازمان نوسازي توسعه وتجهيزمدارس كشور"</f>
        <v>سازمان نوسازي توسعه وتجهيزمدارس كشور</v>
      </c>
      <c r="AB1681" s="1" t="str">
        <f>"96/08/14"</f>
        <v>96/08/14</v>
      </c>
      <c r="AC1681" s="1" t="str">
        <f>"خراسان جنوبي"</f>
        <v>خراسان جنوبي</v>
      </c>
      <c r="AD1681" s="1" t="str">
        <f>"96/08/16"</f>
        <v>96/08/16</v>
      </c>
      <c r="AE1681" s="1" t="str">
        <f>"اختتام"</f>
        <v>اختتام</v>
      </c>
      <c r="AF1681" s="1" t="str">
        <f>""</f>
        <v/>
      </c>
      <c r="AG1681" s="1" t="str">
        <f>""</f>
        <v/>
      </c>
      <c r="AH1681" s="1" t="str">
        <f>""</f>
        <v/>
      </c>
      <c r="AI1681" s="1" t="str">
        <f>""</f>
        <v/>
      </c>
      <c r="AJ1681" s="1" t="str">
        <f>""</f>
        <v/>
      </c>
      <c r="AK1681" s="1" t="str">
        <f>""</f>
        <v/>
      </c>
    </row>
    <row r="1682" spans="1:37">
      <c r="A1682" s="1">
        <v>285000</v>
      </c>
      <c r="B1682" s="1">
        <v>966300023</v>
      </c>
      <c r="C1682" s="1" t="str">
        <f>"تخليه خراسان جنوبي كيلومتر8جاده فردوس سرايان كارخانه پتروفردوس"</f>
        <v>تخليه خراسان جنوبي كيلومتر8جاده فردوس سرايان كارخانه پتروفردوس</v>
      </c>
      <c r="D1682" s="1">
        <v>12820</v>
      </c>
      <c r="E1682" s="1">
        <v>284080</v>
      </c>
      <c r="F1682" s="1">
        <v>96</v>
      </c>
      <c r="G1682" s="1">
        <v>920</v>
      </c>
      <c r="H1682" s="1" t="str">
        <f>"96/09/08"</f>
        <v>96/09/08</v>
      </c>
      <c r="I1682" s="1" t="str">
        <f>"كيلوگرم"</f>
        <v>كيلوگرم</v>
      </c>
      <c r="J1682" s="1" t="str">
        <f>"0000000076"</f>
        <v>0000000076</v>
      </c>
      <c r="K1682" s="1" t="str">
        <f>"قير 60/70 - فله"</f>
        <v>قير 60/70 - فله</v>
      </c>
      <c r="L1682" s="1">
        <v>100</v>
      </c>
      <c r="M1682" s="1" t="str">
        <f>"مخازن قير اصفهان"</f>
        <v>مخازن قير اصفهان</v>
      </c>
      <c r="N1682" s="1">
        <v>11491</v>
      </c>
      <c r="O1682" s="1">
        <v>50037340</v>
      </c>
      <c r="P1682" s="1" t="str">
        <f>"  توليدي صنعتي و معدني پتروفردوس"</f>
        <v xml:space="preserve">  توليدي صنعتي و معدني پتروفردوس</v>
      </c>
      <c r="Q1682" s="1">
        <v>63</v>
      </c>
      <c r="R1682" s="1" t="str">
        <f>"سازمان نوسازي،توسعه و تجهيز مدارس كشور"</f>
        <v>سازمان نوسازي،توسعه و تجهيز مدارس كشور</v>
      </c>
      <c r="S1682" s="1" t="str">
        <f>"قرارداد فروش"</f>
        <v>قرارداد فروش</v>
      </c>
      <c r="T1682" s="1" t="str">
        <f>"ندارد"</f>
        <v>ندارد</v>
      </c>
      <c r="U1682" s="1" t="str">
        <f>"عزيزي صفر(1006ج 89)"</f>
        <v>عزيزي صفر(1006ج 89)</v>
      </c>
      <c r="V1682" s="1">
        <v>966300023</v>
      </c>
      <c r="W1682" s="1">
        <v>966300023</v>
      </c>
      <c r="X1682" s="1" t="str">
        <f>"1396529164"</f>
        <v>1396529164</v>
      </c>
      <c r="Y1682" s="1" t="str">
        <f>"96/09/08"</f>
        <v>96/09/08</v>
      </c>
      <c r="Z1682" s="1" t="str">
        <f>"3096/19-7363"</f>
        <v>3096/19-7363</v>
      </c>
      <c r="AA1682" s="1" t="str">
        <f>"سازمان نوسازي توسعه وتجهيزمدارس كشور"</f>
        <v>سازمان نوسازي توسعه وتجهيزمدارس كشور</v>
      </c>
      <c r="AB1682" s="1" t="str">
        <f>"96/08/21"</f>
        <v>96/08/21</v>
      </c>
      <c r="AC1682" s="1" t="str">
        <f>"خراسان جنوبي"</f>
        <v>خراسان جنوبي</v>
      </c>
      <c r="AD1682" s="1" t="str">
        <f>"96/09/08"</f>
        <v>96/09/08</v>
      </c>
      <c r="AE1682" s="1" t="str">
        <f>"اختتام"</f>
        <v>اختتام</v>
      </c>
      <c r="AF1682" s="1" t="str">
        <f>""</f>
        <v/>
      </c>
      <c r="AG1682" s="1" t="str">
        <f>""</f>
        <v/>
      </c>
      <c r="AH1682" s="1" t="str">
        <f>""</f>
        <v/>
      </c>
      <c r="AI1682" s="1" t="str">
        <f>""</f>
        <v/>
      </c>
      <c r="AJ1682" s="1" t="str">
        <f>""</f>
        <v/>
      </c>
      <c r="AK1682" s="1" t="str">
        <f>""</f>
        <v/>
      </c>
    </row>
    <row r="1683" spans="1:37">
      <c r="A1683" s="1">
        <v>59000</v>
      </c>
      <c r="B1683" s="1">
        <v>966200410</v>
      </c>
      <c r="C1683" s="1" t="str">
        <f>"تخليه- خراسان رضوي-کيلومتر 30جاده مشهد-فريمان-ابتداي جاده قديم نيشابور-کارخانهآسفالت کيهان راه شرق"</f>
        <v>تخليه- خراسان رضوي-کيلومتر 30جاده مشهد-فريمان-ابتداي جاده قديم نيشابور-کارخانهآسفالت کيهان راه شرق</v>
      </c>
      <c r="D1683" s="1">
        <v>12820</v>
      </c>
      <c r="E1683" s="1">
        <v>45600</v>
      </c>
      <c r="F1683" s="1">
        <v>96</v>
      </c>
      <c r="G1683" s="1">
        <v>13400</v>
      </c>
      <c r="H1683" s="1" t="str">
        <f>"96/09/09"</f>
        <v>96/09/09</v>
      </c>
      <c r="I1683" s="1" t="str">
        <f>"كيلوگرم"</f>
        <v>كيلوگرم</v>
      </c>
      <c r="J1683" s="1" t="str">
        <f>"0000000076"</f>
        <v>0000000076</v>
      </c>
      <c r="K1683" s="1" t="str">
        <f>"قير 60/70 - فله"</f>
        <v>قير 60/70 - فله</v>
      </c>
      <c r="L1683" s="1">
        <v>100</v>
      </c>
      <c r="M1683" s="1" t="str">
        <f>"مخازن قير اصفهان"</f>
        <v>مخازن قير اصفهان</v>
      </c>
      <c r="N1683" s="1">
        <v>11497</v>
      </c>
      <c r="O1683" s="1">
        <v>50037374</v>
      </c>
      <c r="P1683" s="1" t="str">
        <f>"  اسکان مسير آريا"</f>
        <v xml:space="preserve">  اسکان مسير آريا</v>
      </c>
      <c r="Q1683" s="1">
        <v>62</v>
      </c>
      <c r="R1683" s="1" t="str">
        <f>"فروش داخلي - سازمان بنيادمسكن انقلاب اسلامي"</f>
        <v>فروش داخلي - سازمان بنيادمسكن انقلاب اسلامي</v>
      </c>
      <c r="S1683" s="1" t="str">
        <f>"قرارداد فروش"</f>
        <v>قرارداد فروش</v>
      </c>
      <c r="T1683" s="1" t="str">
        <f>"ندارد"</f>
        <v>ندارد</v>
      </c>
      <c r="U1683" s="1" t="str">
        <f>"نظام دوست امين (1911102)"</f>
        <v>نظام دوست امين (1911102)</v>
      </c>
      <c r="V1683" s="1">
        <v>966200410</v>
      </c>
      <c r="W1683" s="1">
        <v>966200410</v>
      </c>
      <c r="X1683" s="1" t="str">
        <f>"1396529172"</f>
        <v>1396529172</v>
      </c>
      <c r="Y1683" s="1" t="str">
        <f>"96/09/09"</f>
        <v>96/09/09</v>
      </c>
      <c r="Z1683" s="1" t="str">
        <f>"37746/د"</f>
        <v>37746/د</v>
      </c>
      <c r="AA1683" s="1" t="str">
        <f>"بنيادمسكن انقلاب اسلامي"</f>
        <v>بنيادمسكن انقلاب اسلامي</v>
      </c>
      <c r="AB1683" s="1" t="str">
        <f>"96/08/23"</f>
        <v>96/08/23</v>
      </c>
      <c r="AC1683" s="1" t="str">
        <f>"خراسان رضوي"</f>
        <v>خراسان رضوي</v>
      </c>
      <c r="AD1683" s="1" t="str">
        <f>"96/09/08"</f>
        <v>96/09/08</v>
      </c>
      <c r="AE1683" s="1" t="str">
        <f>"اختتام"</f>
        <v>اختتام</v>
      </c>
      <c r="AF1683" s="1" t="str">
        <f>""</f>
        <v/>
      </c>
      <c r="AG1683" s="1" t="str">
        <f>""</f>
        <v/>
      </c>
      <c r="AH1683" s="1" t="str">
        <f>""</f>
        <v/>
      </c>
      <c r="AI1683" s="1" t="str">
        <f>""</f>
        <v/>
      </c>
      <c r="AJ1683" s="1" t="str">
        <f>""</f>
        <v/>
      </c>
      <c r="AK1683" s="1" t="str">
        <f>""</f>
        <v/>
      </c>
    </row>
    <row r="1684" spans="1:37">
      <c r="A1684" s="1">
        <v>93551</v>
      </c>
      <c r="B1684" s="1">
        <v>962000306</v>
      </c>
      <c r="C1684" s="1" t="str">
        <f>"تخليه خراسان رضوي 15كيلومتري درگزكارخانه آسفالت شهرداري درگز"</f>
        <v>تخليه خراسان رضوي 15كيلومتري درگزكارخانه آسفالت شهرداري درگز</v>
      </c>
      <c r="D1684" s="1">
        <v>9113</v>
      </c>
      <c r="E1684" s="1">
        <v>92740</v>
      </c>
      <c r="F1684" s="1">
        <v>96</v>
      </c>
      <c r="G1684" s="1">
        <v>811</v>
      </c>
      <c r="H1684" s="1" t="str">
        <f>"96/09/13"</f>
        <v>96/09/13</v>
      </c>
      <c r="I1684" s="1" t="str">
        <f>"كيلوگرم"</f>
        <v>كيلوگرم</v>
      </c>
      <c r="J1684" s="1" t="str">
        <f>"0000000076"</f>
        <v>0000000076</v>
      </c>
      <c r="K1684" s="1" t="str">
        <f>"قير 60/70 - فله"</f>
        <v>قير 60/70 - فله</v>
      </c>
      <c r="L1684" s="1">
        <v>100</v>
      </c>
      <c r="M1684" s="1" t="str">
        <f>"مخازن قير اصفهان"</f>
        <v>مخازن قير اصفهان</v>
      </c>
      <c r="N1684" s="1">
        <v>11508</v>
      </c>
      <c r="O1684" s="1">
        <v>50037508</v>
      </c>
      <c r="P1684" s="1" t="str">
        <f>"  شهرداري درگز"</f>
        <v xml:space="preserve">  شهرداري درگز</v>
      </c>
      <c r="Q1684" s="1">
        <v>20</v>
      </c>
      <c r="R1684" s="1" t="str">
        <f>"فروش داخلي - سازمان شهرداري ها و دهياري هاي كشور"</f>
        <v>فروش داخلي - سازمان شهرداري ها و دهياري هاي كشور</v>
      </c>
      <c r="S1684" s="1" t="str">
        <f>"قرارداد فروش"</f>
        <v>قرارداد فروش</v>
      </c>
      <c r="T1684" s="1" t="str">
        <f>"ندارد"</f>
        <v>ندارد</v>
      </c>
      <c r="U1684" s="1" t="str">
        <f>"تعاوني جم گستر (1001 ج 89)"</f>
        <v>تعاوني جم گستر (1001 ج 89)</v>
      </c>
      <c r="V1684" s="1">
        <v>962000306</v>
      </c>
      <c r="W1684" s="1">
        <v>962000306</v>
      </c>
      <c r="X1684" s="1" t="str">
        <f>"1396514467"</f>
        <v>1396514467</v>
      </c>
      <c r="Y1684" s="1" t="str">
        <f>"96/09/12"</f>
        <v>96/09/12</v>
      </c>
      <c r="Z1684" s="1" t="str">
        <f>"37021مرحله دوم"</f>
        <v>37021مرحله دوم</v>
      </c>
      <c r="AA1684" s="1" t="str">
        <f>"شهرداريها"</f>
        <v>شهرداريها</v>
      </c>
      <c r="AB1684" s="1" t="str">
        <f>"96/09/04"</f>
        <v>96/09/04</v>
      </c>
      <c r="AC1684" s="1" t="str">
        <f>"خراسان رضوي"</f>
        <v>خراسان رضوي</v>
      </c>
      <c r="AD1684" s="1" t="str">
        <f>"96/07/03"</f>
        <v>96/07/03</v>
      </c>
      <c r="AE1684" s="1" t="str">
        <f>"اختتام"</f>
        <v>اختتام</v>
      </c>
      <c r="AF1684" s="1" t="str">
        <f>""</f>
        <v/>
      </c>
      <c r="AG1684" s="1" t="str">
        <f>""</f>
        <v/>
      </c>
      <c r="AH1684" s="1" t="str">
        <f>""</f>
        <v/>
      </c>
      <c r="AI1684" s="1" t="str">
        <f>""</f>
        <v/>
      </c>
      <c r="AJ1684" s="1" t="str">
        <f>""</f>
        <v/>
      </c>
      <c r="AK1684" s="1" t="str">
        <f>""</f>
        <v/>
      </c>
    </row>
    <row r="1685" spans="1:37">
      <c r="A1685" s="1">
        <v>114000</v>
      </c>
      <c r="B1685" s="1">
        <v>966300036</v>
      </c>
      <c r="C1685" s="1" t="str">
        <f>"تخليه اصفهان شهرك صنعتي اشترجان خيابان 11شركت راه آژند"</f>
        <v>تخليه اصفهان شهرك صنعتي اشترجان خيابان 11شركت راه آژند</v>
      </c>
      <c r="D1685" s="1">
        <v>12820</v>
      </c>
      <c r="E1685" s="1">
        <v>114000</v>
      </c>
      <c r="F1685" s="1">
        <v>96</v>
      </c>
      <c r="G1685" s="1">
        <v>0</v>
      </c>
      <c r="H1685" s="1" t="str">
        <f>"96/09/19"</f>
        <v>96/09/19</v>
      </c>
      <c r="I1685" s="1" t="str">
        <f>"كيلوگرم"</f>
        <v>كيلوگرم</v>
      </c>
      <c r="J1685" s="1" t="str">
        <f>"0000000076"</f>
        <v>0000000076</v>
      </c>
      <c r="K1685" s="1" t="str">
        <f>"قير 60/70 - فله"</f>
        <v>قير 60/70 - فله</v>
      </c>
      <c r="L1685" s="1">
        <v>100</v>
      </c>
      <c r="M1685" s="1" t="str">
        <f>"مخازن قير اصفهان"</f>
        <v>مخازن قير اصفهان</v>
      </c>
      <c r="N1685" s="1">
        <v>11519</v>
      </c>
      <c r="O1685" s="1">
        <v>50037584</v>
      </c>
      <c r="P1685" s="1" t="str">
        <f>"  زيباساخت زاگرس"</f>
        <v xml:space="preserve">  زيباساخت زاگرس</v>
      </c>
      <c r="Q1685" s="1">
        <v>63</v>
      </c>
      <c r="R1685" s="1" t="str">
        <f>"سازمان نوسازي،توسعه و تجهيز مدارس كشور"</f>
        <v>سازمان نوسازي،توسعه و تجهيز مدارس كشور</v>
      </c>
      <c r="S1685" s="1" t="str">
        <f>"قرارداد فروش"</f>
        <v>قرارداد فروش</v>
      </c>
      <c r="T1685" s="1" t="str">
        <f>"ندارد"</f>
        <v>ندارد</v>
      </c>
      <c r="U1685" s="1" t="str">
        <f>"سيفي پور عبدالمجيد(1009ج89)"</f>
        <v>سيفي پور عبدالمجيد(1009ج89)</v>
      </c>
      <c r="V1685" s="1">
        <v>966300036</v>
      </c>
      <c r="W1685" s="1">
        <v>966300036</v>
      </c>
      <c r="X1685" s="1" t="str">
        <f>"1396531220"</f>
        <v>1396531220</v>
      </c>
      <c r="Y1685" s="1" t="str">
        <f>"96/09/19"</f>
        <v>96/09/19</v>
      </c>
      <c r="Z1685" s="1" t="str">
        <f>"18/96/1/7572"</f>
        <v>18/96/1/7572</v>
      </c>
      <c r="AA1685" s="1" t="str">
        <f>"سازمان نوسازي توسعه وتجهيزمدارس كشور"</f>
        <v>سازمان نوسازي توسعه وتجهيزمدارس كشور</v>
      </c>
      <c r="AB1685" s="1" t="str">
        <f>"96/08/14"</f>
        <v>96/08/14</v>
      </c>
      <c r="AC1685" s="1" t="str">
        <f>"استان چهارمحال بختياري"</f>
        <v>استان چهارمحال بختياري</v>
      </c>
      <c r="AD1685" s="1" t="str">
        <f>"96/09/19"</f>
        <v>96/09/19</v>
      </c>
      <c r="AE1685" s="1" t="str">
        <f>"اختتام"</f>
        <v>اختتام</v>
      </c>
      <c r="AF1685" s="1" t="str">
        <f>""</f>
        <v/>
      </c>
      <c r="AG1685" s="1" t="str">
        <f>""</f>
        <v/>
      </c>
      <c r="AH1685" s="1" t="str">
        <f>""</f>
        <v/>
      </c>
      <c r="AI1685" s="1" t="str">
        <f>""</f>
        <v/>
      </c>
      <c r="AJ1685" s="1" t="str">
        <f>""</f>
        <v/>
      </c>
      <c r="AK1685" s="1" t="str">
        <f>""</f>
        <v/>
      </c>
    </row>
    <row r="1686" spans="1:37">
      <c r="A1686" s="1">
        <v>81000</v>
      </c>
      <c r="B1686" s="1">
        <v>966200644</v>
      </c>
      <c r="C1686" s="1" t="str">
        <f>"تخليه - کرمان- شهربابک-کمربندي خاتون آباد-مخازن شرکت پ-بل"</f>
        <v>تخليه - کرمان- شهربابک-کمربندي خاتون آباد-مخازن شرکت پ-بل</v>
      </c>
      <c r="D1686" s="1">
        <v>13350</v>
      </c>
      <c r="E1686" s="1">
        <v>79760</v>
      </c>
      <c r="F1686" s="1">
        <v>96</v>
      </c>
      <c r="G1686" s="1">
        <v>1240</v>
      </c>
      <c r="H1686" s="1" t="str">
        <f>"96/12/14"</f>
        <v>96/12/14</v>
      </c>
      <c r="I1686" s="1" t="str">
        <f>"كيلوگرم"</f>
        <v>كيلوگرم</v>
      </c>
      <c r="J1686" s="1" t="str">
        <f>"0000000076"</f>
        <v>0000000076</v>
      </c>
      <c r="K1686" s="1" t="str">
        <f>"قير 60/70 - فله"</f>
        <v>قير 60/70 - فله</v>
      </c>
      <c r="L1686" s="1">
        <v>100</v>
      </c>
      <c r="M1686" s="1" t="str">
        <f>"مخازن قير اصفهان"</f>
        <v>مخازن قير اصفهان</v>
      </c>
      <c r="N1686" s="1">
        <v>11523</v>
      </c>
      <c r="O1686" s="1">
        <v>50038765</v>
      </c>
      <c r="P1686" s="1" t="str">
        <f>"  ميمند عمران راه بابکان"</f>
        <v xml:space="preserve">  ميمند عمران راه بابکان</v>
      </c>
      <c r="Q1686" s="1">
        <v>62</v>
      </c>
      <c r="R1686" s="1" t="str">
        <f>"فروش داخلي - سازمان بنيادمسكن انقلاب اسلامي"</f>
        <v>فروش داخلي - سازمان بنيادمسكن انقلاب اسلامي</v>
      </c>
      <c r="S1686" s="1" t="str">
        <f>"قرارداد فروش"</f>
        <v>قرارداد فروش</v>
      </c>
      <c r="T1686" s="1" t="str">
        <f>"ندارد"</f>
        <v>ندارد</v>
      </c>
      <c r="U1686" s="1" t="str">
        <f>"تعاوني جم گستر (1001 ج 89)"</f>
        <v>تعاوني جم گستر (1001 ج 89)</v>
      </c>
      <c r="V1686" s="1">
        <v>966200644</v>
      </c>
      <c r="W1686" s="1">
        <v>966200644</v>
      </c>
      <c r="X1686" s="1" t="str">
        <f>"1396552261"</f>
        <v>1396552261</v>
      </c>
      <c r="Y1686" s="1" t="str">
        <f>"96/12/14"</f>
        <v>96/12/14</v>
      </c>
      <c r="Z1686" s="1" t="str">
        <f>"56622/د"</f>
        <v>56622/د</v>
      </c>
      <c r="AA1686" s="1" t="str">
        <f>"بنيادمسكن انقلاب اسلامي"</f>
        <v>بنيادمسكن انقلاب اسلامي</v>
      </c>
      <c r="AB1686" s="1" t="str">
        <f>"96/12/13"</f>
        <v>96/12/13</v>
      </c>
      <c r="AC1686" s="1" t="str">
        <f>"استان كرمان"</f>
        <v>استان كرمان</v>
      </c>
      <c r="AD1686" s="1" t="str">
        <f>"96/12/14"</f>
        <v>96/12/14</v>
      </c>
      <c r="AE1686" s="1" t="str">
        <f>"اختتام"</f>
        <v>اختتام</v>
      </c>
      <c r="AF1686" s="1" t="str">
        <f>""</f>
        <v/>
      </c>
      <c r="AG1686" s="1" t="str">
        <f>""</f>
        <v/>
      </c>
      <c r="AH1686" s="1" t="str">
        <f>""</f>
        <v/>
      </c>
      <c r="AI1686" s="1" t="str">
        <f>""</f>
        <v/>
      </c>
      <c r="AJ1686" s="1" t="str">
        <f>""</f>
        <v/>
      </c>
      <c r="AK1686" s="1" t="str">
        <f>""</f>
        <v/>
      </c>
    </row>
    <row r="1687" spans="1:37">
      <c r="A1687" s="1">
        <v>32000</v>
      </c>
      <c r="B1687" s="1">
        <v>966300053</v>
      </c>
      <c r="C1687" s="1" t="str">
        <f>"تخليه چهارمحال بختياري شهركردكارخانه نگين"</f>
        <v>تخليه چهارمحال بختياري شهركردكارخانه نگين</v>
      </c>
      <c r="D1687" s="1">
        <v>12850</v>
      </c>
      <c r="E1687" s="1">
        <v>32000</v>
      </c>
      <c r="F1687" s="1">
        <v>96</v>
      </c>
      <c r="G1687" s="1">
        <v>0</v>
      </c>
      <c r="H1687" s="1" t="str">
        <f>"96/10/24"</f>
        <v>96/10/24</v>
      </c>
      <c r="I1687" s="1" t="str">
        <f>"كيلوگرم"</f>
        <v>كيلوگرم</v>
      </c>
      <c r="J1687" s="1" t="str">
        <f>"0000000076"</f>
        <v>0000000076</v>
      </c>
      <c r="K1687" s="1" t="str">
        <f>"قير 60/70 - فله"</f>
        <v>قير 60/70 - فله</v>
      </c>
      <c r="L1687" s="1">
        <v>100</v>
      </c>
      <c r="M1687" s="1" t="str">
        <f>"مخازن قير اصفهان"</f>
        <v>مخازن قير اصفهان</v>
      </c>
      <c r="N1687" s="1">
        <v>11528</v>
      </c>
      <c r="O1687" s="1">
        <v>50038165</v>
      </c>
      <c r="P1687" s="1" t="str">
        <f>"  آذربناي كوهرنگ"</f>
        <v xml:space="preserve">  آذربناي كوهرنگ</v>
      </c>
      <c r="Q1687" s="1">
        <v>63</v>
      </c>
      <c r="R1687" s="1" t="str">
        <f>"سازمان نوسازي،توسعه و تجهيز مدارس كشور"</f>
        <v>سازمان نوسازي،توسعه و تجهيز مدارس كشور</v>
      </c>
      <c r="S1687" s="1" t="str">
        <f>"قرارداد فروش"</f>
        <v>قرارداد فروش</v>
      </c>
      <c r="T1687" s="1" t="str">
        <f>"ندارد"</f>
        <v>ندارد</v>
      </c>
      <c r="U1687" s="1" t="str">
        <f>"سيفي پور عبدالمجيد(1009ج89)"</f>
        <v>سيفي پور عبدالمجيد(1009ج89)</v>
      </c>
      <c r="V1687" s="1">
        <v>966300053</v>
      </c>
      <c r="W1687" s="1">
        <v>966300053</v>
      </c>
      <c r="X1687" s="1" t="str">
        <f>"1396539960"</f>
        <v>1396539960</v>
      </c>
      <c r="Y1687" s="1" t="str">
        <f>"96/10/24"</f>
        <v>96/10/24</v>
      </c>
      <c r="Z1687" s="1" t="str">
        <f>"18/96/1/8064"</f>
        <v>18/96/1/8064</v>
      </c>
      <c r="AA1687" s="1" t="str">
        <f>"سازمان نوسازي توسعه وتجهيزمدارس كشور"</f>
        <v>سازمان نوسازي توسعه وتجهيزمدارس كشور</v>
      </c>
      <c r="AB1687" s="1" t="str">
        <f>"96/09/01"</f>
        <v>96/09/01</v>
      </c>
      <c r="AC1687" s="1" t="str">
        <f>"استان چهارمحال بختياري"</f>
        <v>استان چهارمحال بختياري</v>
      </c>
      <c r="AD1687" s="1" t="str">
        <f>"96/10/24"</f>
        <v>96/10/24</v>
      </c>
      <c r="AE1687" s="1" t="str">
        <f>"اختتام"</f>
        <v>اختتام</v>
      </c>
      <c r="AF1687" s="1" t="str">
        <f>""</f>
        <v/>
      </c>
      <c r="AG1687" s="1" t="str">
        <f>""</f>
        <v/>
      </c>
      <c r="AH1687" s="1" t="str">
        <f>""</f>
        <v/>
      </c>
      <c r="AI1687" s="1" t="str">
        <f>""</f>
        <v/>
      </c>
      <c r="AJ1687" s="1" t="str">
        <f>""</f>
        <v/>
      </c>
      <c r="AK1687" s="1" t="str">
        <f>""</f>
        <v/>
      </c>
    </row>
    <row r="1688" spans="1:37">
      <c r="A1688" s="1">
        <v>300000</v>
      </c>
      <c r="B1688" s="1">
        <v>966200693</v>
      </c>
      <c r="C1688" s="1" t="str">
        <f>"تخليه - کرمان-کيلومتر 10جاده بم-کرمان-کارخانه آسفالت آسان راه بم"</f>
        <v>تخليه - کرمان-کيلومتر 10جاده بم-کرمان-کارخانه آسفالت آسان راه بم</v>
      </c>
      <c r="D1688" s="1">
        <v>13350</v>
      </c>
      <c r="E1688" s="1">
        <v>299300</v>
      </c>
      <c r="F1688" s="1">
        <v>96</v>
      </c>
      <c r="G1688" s="1">
        <v>700</v>
      </c>
      <c r="H1688" s="1" t="str">
        <f>"96/12/23"</f>
        <v>96/12/23</v>
      </c>
      <c r="I1688" s="1" t="str">
        <f>"كيلوگرم"</f>
        <v>كيلوگرم</v>
      </c>
      <c r="J1688" s="1" t="str">
        <f>"0000000076"</f>
        <v>0000000076</v>
      </c>
      <c r="K1688" s="1" t="str">
        <f>"قير 60/70 - فله"</f>
        <v>قير 60/70 - فله</v>
      </c>
      <c r="L1688" s="1">
        <v>100</v>
      </c>
      <c r="M1688" s="1" t="str">
        <f>"مخازن قير اصفهان"</f>
        <v>مخازن قير اصفهان</v>
      </c>
      <c r="N1688" s="1">
        <v>11533</v>
      </c>
      <c r="O1688" s="1">
        <v>50038969</v>
      </c>
      <c r="P1688" s="1" t="str">
        <f>"  تارابناي افلاک"</f>
        <v xml:space="preserve">  تارابناي افلاک</v>
      </c>
      <c r="Q1688" s="1">
        <v>62</v>
      </c>
      <c r="R1688" s="1" t="str">
        <f>"فروش داخلي - سازمان بنيادمسكن انقلاب اسلامي"</f>
        <v>فروش داخلي - سازمان بنيادمسكن انقلاب اسلامي</v>
      </c>
      <c r="S1688" s="1" t="str">
        <f>"قرارداد فروش"</f>
        <v>قرارداد فروش</v>
      </c>
      <c r="T1688" s="1" t="str">
        <f>"ندارد"</f>
        <v>ندارد</v>
      </c>
      <c r="U1688" s="1" t="str">
        <f>"دهقانيان بيژن (4954038)"</f>
        <v>دهقانيان بيژن (4954038)</v>
      </c>
      <c r="V1688" s="1">
        <v>966200693</v>
      </c>
      <c r="W1688" s="1">
        <v>966200693</v>
      </c>
      <c r="X1688" s="1" t="str">
        <f>"1396554554"</f>
        <v>1396554554</v>
      </c>
      <c r="Y1688" s="1" t="str">
        <f>"96/12/23"</f>
        <v>96/12/23</v>
      </c>
      <c r="Z1688" s="1" t="str">
        <f>"58762/د"</f>
        <v>58762/د</v>
      </c>
      <c r="AA1688" s="1" t="str">
        <f>"بنيادمسكن انقلاب اسلامي"</f>
        <v>بنيادمسكن انقلاب اسلامي</v>
      </c>
      <c r="AB1688" s="1" t="str">
        <f>"96/12/21"</f>
        <v>96/12/21</v>
      </c>
      <c r="AC1688" s="1" t="str">
        <f>"استان كرمان"</f>
        <v>استان كرمان</v>
      </c>
      <c r="AD1688" s="1" t="str">
        <f>"96/12/22"</f>
        <v>96/12/22</v>
      </c>
      <c r="AE1688" s="1" t="str">
        <f>"اختتام"</f>
        <v>اختتام</v>
      </c>
      <c r="AF1688" s="1" t="str">
        <f>""</f>
        <v/>
      </c>
      <c r="AG1688" s="1" t="str">
        <f>""</f>
        <v/>
      </c>
      <c r="AH1688" s="1" t="str">
        <f>""</f>
        <v/>
      </c>
      <c r="AI1688" s="1" t="str">
        <f>""</f>
        <v/>
      </c>
      <c r="AJ1688" s="1" t="str">
        <f>""</f>
        <v/>
      </c>
      <c r="AK1688" s="1" t="str">
        <f>""</f>
        <v/>
      </c>
    </row>
    <row r="1689" spans="1:37">
      <c r="A1689" s="1">
        <v>308000</v>
      </c>
      <c r="B1689" s="1">
        <v>966200766</v>
      </c>
      <c r="C1689" s="1" t="str">
        <f>"تخليه - کرمان-کيلومتر13جاده بهرامجرد-کارخانه آسفالت طلائي"</f>
        <v>تخليه - کرمان-کيلومتر13جاده بهرامجرد-کارخانه آسفالت طلائي</v>
      </c>
      <c r="D1689" s="1">
        <v>13350</v>
      </c>
      <c r="E1689" s="1">
        <v>308000</v>
      </c>
      <c r="F1689" s="1">
        <v>96</v>
      </c>
      <c r="G1689" s="1">
        <v>0</v>
      </c>
      <c r="H1689" s="1" t="str">
        <f>"96/12/28"</f>
        <v>96/12/28</v>
      </c>
      <c r="I1689" s="1" t="str">
        <f>"كيلوگرم"</f>
        <v>كيلوگرم</v>
      </c>
      <c r="J1689" s="1" t="str">
        <f>"0000000076"</f>
        <v>0000000076</v>
      </c>
      <c r="K1689" s="1" t="str">
        <f>"قير 60/70 - فله"</f>
        <v>قير 60/70 - فله</v>
      </c>
      <c r="L1689" s="1">
        <v>100</v>
      </c>
      <c r="M1689" s="1" t="str">
        <f>"مخازن قير اصفهان"</f>
        <v>مخازن قير اصفهان</v>
      </c>
      <c r="N1689" s="1">
        <v>11557</v>
      </c>
      <c r="O1689" s="1">
        <v>50039148</v>
      </c>
      <c r="P1689" s="1" t="str">
        <f>"  مقاوم برج صالح"</f>
        <v xml:space="preserve">  مقاوم برج صالح</v>
      </c>
      <c r="Q1689" s="1">
        <v>62</v>
      </c>
      <c r="R1689" s="1" t="str">
        <f>"فروش داخلي - سازمان بنيادمسكن انقلاب اسلامي"</f>
        <v>فروش داخلي - سازمان بنيادمسكن انقلاب اسلامي</v>
      </c>
      <c r="S1689" s="1" t="str">
        <f>"قرارداد فروش"</f>
        <v>قرارداد فروش</v>
      </c>
      <c r="T1689" s="1" t="str">
        <f>"ندارد"</f>
        <v>ندارد</v>
      </c>
      <c r="U1689" s="1" t="str">
        <f>"دهقانيان بيژن (4954038)"</f>
        <v>دهقانيان بيژن (4954038)</v>
      </c>
      <c r="V1689" s="1">
        <v>966200766</v>
      </c>
      <c r="W1689" s="1">
        <v>966200766</v>
      </c>
      <c r="X1689" s="1" t="str">
        <f>"1396555465"</f>
        <v>1396555465</v>
      </c>
      <c r="Y1689" s="1" t="str">
        <f>"96/12/28"</f>
        <v>96/12/28</v>
      </c>
      <c r="Z1689" s="1" t="str">
        <f>"59990/د"</f>
        <v>59990/د</v>
      </c>
      <c r="AA1689" s="1" t="str">
        <f>"بنيادمسكن انقلاب اسلامي"</f>
        <v>بنيادمسكن انقلاب اسلامي</v>
      </c>
      <c r="AB1689" s="1" t="str">
        <f>"96/12/26"</f>
        <v>96/12/26</v>
      </c>
      <c r="AC1689" s="1" t="str">
        <f>"استان كرمان"</f>
        <v>استان كرمان</v>
      </c>
      <c r="AD1689" s="1" t="str">
        <f>"96/12/27"</f>
        <v>96/12/27</v>
      </c>
      <c r="AE1689" s="1" t="str">
        <f>"اختتام"</f>
        <v>اختتام</v>
      </c>
      <c r="AF1689" s="1" t="str">
        <f>""</f>
        <v/>
      </c>
      <c r="AG1689" s="1" t="str">
        <f>""</f>
        <v/>
      </c>
      <c r="AH1689" s="1" t="str">
        <f>""</f>
        <v/>
      </c>
      <c r="AI1689" s="1" t="str">
        <f>""</f>
        <v/>
      </c>
      <c r="AJ1689" s="1" t="str">
        <f>""</f>
        <v/>
      </c>
      <c r="AK1689" s="1" t="str">
        <f>""</f>
        <v/>
      </c>
    </row>
    <row r="1690" spans="1:37">
      <c r="A1690" s="1">
        <v>50000</v>
      </c>
      <c r="B1690" s="1">
        <v>961100097</v>
      </c>
      <c r="C1690" s="1" t="str">
        <f>"تخليه -اصفهان - گلپايگان - كيلومتر 5 جاده خوانسار"</f>
        <v>تخليه -اصفهان - گلپايگان - كيلومتر 5 جاده خوانسار</v>
      </c>
      <c r="D1690" s="1">
        <v>12520</v>
      </c>
      <c r="E1690" s="1">
        <v>48800</v>
      </c>
      <c r="F1690" s="1">
        <v>96</v>
      </c>
      <c r="G1690" s="1">
        <v>1200</v>
      </c>
      <c r="H1690" s="1" t="str">
        <f>"96/09/08"</f>
        <v>96/09/08</v>
      </c>
      <c r="I1690" s="1" t="str">
        <f>"كيلوگرم"</f>
        <v>كيلوگرم</v>
      </c>
      <c r="J1690" s="1" t="str">
        <f>"1000000002"</f>
        <v>1000000002</v>
      </c>
      <c r="K1690" s="1" t="str">
        <f>"قير 85/100 - فله"</f>
        <v>قير 85/100 - فله</v>
      </c>
      <c r="L1690" s="1">
        <v>100</v>
      </c>
      <c r="M1690" s="1" t="str">
        <f>"مخازن قير اصفهان"</f>
        <v>مخازن قير اصفهان</v>
      </c>
      <c r="N1690" s="1">
        <v>9043</v>
      </c>
      <c r="O1690" s="1">
        <v>50037306</v>
      </c>
      <c r="P1690" s="1" t="str">
        <f>"  مهندسي صنعت راه گلپايگان"</f>
        <v xml:space="preserve">  مهندسي صنعت راه گلپايگان</v>
      </c>
      <c r="Q1690" s="1">
        <v>11</v>
      </c>
      <c r="R1690" s="1" t="str">
        <f>"فروش داخلي تهران - بورس"</f>
        <v>فروش داخلي تهران - بورس</v>
      </c>
      <c r="S1690" s="1" t="str">
        <f>"قرارداد فروش"</f>
        <v>قرارداد فروش</v>
      </c>
      <c r="T1690" s="1" t="str">
        <f>"ندارد"</f>
        <v>ندارد</v>
      </c>
      <c r="U1690" s="1" t="str">
        <f>"شهبازي محمدرضا(1029ج89)"</f>
        <v>شهبازي محمدرضا(1029ج89)</v>
      </c>
      <c r="V1690" s="1">
        <v>961100097</v>
      </c>
      <c r="W1690" s="1">
        <v>961100097</v>
      </c>
      <c r="X1690" s="1" t="str">
        <f>"1396528100"</f>
        <v>1396528100</v>
      </c>
      <c r="Y1690" s="1" t="str">
        <f>"96/09/07"</f>
        <v>96/09/07</v>
      </c>
      <c r="Z1690" s="1" t="str">
        <f>"96-36714"</f>
        <v>96-36714</v>
      </c>
      <c r="AA1690" s="1" t="str">
        <f>"راه سازي"</f>
        <v>راه سازي</v>
      </c>
      <c r="AB1690" s="1" t="str">
        <f>"96/09/07"</f>
        <v>96/09/07</v>
      </c>
      <c r="AC1690" s="1" t="str">
        <f>"استان اصفهان"</f>
        <v>استان اصفهان</v>
      </c>
      <c r="AD1690" s="1" t="str">
        <f>"96/09/05"</f>
        <v>96/09/05</v>
      </c>
      <c r="AE1690" s="1" t="str">
        <f>"اختتام"</f>
        <v>اختتام</v>
      </c>
      <c r="AF1690" s="1" t="str">
        <f>""</f>
        <v/>
      </c>
      <c r="AG1690" s="1" t="str">
        <f>""</f>
        <v/>
      </c>
      <c r="AH1690" s="1" t="str">
        <f>""</f>
        <v/>
      </c>
      <c r="AI1690" s="1" t="str">
        <f>""</f>
        <v/>
      </c>
      <c r="AJ1690" s="1" t="str">
        <f>""</f>
        <v/>
      </c>
      <c r="AK1690" s="1" t="str">
        <f>""</f>
        <v/>
      </c>
    </row>
    <row r="1691" spans="1:37">
      <c r="A1691" s="1">
        <v>28000</v>
      </c>
      <c r="B1691" s="1">
        <v>966200387</v>
      </c>
      <c r="C1691" s="1" t="str">
        <f>"تخليه -کيلومتر10جاده شهرضا-اصفهان -جنب امامزاده علي اکبر-کارخانه آسفالت  گلابي"</f>
        <v>تخليه -کيلومتر10جاده شهرضا-اصفهان -جنب امامزاده علي اکبر-کارخانه آسفالت  گلابي</v>
      </c>
      <c r="D1691" s="1">
        <v>15947</v>
      </c>
      <c r="E1691" s="1">
        <v>26480</v>
      </c>
      <c r="F1691" s="1">
        <v>96</v>
      </c>
      <c r="G1691" s="1">
        <v>1520</v>
      </c>
      <c r="H1691" s="1" t="str">
        <f>"96/09/08"</f>
        <v>96/09/08</v>
      </c>
      <c r="I1691" s="1" t="str">
        <f>"كيلوگرم"</f>
        <v>كيلوگرم</v>
      </c>
      <c r="J1691" s="1" t="str">
        <f>"1000000003"</f>
        <v>1000000003</v>
      </c>
      <c r="K1691" s="1" t="str">
        <f>"قير MC250"</f>
        <v>قير MC250</v>
      </c>
      <c r="L1691" s="1">
        <v>100</v>
      </c>
      <c r="M1691" s="1" t="str">
        <f>"مخازن قير اصفهان"</f>
        <v>مخازن قير اصفهان</v>
      </c>
      <c r="N1691" s="1">
        <v>10271</v>
      </c>
      <c r="O1691" s="1">
        <v>50037334</v>
      </c>
      <c r="P1691" s="1" t="str">
        <f>"  آرياگسترشهرضا"</f>
        <v xml:space="preserve">  آرياگسترشهرضا</v>
      </c>
      <c r="Q1691" s="1">
        <v>62</v>
      </c>
      <c r="R1691" s="1" t="str">
        <f>"فروش داخلي - سازمان بنيادمسكن انقلاب اسلامي"</f>
        <v>فروش داخلي - سازمان بنيادمسكن انقلاب اسلامي</v>
      </c>
      <c r="S1691" s="1" t="str">
        <f>"قرارداد فروش"</f>
        <v>قرارداد فروش</v>
      </c>
      <c r="T1691" s="1" t="str">
        <f>"ندارد"</f>
        <v>ندارد</v>
      </c>
      <c r="U1691" s="1" t="str">
        <f>"علي عابدي ابوالقاسم(1003ج89)"</f>
        <v>علي عابدي ابوالقاسم(1003ج89)</v>
      </c>
      <c r="V1691" s="1">
        <v>966200387</v>
      </c>
      <c r="W1691" s="1">
        <v>966200387</v>
      </c>
      <c r="X1691" s="1" t="str">
        <f>"1396529174"</f>
        <v>1396529174</v>
      </c>
      <c r="Y1691" s="1" t="str">
        <f>"96/09/08"</f>
        <v>96/09/08</v>
      </c>
      <c r="Z1691" s="1" t="str">
        <f>"37292/د"</f>
        <v>37292/د</v>
      </c>
      <c r="AA1691" s="1" t="str">
        <f>"بنيادمسكن انقلاب اسلامي"</f>
        <v>بنيادمسكن انقلاب اسلامي</v>
      </c>
      <c r="AB1691" s="1" t="str">
        <f>"96/08/21"</f>
        <v>96/08/21</v>
      </c>
      <c r="AC1691" s="1" t="str">
        <f>"استان اصفهان"</f>
        <v>استان اصفهان</v>
      </c>
      <c r="AD1691" s="1" t="str">
        <f>"96/09/08"</f>
        <v>96/09/08</v>
      </c>
      <c r="AE1691" s="1" t="str">
        <f>"اختتام"</f>
        <v>اختتام</v>
      </c>
      <c r="AF1691" s="1" t="str">
        <f>""</f>
        <v/>
      </c>
      <c r="AG1691" s="1" t="str">
        <f>""</f>
        <v/>
      </c>
      <c r="AH1691" s="1" t="str">
        <f>""</f>
        <v/>
      </c>
      <c r="AI1691" s="1" t="str">
        <f>""</f>
        <v/>
      </c>
      <c r="AJ1691" s="1" t="str">
        <f>""</f>
        <v/>
      </c>
      <c r="AK1691" s="1" t="str">
        <f>""</f>
        <v/>
      </c>
    </row>
    <row r="1692" spans="1:37">
      <c r="A1692" s="1">
        <v>72301</v>
      </c>
      <c r="B1692" s="1">
        <v>962000391</v>
      </c>
      <c r="C1692" s="1" t="str">
        <f>"تخليه -چهارمحال بختياري شهركرد-شهرداري لردگان -سازمان همياري چهارمحال"</f>
        <v>تخليه -چهارمحال بختياري شهركرد-شهرداري لردگان -سازمان همياري چهارمحال</v>
      </c>
      <c r="D1692" s="1">
        <v>12820</v>
      </c>
      <c r="E1692" s="1">
        <v>72301</v>
      </c>
      <c r="F1692" s="1">
        <v>96</v>
      </c>
      <c r="G1692" s="1">
        <v>0</v>
      </c>
      <c r="H1692" s="1" t="str">
        <f>"96/09/19"</f>
        <v>96/09/19</v>
      </c>
      <c r="I1692" s="1" t="str">
        <f>"كيلوگرم"</f>
        <v>كيلوگرم</v>
      </c>
      <c r="J1692" s="1" t="str">
        <f>"1000000002"</f>
        <v>1000000002</v>
      </c>
      <c r="K1692" s="1" t="str">
        <f>"قير 85/100 - فله"</f>
        <v>قير 85/100 - فله</v>
      </c>
      <c r="L1692" s="1">
        <v>100</v>
      </c>
      <c r="M1692" s="1" t="str">
        <f>"مخازن قير اصفهان"</f>
        <v>مخازن قير اصفهان</v>
      </c>
      <c r="N1692" s="1">
        <v>9743</v>
      </c>
      <c r="O1692" s="1">
        <v>50037688</v>
      </c>
      <c r="P1692" s="1" t="str">
        <f>"  شهرداري لردگان"</f>
        <v xml:space="preserve">  شهرداري لردگان</v>
      </c>
      <c r="Q1692" s="1">
        <v>20</v>
      </c>
      <c r="R1692" s="1" t="str">
        <f>"فروش داخلي - سازمان شهرداري ها و دهياري هاي كشور"</f>
        <v>فروش داخلي - سازمان شهرداري ها و دهياري هاي كشور</v>
      </c>
      <c r="S1692" s="1" t="str">
        <f>"قرارداد فروش"</f>
        <v>قرارداد فروش</v>
      </c>
      <c r="T1692" s="1" t="str">
        <f>"ندارد"</f>
        <v>ندارد</v>
      </c>
      <c r="U1692" s="1" t="str">
        <f>"تعاوني جم گستر (1001 ج 89)"</f>
        <v>تعاوني جم گستر (1001 ج 89)</v>
      </c>
      <c r="V1692" s="1">
        <v>962000391</v>
      </c>
      <c r="W1692" s="1">
        <v>962000391</v>
      </c>
      <c r="X1692" s="1" t="str">
        <f>"1396529715"</f>
        <v>1396529715</v>
      </c>
      <c r="Y1692" s="1" t="str">
        <f>"96/09/19"</f>
        <v>96/09/19</v>
      </c>
      <c r="Z1692" s="1" t="str">
        <f>"38508مرحله دوم"</f>
        <v>38508مرحله دوم</v>
      </c>
      <c r="AA1692" s="1" t="str">
        <f>"شهرداريها"</f>
        <v>شهرداريها</v>
      </c>
      <c r="AB1692" s="1" t="str">
        <f>"96/09/11"</f>
        <v>96/09/11</v>
      </c>
      <c r="AC1692" s="1" t="str">
        <f>"استان چهارمحال بختياري"</f>
        <v>استان چهارمحال بختياري</v>
      </c>
      <c r="AD1692" s="1" t="str">
        <f>"96/09/13"</f>
        <v>96/09/13</v>
      </c>
      <c r="AE1692" s="1" t="str">
        <f>"اختتام"</f>
        <v>اختتام</v>
      </c>
      <c r="AF1692" s="1" t="str">
        <f>""</f>
        <v/>
      </c>
      <c r="AG1692" s="1" t="str">
        <f>""</f>
        <v/>
      </c>
      <c r="AH1692" s="1" t="str">
        <f>""</f>
        <v/>
      </c>
      <c r="AI1692" s="1" t="str">
        <f>""</f>
        <v/>
      </c>
      <c r="AJ1692" s="1" t="str">
        <f>""</f>
        <v/>
      </c>
      <c r="AK1692" s="1" t="str">
        <f>""</f>
        <v/>
      </c>
    </row>
    <row r="1693" spans="1:37">
      <c r="A1693" s="1">
        <v>31000</v>
      </c>
      <c r="B1693" s="1">
        <v>966200065</v>
      </c>
      <c r="C1693" s="1" t="str">
        <f>"تخليه-سراوان-احمدآباد-کارگاه شن و ماسه ملک محمدي"</f>
        <v>تخليه-سراوان-احمدآباد-کارگاه شن و ماسه ملک محمدي</v>
      </c>
      <c r="D1693" s="1">
        <v>12482</v>
      </c>
      <c r="E1693" s="1">
        <v>29600</v>
      </c>
      <c r="F1693" s="1">
        <v>96</v>
      </c>
      <c r="G1693" s="1">
        <v>1400</v>
      </c>
      <c r="H1693" s="1" t="str">
        <f>"96/02/13"</f>
        <v>96/02/13</v>
      </c>
      <c r="I1693" s="1" t="str">
        <f>"كيلوگرم"</f>
        <v>كيلوگرم</v>
      </c>
      <c r="J1693" s="1" t="str">
        <f>"1000000003"</f>
        <v>1000000003</v>
      </c>
      <c r="K1693" s="1" t="str">
        <f>"قير MC250"</f>
        <v>قير MC250</v>
      </c>
      <c r="L1693" s="1">
        <v>100</v>
      </c>
      <c r="M1693" s="1" t="str">
        <f>"مخازن قير اصفهان"</f>
        <v>مخازن قير اصفهان</v>
      </c>
      <c r="N1693" s="1">
        <v>11070</v>
      </c>
      <c r="O1693" s="1">
        <v>50034762</v>
      </c>
      <c r="P1693" s="1" t="str">
        <f>"  شايان نقشه جنوب"</f>
        <v xml:space="preserve">  شايان نقشه جنوب</v>
      </c>
      <c r="Q1693" s="1">
        <v>62</v>
      </c>
      <c r="R1693" s="1" t="str">
        <f>"فروش داخلي - سازمان بنيادمسكن انقلاب اسلامي"</f>
        <v>فروش داخلي - سازمان بنيادمسكن انقلاب اسلامي</v>
      </c>
      <c r="S1693" s="1" t="str">
        <f>"قرارداد فروش"</f>
        <v>قرارداد فروش</v>
      </c>
      <c r="T1693" s="1" t="str">
        <f>"ندارد"</f>
        <v>ندارد</v>
      </c>
      <c r="U1693" s="1" t="str">
        <f>"تاج سعيد هوشنگ (1031ج 89)"</f>
        <v>تاج سعيد هوشنگ (1031ج 89)</v>
      </c>
      <c r="V1693" s="1">
        <v>966200065</v>
      </c>
      <c r="W1693" s="1">
        <v>966200065</v>
      </c>
      <c r="X1693" s="1" t="str">
        <f>"1396478793"</f>
        <v>1396478793</v>
      </c>
      <c r="Y1693" s="1" t="str">
        <f>"96/02/13"</f>
        <v>96/02/13</v>
      </c>
      <c r="Z1693" s="1" t="str">
        <f>"4815/د"</f>
        <v>4815/د</v>
      </c>
      <c r="AA1693" s="1" t="str">
        <f>"بنيادمسكن انقلاب اسلامي"</f>
        <v>بنيادمسكن انقلاب اسلامي</v>
      </c>
      <c r="AB1693" s="1" t="str">
        <f>"96/02/12"</f>
        <v>96/02/12</v>
      </c>
      <c r="AC1693" s="1" t="str">
        <f>"استان سيستان بلوچستان"</f>
        <v>استان سيستان بلوچستان</v>
      </c>
      <c r="AD1693" s="1" t="str">
        <f>"96/02/13"</f>
        <v>96/02/13</v>
      </c>
      <c r="AE1693" s="1" t="str">
        <f>"اختتام"</f>
        <v>اختتام</v>
      </c>
      <c r="AF1693" s="1" t="str">
        <f>""</f>
        <v/>
      </c>
      <c r="AG1693" s="1" t="str">
        <f>""</f>
        <v/>
      </c>
      <c r="AH1693" s="1" t="str">
        <f>""</f>
        <v/>
      </c>
      <c r="AI1693" s="1" t="str">
        <f>""</f>
        <v/>
      </c>
      <c r="AJ1693" s="1" t="str">
        <f>""</f>
        <v/>
      </c>
      <c r="AK1693" s="1" t="str">
        <f>""</f>
        <v/>
      </c>
    </row>
    <row r="1694" spans="1:37">
      <c r="A1694" s="1">
        <v>50000</v>
      </c>
      <c r="B1694" s="1">
        <v>961100037</v>
      </c>
      <c r="C1694" s="1" t="str">
        <f>"تخليه -زنجان كيلومتر9جاده فرودگاه كارخانه آسفالت سارمساقلو"</f>
        <v>تخليه -زنجان كيلومتر9جاده فرودگاه كارخانه آسفالت سارمساقلو</v>
      </c>
      <c r="D1694" s="1">
        <v>12222</v>
      </c>
      <c r="E1694" s="1">
        <v>45360</v>
      </c>
      <c r="F1694" s="1">
        <v>96</v>
      </c>
      <c r="G1694" s="1">
        <v>4640</v>
      </c>
      <c r="H1694" s="1" t="str">
        <f>"96/04/18"</f>
        <v>96/04/18</v>
      </c>
      <c r="I1694" s="1" t="str">
        <f>"كيلوگرم"</f>
        <v>كيلوگرم</v>
      </c>
      <c r="J1694" s="1" t="str">
        <f>"1000000003"</f>
        <v>1000000003</v>
      </c>
      <c r="K1694" s="1" t="str">
        <f>"قير MC250"</f>
        <v>قير MC250</v>
      </c>
      <c r="L1694" s="1">
        <v>100</v>
      </c>
      <c r="M1694" s="1" t="str">
        <f>"مخازن قير اصفهان"</f>
        <v>مخازن قير اصفهان</v>
      </c>
      <c r="N1694" s="1">
        <v>11096</v>
      </c>
      <c r="O1694" s="1">
        <v>50035148</v>
      </c>
      <c r="P1694" s="1" t="str">
        <f>"  شهرداري زنجان"</f>
        <v xml:space="preserve">  شهرداري زنجان</v>
      </c>
      <c r="Q1694" s="1">
        <v>11</v>
      </c>
      <c r="R1694" s="1" t="str">
        <f>"فروش داخلي تهران - بورس"</f>
        <v>فروش داخلي تهران - بورس</v>
      </c>
      <c r="S1694" s="1" t="str">
        <f>"قرارداد فروش"</f>
        <v>قرارداد فروش</v>
      </c>
      <c r="T1694" s="1" t="str">
        <f>"ندارد"</f>
        <v>ندارد</v>
      </c>
      <c r="U1694" s="1" t="str">
        <f>"فتاح زاده سيداحمد(3843011)"</f>
        <v>فتاح زاده سيداحمد(3843011)</v>
      </c>
      <c r="V1694" s="1">
        <v>961100037</v>
      </c>
      <c r="W1694" s="1">
        <v>961100037</v>
      </c>
      <c r="X1694" s="1" t="str">
        <f>"1396494670"</f>
        <v>1396494670</v>
      </c>
      <c r="Y1694" s="1" t="str">
        <f>"96/04/18"</f>
        <v>96/04/18</v>
      </c>
      <c r="Z1694" s="1" t="str">
        <f>"96/2/14336ص"</f>
        <v>96/2/14336ص</v>
      </c>
      <c r="AA1694" s="1" t="str">
        <f>"شهرداريها"</f>
        <v>شهرداريها</v>
      </c>
      <c r="AB1694" s="1" t="str">
        <f>"96/04/13"</f>
        <v>96/04/13</v>
      </c>
      <c r="AC1694" s="1" t="str">
        <f>"استان زنجان"</f>
        <v>استان زنجان</v>
      </c>
      <c r="AD1694" s="1" t="str">
        <f>"96/04/18"</f>
        <v>96/04/18</v>
      </c>
      <c r="AE1694" s="1" t="str">
        <f>"اختتام"</f>
        <v>اختتام</v>
      </c>
      <c r="AF1694" s="1" t="str">
        <f>""</f>
        <v/>
      </c>
      <c r="AG1694" s="1" t="str">
        <f>""</f>
        <v/>
      </c>
      <c r="AH1694" s="1" t="str">
        <f>""</f>
        <v/>
      </c>
      <c r="AI1694" s="1" t="str">
        <f>""</f>
        <v/>
      </c>
      <c r="AJ1694" s="1" t="str">
        <f>""</f>
        <v/>
      </c>
      <c r="AK1694" s="1" t="str">
        <f>""</f>
        <v/>
      </c>
    </row>
    <row r="1695" spans="1:37">
      <c r="A1695" s="1">
        <v>30000</v>
      </c>
      <c r="B1695" s="1">
        <v>966200385</v>
      </c>
      <c r="C1695" s="1" t="str">
        <f>"تخليه - اصفهان-6/5 کيلومتري جنوب جاده اصفهان نايين-امتداد جاده به سمت کشتارگاه روستاي فساران"</f>
        <v>تخليه - اصفهان-6/5 کيلومتري جنوب جاده اصفهان نايين-امتداد جاده به سمت کشتارگاه روستاي فساران</v>
      </c>
      <c r="D1695" s="1">
        <v>15947</v>
      </c>
      <c r="E1695" s="1">
        <v>29180</v>
      </c>
      <c r="F1695" s="1">
        <v>96</v>
      </c>
      <c r="G1695" s="1">
        <v>820</v>
      </c>
      <c r="H1695" s="1" t="str">
        <f>"96/09/08"</f>
        <v>96/09/08</v>
      </c>
      <c r="I1695" s="1" t="str">
        <f>"كيلوگرم"</f>
        <v>كيلوگرم</v>
      </c>
      <c r="J1695" s="1" t="str">
        <f>"1000000003"</f>
        <v>1000000003</v>
      </c>
      <c r="K1695" s="1" t="str">
        <f>"قير MC250"</f>
        <v>قير MC250</v>
      </c>
      <c r="L1695" s="1">
        <v>100</v>
      </c>
      <c r="M1695" s="1" t="str">
        <f>"مخازن قير اصفهان"</f>
        <v>مخازن قير اصفهان</v>
      </c>
      <c r="N1695" s="1">
        <v>11236</v>
      </c>
      <c r="O1695" s="1">
        <v>50037330</v>
      </c>
      <c r="P1695" s="1" t="str">
        <f>"  ستايش گستر زنده رود"</f>
        <v xml:space="preserve">  ستايش گستر زنده رود</v>
      </c>
      <c r="Q1695" s="1">
        <v>62</v>
      </c>
      <c r="R1695" s="1" t="str">
        <f>"فروش داخلي - سازمان بنيادمسكن انقلاب اسلامي"</f>
        <v>فروش داخلي - سازمان بنيادمسكن انقلاب اسلامي</v>
      </c>
      <c r="S1695" s="1" t="str">
        <f>"قرارداد فروش"</f>
        <v>قرارداد فروش</v>
      </c>
      <c r="T1695" s="1" t="str">
        <f>"ندارد"</f>
        <v>ندارد</v>
      </c>
      <c r="U1695" s="1" t="str">
        <f>"قره باغي مجيد(1871065)"</f>
        <v>قره باغي مجيد(1871065)</v>
      </c>
      <c r="V1695" s="1">
        <v>966200385</v>
      </c>
      <c r="W1695" s="1">
        <v>966200385</v>
      </c>
      <c r="X1695" s="1" t="str">
        <f>"1396529174"</f>
        <v>1396529174</v>
      </c>
      <c r="Y1695" s="1" t="str">
        <f>"96/09/08"</f>
        <v>96/09/08</v>
      </c>
      <c r="Z1695" s="1" t="str">
        <f>"37341/د"</f>
        <v>37341/د</v>
      </c>
      <c r="AA1695" s="1" t="str">
        <f>"بنيادمسكن انقلاب اسلامي"</f>
        <v>بنيادمسكن انقلاب اسلامي</v>
      </c>
      <c r="AB1695" s="1" t="str">
        <f>"96/08/21"</f>
        <v>96/08/21</v>
      </c>
      <c r="AC1695" s="1" t="str">
        <f>"استان اصفهان"</f>
        <v>استان اصفهان</v>
      </c>
      <c r="AD1695" s="1" t="str">
        <f>"96/09/08"</f>
        <v>96/09/08</v>
      </c>
      <c r="AE1695" s="1" t="str">
        <f>"اختتام"</f>
        <v>اختتام</v>
      </c>
      <c r="AF1695" s="1" t="str">
        <f>""</f>
        <v/>
      </c>
      <c r="AG1695" s="1" t="str">
        <f>""</f>
        <v/>
      </c>
      <c r="AH1695" s="1" t="str">
        <f>""</f>
        <v/>
      </c>
      <c r="AI1695" s="1" t="str">
        <f>""</f>
        <v/>
      </c>
      <c r="AJ1695" s="1" t="str">
        <f>""</f>
        <v/>
      </c>
      <c r="AK1695" s="1" t="str">
        <f>""</f>
        <v/>
      </c>
    </row>
    <row r="1696" spans="1:37">
      <c r="A1696" s="1">
        <v>21000</v>
      </c>
      <c r="B1696" s="1">
        <v>966200043</v>
      </c>
      <c r="C1696" s="1" t="str">
        <f>"تخليه - بندرعباس-منطقه ايسين-جنب روستاي درگير -شرکت آسفالت چاوش"</f>
        <v>تخليه - بندرعباس-منطقه ايسين-جنب روستاي درگير -شرکت آسفالت چاوش</v>
      </c>
      <c r="D1696" s="1">
        <v>12482</v>
      </c>
      <c r="E1696" s="1">
        <v>16420</v>
      </c>
      <c r="F1696" s="1">
        <v>96</v>
      </c>
      <c r="G1696" s="1">
        <v>4580</v>
      </c>
      <c r="H1696" s="1" t="str">
        <f>"96/02/06"</f>
        <v>96/02/06</v>
      </c>
      <c r="I1696" s="1" t="str">
        <f>"كيلوگرم"</f>
        <v>كيلوگرم</v>
      </c>
      <c r="J1696" s="1" t="str">
        <f>"1000000003"</f>
        <v>1000000003</v>
      </c>
      <c r="K1696" s="1" t="str">
        <f>"قير MC250"</f>
        <v>قير MC250</v>
      </c>
      <c r="L1696" s="1">
        <v>100</v>
      </c>
      <c r="M1696" s="1" t="str">
        <f>"مخازن قير اصفهان"</f>
        <v>مخازن قير اصفهان</v>
      </c>
      <c r="N1696" s="1">
        <v>11339</v>
      </c>
      <c r="O1696" s="1">
        <v>50034688</v>
      </c>
      <c r="P1696" s="1" t="str">
        <f>"  آسفالت هرمزگان"</f>
        <v xml:space="preserve">  آسفالت هرمزگان</v>
      </c>
      <c r="Q1696" s="1">
        <v>62</v>
      </c>
      <c r="R1696" s="1" t="str">
        <f>"فروش داخلي - سازمان بنيادمسكن انقلاب اسلامي"</f>
        <v>فروش داخلي - سازمان بنيادمسكن انقلاب اسلامي</v>
      </c>
      <c r="S1696" s="1" t="str">
        <f>"قرارداد فروش"</f>
        <v>قرارداد فروش</v>
      </c>
      <c r="T1696" s="1" t="str">
        <f>"ندارد"</f>
        <v>ندارد</v>
      </c>
      <c r="U1696" s="1" t="str">
        <f>"دشت بشي پودنگ وبرادران رضا(4844014)"</f>
        <v>دشت بشي پودنگ وبرادران رضا(4844014)</v>
      </c>
      <c r="V1696" s="1">
        <v>966200043</v>
      </c>
      <c r="W1696" s="1">
        <v>966200043</v>
      </c>
      <c r="X1696" s="1" t="str">
        <f>"1396477335"</f>
        <v>1396477335</v>
      </c>
      <c r="Y1696" s="1" t="str">
        <f>"96/02/06"</f>
        <v>96/02/06</v>
      </c>
      <c r="Z1696" s="1" t="str">
        <f>"3302/د"</f>
        <v>3302/د</v>
      </c>
      <c r="AA1696" s="1" t="str">
        <f>"بنيادمسكن انقلاب اسلامي"</f>
        <v>بنيادمسكن انقلاب اسلامي</v>
      </c>
      <c r="AB1696" s="1" t="str">
        <f>"96/02/03"</f>
        <v>96/02/03</v>
      </c>
      <c r="AC1696" s="1" t="str">
        <f>"استان هرمزگان"</f>
        <v>استان هرمزگان</v>
      </c>
      <c r="AD1696" s="1" t="str">
        <f>"96/02/06"</f>
        <v>96/02/06</v>
      </c>
      <c r="AE1696" s="1" t="str">
        <f>"اختتام"</f>
        <v>اختتام</v>
      </c>
      <c r="AF1696" s="1" t="str">
        <f>""</f>
        <v/>
      </c>
      <c r="AG1696" s="1" t="str">
        <f>""</f>
        <v/>
      </c>
      <c r="AH1696" s="1" t="str">
        <f>""</f>
        <v/>
      </c>
      <c r="AI1696" s="1" t="str">
        <f>""</f>
        <v/>
      </c>
      <c r="AJ1696" s="1" t="str">
        <f>""</f>
        <v/>
      </c>
      <c r="AK1696" s="1" t="str">
        <f>""</f>
        <v/>
      </c>
    </row>
    <row r="1697" spans="1:37">
      <c r="A1697" s="1">
        <v>103000</v>
      </c>
      <c r="B1697" s="1">
        <v>966200494</v>
      </c>
      <c r="C1697" s="1" t="str">
        <f>"تخليه - سيستان و بلوچستان-سرباز-روستاي جکيگور"</f>
        <v>تخليه - سيستان و بلوچستان-سرباز-روستاي جکيگور</v>
      </c>
      <c r="D1697" s="1">
        <v>15977</v>
      </c>
      <c r="E1697" s="1">
        <v>102740</v>
      </c>
      <c r="F1697" s="1">
        <v>96</v>
      </c>
      <c r="G1697" s="1">
        <v>260</v>
      </c>
      <c r="H1697" s="1" t="str">
        <f>"96/10/06"</f>
        <v>96/10/06</v>
      </c>
      <c r="I1697" s="1" t="str">
        <f>"كيلوگرم"</f>
        <v>كيلوگرم</v>
      </c>
      <c r="J1697" s="1" t="str">
        <f>"1000000003"</f>
        <v>1000000003</v>
      </c>
      <c r="K1697" s="1" t="str">
        <f>"قير MC250"</f>
        <v>قير MC250</v>
      </c>
      <c r="L1697" s="1">
        <v>100</v>
      </c>
      <c r="M1697" s="1" t="str">
        <f>"مخازن قير اصفهان"</f>
        <v>مخازن قير اصفهان</v>
      </c>
      <c r="N1697" s="1">
        <v>11393</v>
      </c>
      <c r="O1697" s="1">
        <v>50037986</v>
      </c>
      <c r="P1697" s="1" t="str">
        <f>"  پيام گوي سرحد"</f>
        <v xml:space="preserve">  پيام گوي سرحد</v>
      </c>
      <c r="Q1697" s="1">
        <v>62</v>
      </c>
      <c r="R1697" s="1" t="str">
        <f>"فروش داخلي - سازمان بنيادمسكن انقلاب اسلامي"</f>
        <v>فروش داخلي - سازمان بنيادمسكن انقلاب اسلامي</v>
      </c>
      <c r="S1697" s="1" t="str">
        <f>"قرارداد فروش"</f>
        <v>قرارداد فروش</v>
      </c>
      <c r="T1697" s="1" t="str">
        <f>"ندارد"</f>
        <v>ندارد</v>
      </c>
      <c r="U1697" s="1" t="str">
        <f>"تاج سعيد هوشنگ (1031ج 89)"</f>
        <v>تاج سعيد هوشنگ (1031ج 89)</v>
      </c>
      <c r="V1697" s="1">
        <v>966200494</v>
      </c>
      <c r="W1697" s="1">
        <v>966200494</v>
      </c>
      <c r="X1697" s="1" t="str">
        <f>"1396535784"</f>
        <v>1396535784</v>
      </c>
      <c r="Y1697" s="1" t="str">
        <f>"96/10/06"</f>
        <v>96/10/06</v>
      </c>
      <c r="Z1697" s="1" t="str">
        <f>"43945/د"</f>
        <v>43945/د</v>
      </c>
      <c r="AA1697" s="1" t="str">
        <f>"بنيادمسكن انقلاب اسلامي"</f>
        <v>بنيادمسكن انقلاب اسلامي</v>
      </c>
      <c r="AB1697" s="1" t="str">
        <f>"96/10/04"</f>
        <v>96/10/04</v>
      </c>
      <c r="AC1697" s="1" t="str">
        <f>"استان سيستان بلوچستان"</f>
        <v>استان سيستان بلوچستان</v>
      </c>
      <c r="AD1697" s="1" t="str">
        <f>"96/10/06"</f>
        <v>96/10/06</v>
      </c>
      <c r="AE1697" s="1" t="str">
        <f>"اختتام"</f>
        <v>اختتام</v>
      </c>
      <c r="AF1697" s="1" t="str">
        <f>""</f>
        <v/>
      </c>
      <c r="AG1697" s="1" t="str">
        <f>""</f>
        <v/>
      </c>
      <c r="AH1697" s="1" t="str">
        <f>""</f>
        <v/>
      </c>
      <c r="AI1697" s="1" t="str">
        <f>""</f>
        <v/>
      </c>
      <c r="AJ1697" s="1" t="str">
        <f>""</f>
        <v/>
      </c>
      <c r="AK1697" s="1" t="str">
        <f>""</f>
        <v/>
      </c>
    </row>
    <row r="1698" spans="1:37">
      <c r="A1698" s="1">
        <v>113000</v>
      </c>
      <c r="B1698" s="1">
        <v>966200235</v>
      </c>
      <c r="C1698" s="1" t="str">
        <f>"تخليه - خراسان جنوبي - بيرجند-کيلومتر 5 جاده خوسف - جنب کوير تاير-کارخانمه آسفالت شرکت مسيرياب بيرجند"</f>
        <v>تخليه - خراسان جنوبي - بيرجند-کيلومتر 5 جاده خوسف - جنب کوير تاير-کارخانمه آسفالت شرکت مسيرياب بيرجند</v>
      </c>
      <c r="D1698" s="1">
        <v>12370</v>
      </c>
      <c r="E1698" s="1">
        <v>109740</v>
      </c>
      <c r="F1698" s="1">
        <v>96</v>
      </c>
      <c r="G1698" s="1">
        <v>3260</v>
      </c>
      <c r="H1698" s="1" t="str">
        <f>"96/06/21"</f>
        <v>96/06/21</v>
      </c>
      <c r="I1698" s="1" t="str">
        <f>"كيلوگرم"</f>
        <v>كيلوگرم</v>
      </c>
      <c r="J1698" s="1" t="str">
        <f>"1000000003"</f>
        <v>1000000003</v>
      </c>
      <c r="K1698" s="1" t="str">
        <f>"قير MC250"</f>
        <v>قير MC250</v>
      </c>
      <c r="L1698" s="1">
        <v>100</v>
      </c>
      <c r="M1698" s="1" t="str">
        <f>"مخازن قير اصفهان"</f>
        <v>مخازن قير اصفهان</v>
      </c>
      <c r="N1698" s="1">
        <v>11402</v>
      </c>
      <c r="O1698" s="1">
        <v>50035993</v>
      </c>
      <c r="P1698" s="1" t="str">
        <f>"  تعاوني دهياريهاي بخش مرکزي بيرجند"</f>
        <v xml:space="preserve">  تعاوني دهياريهاي بخش مرکزي بيرجند</v>
      </c>
      <c r="Q1698" s="1">
        <v>62</v>
      </c>
      <c r="R1698" s="1" t="str">
        <f>"فروش داخلي - سازمان بنيادمسكن انقلاب اسلامي"</f>
        <v>فروش داخلي - سازمان بنيادمسكن انقلاب اسلامي</v>
      </c>
      <c r="S1698" s="1" t="str">
        <f>"قرارداد فروش"</f>
        <v>قرارداد فروش</v>
      </c>
      <c r="T1698" s="1" t="str">
        <f>"ندارد"</f>
        <v>ندارد</v>
      </c>
      <c r="U1698" s="1" t="str">
        <f>"كاردان اسپادان راه مصطفي  (1911100)"</f>
        <v>كاردان اسپادان راه مصطفي  (1911100)</v>
      </c>
      <c r="V1698" s="1">
        <v>966200235</v>
      </c>
      <c r="W1698" s="1">
        <v>966200235</v>
      </c>
      <c r="X1698" s="1" t="str">
        <f>"1396511621"</f>
        <v>1396511621</v>
      </c>
      <c r="Y1698" s="1" t="str">
        <f>"96/06/21"</f>
        <v>96/06/21</v>
      </c>
      <c r="Z1698" s="1" t="str">
        <f>"26382/د"</f>
        <v>26382/د</v>
      </c>
      <c r="AA1698" s="1" t="str">
        <f>"بنيادمسكن انقلاب اسلامي"</f>
        <v>بنيادمسكن انقلاب اسلامي</v>
      </c>
      <c r="AB1698" s="1" t="str">
        <f>"96/06/15"</f>
        <v>96/06/15</v>
      </c>
      <c r="AC1698" s="1" t="str">
        <f>"خراسان جنوبي"</f>
        <v>خراسان جنوبي</v>
      </c>
      <c r="AD1698" s="1" t="str">
        <f>"96/06/21"</f>
        <v>96/06/21</v>
      </c>
      <c r="AE1698" s="1" t="str">
        <f>"اختتام"</f>
        <v>اختتام</v>
      </c>
      <c r="AF1698" s="1" t="str">
        <f>""</f>
        <v/>
      </c>
      <c r="AG1698" s="1" t="str">
        <f>""</f>
        <v/>
      </c>
      <c r="AH1698" s="1" t="str">
        <f>""</f>
        <v/>
      </c>
      <c r="AI1698" s="1" t="str">
        <f>""</f>
        <v/>
      </c>
      <c r="AJ1698" s="1" t="str">
        <f>""</f>
        <v/>
      </c>
      <c r="AK1698" s="1" t="str">
        <f>""</f>
        <v/>
      </c>
    </row>
    <row r="1699" spans="1:37">
      <c r="A1699" s="1">
        <v>49741</v>
      </c>
      <c r="B1699" s="1">
        <v>962000377</v>
      </c>
      <c r="C1699" s="1" t="str">
        <f>"تخليه چهارمحال وبختياري شهرگوجان كارخانه آسفالت رضايي"</f>
        <v>تخليه چهارمحال وبختياري شهرگوجان كارخانه آسفالت رضايي</v>
      </c>
      <c r="D1699" s="1">
        <v>12820</v>
      </c>
      <c r="E1699" s="1">
        <v>49741</v>
      </c>
      <c r="F1699" s="1">
        <v>96</v>
      </c>
      <c r="G1699" s="1">
        <v>0</v>
      </c>
      <c r="H1699" s="1" t="str">
        <f>"96/09/19"</f>
        <v>96/09/19</v>
      </c>
      <c r="I1699" s="1" t="str">
        <f>"كيلوگرم"</f>
        <v>كيلوگرم</v>
      </c>
      <c r="J1699" s="1" t="str">
        <f>"1000000002"</f>
        <v>1000000002</v>
      </c>
      <c r="K1699" s="1" t="str">
        <f>"قير 85/100 - فله"</f>
        <v>قير 85/100 - فله</v>
      </c>
      <c r="L1699" s="1">
        <v>100</v>
      </c>
      <c r="M1699" s="1" t="str">
        <f>"مخازن قير اصفهان"</f>
        <v>مخازن قير اصفهان</v>
      </c>
      <c r="N1699" s="1">
        <v>10744</v>
      </c>
      <c r="O1699" s="1">
        <v>50037674</v>
      </c>
      <c r="P1699" s="1" t="str">
        <f>"  شهرداري پردنجان"</f>
        <v xml:space="preserve">  شهرداري پردنجان</v>
      </c>
      <c r="Q1699" s="1">
        <v>20</v>
      </c>
      <c r="R1699" s="1" t="str">
        <f>"فروش داخلي - سازمان شهرداري ها و دهياري هاي كشور"</f>
        <v>فروش داخلي - سازمان شهرداري ها و دهياري هاي كشور</v>
      </c>
      <c r="S1699" s="1" t="str">
        <f>"قرارداد فروش"</f>
        <v>قرارداد فروش</v>
      </c>
      <c r="T1699" s="1" t="str">
        <f>"ندارد"</f>
        <v>ندارد</v>
      </c>
      <c r="U1699" s="1" t="str">
        <f>"تعاوني جم گستر (1001 ج 89)"</f>
        <v>تعاوني جم گستر (1001 ج 89)</v>
      </c>
      <c r="V1699" s="1">
        <v>962000377</v>
      </c>
      <c r="W1699" s="1">
        <v>962000377</v>
      </c>
      <c r="X1699" s="1" t="str">
        <f>"1396529715"</f>
        <v>1396529715</v>
      </c>
      <c r="Y1699" s="1" t="str">
        <f>"96/09/19"</f>
        <v>96/09/19</v>
      </c>
      <c r="Z1699" s="1" t="str">
        <f>"38535مرحله دوم"</f>
        <v>38535مرحله دوم</v>
      </c>
      <c r="AA1699" s="1" t="str">
        <f>"شهرداريها"</f>
        <v>شهرداريها</v>
      </c>
      <c r="AB1699" s="1" t="str">
        <f>"96/09/11"</f>
        <v>96/09/11</v>
      </c>
      <c r="AC1699" s="1" t="str">
        <f>"استان چهارمحال بختياري"</f>
        <v>استان چهارمحال بختياري</v>
      </c>
      <c r="AD1699" s="1" t="str">
        <f>"96/09/13"</f>
        <v>96/09/13</v>
      </c>
      <c r="AE1699" s="1" t="str">
        <f>"اختتام"</f>
        <v>اختتام</v>
      </c>
      <c r="AF1699" s="1" t="str">
        <f>""</f>
        <v/>
      </c>
      <c r="AG1699" s="1" t="str">
        <f>""</f>
        <v/>
      </c>
      <c r="AH1699" s="1" t="str">
        <f>""</f>
        <v/>
      </c>
      <c r="AI1699" s="1" t="str">
        <f>""</f>
        <v/>
      </c>
      <c r="AJ1699" s="1" t="str">
        <f>""</f>
        <v/>
      </c>
      <c r="AK1699" s="1" t="str">
        <f>""</f>
        <v/>
      </c>
    </row>
    <row r="1700" spans="1:37">
      <c r="A1700" s="1">
        <v>43673</v>
      </c>
      <c r="B1700" s="1">
        <v>962000361</v>
      </c>
      <c r="C1700" s="1" t="str">
        <f>"تخليه - چهارمحال و بختياري-محورمبارکه -بروجن بعداز شرکت مجلسي-شرکت تک شن"</f>
        <v>تخليه - چهارمحال و بختياري-محورمبارکه -بروجن بعداز شرکت مجلسي-شرکت تک شن</v>
      </c>
      <c r="D1700" s="1">
        <v>12820</v>
      </c>
      <c r="E1700" s="1">
        <v>43673</v>
      </c>
      <c r="F1700" s="1">
        <v>96</v>
      </c>
      <c r="G1700" s="1">
        <v>0</v>
      </c>
      <c r="H1700" s="1" t="str">
        <f>"96/09/19"</f>
        <v>96/09/19</v>
      </c>
      <c r="I1700" s="1" t="str">
        <f>"كيلوگرم"</f>
        <v>كيلوگرم</v>
      </c>
      <c r="J1700" s="1" t="str">
        <f>"1000000002"</f>
        <v>1000000002</v>
      </c>
      <c r="K1700" s="1" t="str">
        <f>"قير 85/100 - فله"</f>
        <v>قير 85/100 - فله</v>
      </c>
      <c r="L1700" s="1">
        <v>100</v>
      </c>
      <c r="M1700" s="1" t="str">
        <f>"مخازن قير اصفهان"</f>
        <v>مخازن قير اصفهان</v>
      </c>
      <c r="N1700" s="1">
        <v>10789</v>
      </c>
      <c r="O1700" s="1">
        <v>50037657</v>
      </c>
      <c r="P1700" s="1" t="str">
        <f>"  شهرداري سفيددشت"</f>
        <v xml:space="preserve">  شهرداري سفيددشت</v>
      </c>
      <c r="Q1700" s="1">
        <v>20</v>
      </c>
      <c r="R1700" s="1" t="str">
        <f>"فروش داخلي - سازمان شهرداري ها و دهياري هاي كشور"</f>
        <v>فروش داخلي - سازمان شهرداري ها و دهياري هاي كشور</v>
      </c>
      <c r="S1700" s="1" t="str">
        <f>"قرارداد فروش"</f>
        <v>قرارداد فروش</v>
      </c>
      <c r="T1700" s="1" t="str">
        <f>"ندارد"</f>
        <v>ندارد</v>
      </c>
      <c r="U1700" s="1" t="str">
        <f>"تعاوني جم گستر (1001 ج 89)"</f>
        <v>تعاوني جم گستر (1001 ج 89)</v>
      </c>
      <c r="V1700" s="1">
        <v>962000361</v>
      </c>
      <c r="W1700" s="1">
        <v>962000361</v>
      </c>
      <c r="X1700" s="1" t="str">
        <f>"1396529715"</f>
        <v>1396529715</v>
      </c>
      <c r="Y1700" s="1" t="str">
        <f>"96/09/18"</f>
        <v>96/09/18</v>
      </c>
      <c r="Z1700" s="1" t="str">
        <f>"38475مرحله دوم"</f>
        <v>38475مرحله دوم</v>
      </c>
      <c r="AA1700" s="1" t="str">
        <f>"شهرداريها"</f>
        <v>شهرداريها</v>
      </c>
      <c r="AB1700" s="1" t="str">
        <f>"96/09/11"</f>
        <v>96/09/11</v>
      </c>
      <c r="AC1700" s="1" t="str">
        <f>"استان چهارمحال بختياري"</f>
        <v>استان چهارمحال بختياري</v>
      </c>
      <c r="AD1700" s="1" t="str">
        <f>"96/09/13"</f>
        <v>96/09/13</v>
      </c>
      <c r="AE1700" s="1" t="str">
        <f>"اختتام"</f>
        <v>اختتام</v>
      </c>
      <c r="AF1700" s="1" t="str">
        <f>""</f>
        <v/>
      </c>
      <c r="AG1700" s="1" t="str">
        <f>""</f>
        <v/>
      </c>
      <c r="AH1700" s="1" t="str">
        <f>""</f>
        <v/>
      </c>
      <c r="AI1700" s="1" t="str">
        <f>""</f>
        <v/>
      </c>
      <c r="AJ1700" s="1" t="str">
        <f>""</f>
        <v/>
      </c>
      <c r="AK1700" s="1" t="str">
        <f>""</f>
        <v/>
      </c>
    </row>
    <row r="1701" spans="1:37">
      <c r="A1701" s="1">
        <v>44440</v>
      </c>
      <c r="B1701" s="1">
        <v>962000384</v>
      </c>
      <c r="C1701" s="1" t="str">
        <f>"تخليه -چهارمحال وبختياري هفشجان روستاي سيرك ونوآبادكارخانه آسفالت همياري شهرداري ها"</f>
        <v>تخليه -چهارمحال وبختياري هفشجان روستاي سيرك ونوآبادكارخانه آسفالت همياري شهرداري ها</v>
      </c>
      <c r="D1701" s="1">
        <v>12820</v>
      </c>
      <c r="E1701" s="1">
        <v>44440</v>
      </c>
      <c r="F1701" s="1">
        <v>96</v>
      </c>
      <c r="G1701" s="1">
        <v>0</v>
      </c>
      <c r="H1701" s="1" t="str">
        <f>"96/09/19"</f>
        <v>96/09/19</v>
      </c>
      <c r="I1701" s="1" t="str">
        <f>"كيلوگرم"</f>
        <v>كيلوگرم</v>
      </c>
      <c r="J1701" s="1" t="str">
        <f>"1000000002"</f>
        <v>1000000002</v>
      </c>
      <c r="K1701" s="1" t="str">
        <f>"قير 85/100 - فله"</f>
        <v>قير 85/100 - فله</v>
      </c>
      <c r="L1701" s="1">
        <v>100</v>
      </c>
      <c r="M1701" s="1" t="str">
        <f>"مخازن قير اصفهان"</f>
        <v>مخازن قير اصفهان</v>
      </c>
      <c r="N1701" s="1">
        <v>10867</v>
      </c>
      <c r="O1701" s="1">
        <v>50037681</v>
      </c>
      <c r="P1701" s="1" t="str">
        <f>"  شهرداري صمصامي"</f>
        <v xml:space="preserve">  شهرداري صمصامي</v>
      </c>
      <c r="Q1701" s="1">
        <v>20</v>
      </c>
      <c r="R1701" s="1" t="str">
        <f>"فروش داخلي - سازمان شهرداري ها و دهياري هاي كشور"</f>
        <v>فروش داخلي - سازمان شهرداري ها و دهياري هاي كشور</v>
      </c>
      <c r="S1701" s="1" t="str">
        <f>"قرارداد فروش"</f>
        <v>قرارداد فروش</v>
      </c>
      <c r="T1701" s="1" t="str">
        <f>"ندارد"</f>
        <v>ندارد</v>
      </c>
      <c r="U1701" s="1" t="str">
        <f>"تعاوني جم گستر (1001 ج 89)"</f>
        <v>تعاوني جم گستر (1001 ج 89)</v>
      </c>
      <c r="V1701" s="1">
        <v>962000384</v>
      </c>
      <c r="W1701" s="1">
        <v>962000384</v>
      </c>
      <c r="X1701" s="1" t="str">
        <f>"1396529715"</f>
        <v>1396529715</v>
      </c>
      <c r="Y1701" s="1" t="str">
        <f>"96/09/19"</f>
        <v>96/09/19</v>
      </c>
      <c r="Z1701" s="1" t="str">
        <f>"38540مرحله دوم"</f>
        <v>38540مرحله دوم</v>
      </c>
      <c r="AA1701" s="1" t="str">
        <f>"شهرداريها"</f>
        <v>شهرداريها</v>
      </c>
      <c r="AB1701" s="1" t="str">
        <f>"96/09/11"</f>
        <v>96/09/11</v>
      </c>
      <c r="AC1701" s="1" t="str">
        <f>"استان چهارمحال بختياري"</f>
        <v>استان چهارمحال بختياري</v>
      </c>
      <c r="AD1701" s="1" t="str">
        <f>"96/09/13"</f>
        <v>96/09/13</v>
      </c>
      <c r="AE1701" s="1" t="str">
        <f>"تاييدشده"</f>
        <v>تاييدشده</v>
      </c>
      <c r="AF1701" s="1" t="str">
        <f>""</f>
        <v/>
      </c>
      <c r="AG1701" s="1" t="str">
        <f>""</f>
        <v/>
      </c>
      <c r="AH1701" s="1" t="str">
        <f>""</f>
        <v/>
      </c>
      <c r="AI1701" s="1" t="str">
        <f>""</f>
        <v/>
      </c>
      <c r="AJ1701" s="1" t="str">
        <f>""</f>
        <v/>
      </c>
      <c r="AK1701" s="1" t="str">
        <f>""</f>
        <v/>
      </c>
    </row>
    <row r="1702" spans="1:37">
      <c r="A1702" s="1">
        <v>24000</v>
      </c>
      <c r="B1702" s="1">
        <v>966200336</v>
      </c>
      <c r="C1702" s="1" t="str">
        <f>"تخليه - چهارمحال و بختياري-اردل کارخانه آسفالت شرکت دشتاونددز پارت"</f>
        <v>تخليه - چهارمحال و بختياري-اردل کارخانه آسفالت شرکت دشتاونددز پارت</v>
      </c>
      <c r="D1702" s="1">
        <v>9113</v>
      </c>
      <c r="E1702" s="1">
        <v>22640</v>
      </c>
      <c r="F1702" s="1">
        <v>96</v>
      </c>
      <c r="G1702" s="1">
        <v>1360</v>
      </c>
      <c r="H1702" s="1" t="str">
        <f>"96/07/24"</f>
        <v>96/07/24</v>
      </c>
      <c r="I1702" s="1" t="str">
        <f>"كيلوگرم"</f>
        <v>كيلوگرم</v>
      </c>
      <c r="J1702" s="1" t="str">
        <f>"1000000002"</f>
        <v>1000000002</v>
      </c>
      <c r="K1702" s="1" t="str">
        <f>"قير 85/100 - فله"</f>
        <v>قير 85/100 - فله</v>
      </c>
      <c r="L1702" s="1">
        <v>100</v>
      </c>
      <c r="M1702" s="1" t="str">
        <f>"مخازن قير اصفهان"</f>
        <v>مخازن قير اصفهان</v>
      </c>
      <c r="N1702" s="1">
        <v>11127</v>
      </c>
      <c r="O1702" s="1">
        <v>50036766</v>
      </c>
      <c r="P1702" s="1" t="str">
        <f>"  عمران سازه ميلاس"</f>
        <v xml:space="preserve">  عمران سازه ميلاس</v>
      </c>
      <c r="Q1702" s="1">
        <v>62</v>
      </c>
      <c r="R1702" s="1" t="str">
        <f>"فروش داخلي - سازمان بنيادمسكن انقلاب اسلامي"</f>
        <v>فروش داخلي - سازمان بنيادمسكن انقلاب اسلامي</v>
      </c>
      <c r="S1702" s="1" t="str">
        <f>"قرارداد فروش"</f>
        <v>قرارداد فروش</v>
      </c>
      <c r="T1702" s="1" t="str">
        <f>"ندارد"</f>
        <v>ندارد</v>
      </c>
      <c r="U1702" s="1" t="str">
        <f>"قره باغي مجيد(1871065)"</f>
        <v>قره باغي مجيد(1871065)</v>
      </c>
      <c r="V1702" s="1">
        <v>966200336</v>
      </c>
      <c r="W1702" s="1">
        <v>966200336</v>
      </c>
      <c r="X1702" s="1" t="str">
        <f>"1396518904"</f>
        <v>1396518904</v>
      </c>
      <c r="Y1702" s="1" t="str">
        <f>"96/07/24"</f>
        <v>96/07/24</v>
      </c>
      <c r="Z1702" s="1" t="str">
        <f>"32880/د"</f>
        <v>32880/د</v>
      </c>
      <c r="AA1702" s="1" t="str">
        <f>"بنيادمسكن انقلاب اسلامي"</f>
        <v>بنيادمسكن انقلاب اسلامي</v>
      </c>
      <c r="AB1702" s="1" t="str">
        <f>"96/07/24"</f>
        <v>96/07/24</v>
      </c>
      <c r="AC1702" s="1" t="str">
        <f>"استان چهارمحال بختياري"</f>
        <v>استان چهارمحال بختياري</v>
      </c>
      <c r="AD1702" s="1" t="str">
        <f>"96/07/24"</f>
        <v>96/07/24</v>
      </c>
      <c r="AE1702" s="1" t="str">
        <f>"اختتام"</f>
        <v>اختتام</v>
      </c>
      <c r="AF1702" s="1" t="str">
        <f>""</f>
        <v/>
      </c>
      <c r="AG1702" s="1" t="str">
        <f>""</f>
        <v/>
      </c>
      <c r="AH1702" s="1" t="str">
        <f>""</f>
        <v/>
      </c>
      <c r="AI1702" s="1" t="str">
        <f>""</f>
        <v/>
      </c>
      <c r="AJ1702" s="1" t="str">
        <f>""</f>
        <v/>
      </c>
      <c r="AK1702" s="1" t="str">
        <f>""</f>
        <v/>
      </c>
    </row>
    <row r="1703" spans="1:37">
      <c r="A1703" s="1">
        <v>44351</v>
      </c>
      <c r="B1703" s="1">
        <v>962000373</v>
      </c>
      <c r="C1703" s="1" t="str">
        <f>"تخليه - چهارمحال-سامان-نرسيده به پليس راه -شهرک صنعتي فاز 2شرکت نسيم سامان"</f>
        <v>تخليه - چهارمحال-سامان-نرسيده به پليس راه -شهرک صنعتي فاز 2شرکت نسيم سامان</v>
      </c>
      <c r="D1703" s="1">
        <v>12820</v>
      </c>
      <c r="E1703" s="1">
        <v>44351</v>
      </c>
      <c r="F1703" s="1">
        <v>96</v>
      </c>
      <c r="G1703" s="1">
        <v>0</v>
      </c>
      <c r="H1703" s="1" t="str">
        <f>"96/09/19"</f>
        <v>96/09/19</v>
      </c>
      <c r="I1703" s="1" t="str">
        <f>"كيلوگرم"</f>
        <v>كيلوگرم</v>
      </c>
      <c r="J1703" s="1" t="str">
        <f>"1000000002"</f>
        <v>1000000002</v>
      </c>
      <c r="K1703" s="1" t="str">
        <f>"قير 85/100 - فله"</f>
        <v>قير 85/100 - فله</v>
      </c>
      <c r="L1703" s="1">
        <v>100</v>
      </c>
      <c r="M1703" s="1" t="str">
        <f>"مخازن قير اصفهان"</f>
        <v>مخازن قير اصفهان</v>
      </c>
      <c r="N1703" s="1">
        <v>11151</v>
      </c>
      <c r="O1703" s="1">
        <v>50037670</v>
      </c>
      <c r="P1703" s="1" t="str">
        <f>"  شهرداري وردنجان"</f>
        <v xml:space="preserve">  شهرداري وردنجان</v>
      </c>
      <c r="Q1703" s="1">
        <v>20</v>
      </c>
      <c r="R1703" s="1" t="str">
        <f>"فروش داخلي - سازمان شهرداري ها و دهياري هاي كشور"</f>
        <v>فروش داخلي - سازمان شهرداري ها و دهياري هاي كشور</v>
      </c>
      <c r="S1703" s="1" t="str">
        <f>"قرارداد فروش"</f>
        <v>قرارداد فروش</v>
      </c>
      <c r="T1703" s="1" t="str">
        <f>"ندارد"</f>
        <v>ندارد</v>
      </c>
      <c r="U1703" s="1" t="str">
        <f>"تعاوني جم گستر (1001 ج 89)"</f>
        <v>تعاوني جم گستر (1001 ج 89)</v>
      </c>
      <c r="V1703" s="1">
        <v>962000373</v>
      </c>
      <c r="W1703" s="1">
        <v>962000373</v>
      </c>
      <c r="X1703" s="1" t="str">
        <f>"1396529715"</f>
        <v>1396529715</v>
      </c>
      <c r="Y1703" s="1" t="str">
        <f>"96/09/19"</f>
        <v>96/09/19</v>
      </c>
      <c r="Z1703" s="1" t="str">
        <f>"38501مرحله دوم"</f>
        <v>38501مرحله دوم</v>
      </c>
      <c r="AA1703" s="1" t="str">
        <f>"شهرداريها"</f>
        <v>شهرداريها</v>
      </c>
      <c r="AB1703" s="1" t="str">
        <f>"96/09/11"</f>
        <v>96/09/11</v>
      </c>
      <c r="AC1703" s="1" t="str">
        <f>"استان چهارمحال بختياري"</f>
        <v>استان چهارمحال بختياري</v>
      </c>
      <c r="AD1703" s="1" t="str">
        <f>"96/09/13"</f>
        <v>96/09/13</v>
      </c>
      <c r="AE1703" s="1" t="str">
        <f>"اختتام"</f>
        <v>اختتام</v>
      </c>
      <c r="AF1703" s="1" t="str">
        <f>""</f>
        <v/>
      </c>
      <c r="AG1703" s="1" t="str">
        <f>""</f>
        <v/>
      </c>
      <c r="AH1703" s="1" t="str">
        <f>""</f>
        <v/>
      </c>
      <c r="AI1703" s="1" t="str">
        <f>""</f>
        <v/>
      </c>
      <c r="AJ1703" s="1" t="str">
        <f>""</f>
        <v/>
      </c>
      <c r="AK1703" s="1" t="str">
        <f>""</f>
        <v/>
      </c>
    </row>
    <row r="1704" spans="1:37">
      <c r="A1704" s="1">
        <v>46296</v>
      </c>
      <c r="B1704" s="1">
        <v>962000379</v>
      </c>
      <c r="C1704" s="1" t="str">
        <f>"تخليه -چهارمحال وبختياري شهركردفارسان سه راهي تنگ پردنجان شركت راه ساختمان احمديه چليچه"</f>
        <v>تخليه -چهارمحال وبختياري شهركردفارسان سه راهي تنگ پردنجان شركت راه ساختمان احمديه چليچه</v>
      </c>
      <c r="D1704" s="1">
        <v>12820</v>
      </c>
      <c r="E1704" s="1">
        <v>46296</v>
      </c>
      <c r="F1704" s="1">
        <v>96</v>
      </c>
      <c r="G1704" s="1">
        <v>0</v>
      </c>
      <c r="H1704" s="1" t="str">
        <f>"96/09/19"</f>
        <v>96/09/19</v>
      </c>
      <c r="I1704" s="1" t="str">
        <f>"كيلوگرم"</f>
        <v>كيلوگرم</v>
      </c>
      <c r="J1704" s="1" t="str">
        <f>"1000000002"</f>
        <v>1000000002</v>
      </c>
      <c r="K1704" s="1" t="str">
        <f>"قير 85/100 - فله"</f>
        <v>قير 85/100 - فله</v>
      </c>
      <c r="L1704" s="1">
        <v>100</v>
      </c>
      <c r="M1704" s="1" t="str">
        <f>"مخازن قير اصفهان"</f>
        <v>مخازن قير اصفهان</v>
      </c>
      <c r="N1704" s="1">
        <v>11154</v>
      </c>
      <c r="O1704" s="1">
        <v>50037676</v>
      </c>
      <c r="P1704" s="1" t="str">
        <f>"  شهرداري چليچه"</f>
        <v xml:space="preserve">  شهرداري چليچه</v>
      </c>
      <c r="Q1704" s="1">
        <v>20</v>
      </c>
      <c r="R1704" s="1" t="str">
        <f>"فروش داخلي - سازمان شهرداري ها و دهياري هاي كشور"</f>
        <v>فروش داخلي - سازمان شهرداري ها و دهياري هاي كشور</v>
      </c>
      <c r="S1704" s="1" t="str">
        <f>"قرارداد فروش"</f>
        <v>قرارداد فروش</v>
      </c>
      <c r="T1704" s="1" t="str">
        <f>"ندارد"</f>
        <v>ندارد</v>
      </c>
      <c r="U1704" s="1" t="str">
        <f>"تعاوني جم گستر (1001 ج 89)"</f>
        <v>تعاوني جم گستر (1001 ج 89)</v>
      </c>
      <c r="V1704" s="1">
        <v>962000379</v>
      </c>
      <c r="W1704" s="1">
        <v>962000379</v>
      </c>
      <c r="X1704" s="1" t="str">
        <f>"1396529715"</f>
        <v>1396529715</v>
      </c>
      <c r="Y1704" s="1" t="str">
        <f>"96/09/19"</f>
        <v>96/09/19</v>
      </c>
      <c r="Z1704" s="1" t="str">
        <f>"38530مرحله دوم"</f>
        <v>38530مرحله دوم</v>
      </c>
      <c r="AA1704" s="1" t="str">
        <f>"شهرداريها"</f>
        <v>شهرداريها</v>
      </c>
      <c r="AB1704" s="1" t="str">
        <f>"96/09/11"</f>
        <v>96/09/11</v>
      </c>
      <c r="AC1704" s="1" t="str">
        <f>"استان چهارمحال بختياري"</f>
        <v>استان چهارمحال بختياري</v>
      </c>
      <c r="AD1704" s="1" t="str">
        <f>"96/09/13"</f>
        <v>96/09/13</v>
      </c>
      <c r="AE1704" s="1" t="str">
        <f>"اختتام"</f>
        <v>اختتام</v>
      </c>
      <c r="AF1704" s="1" t="str">
        <f>""</f>
        <v/>
      </c>
      <c r="AG1704" s="1" t="str">
        <f>""</f>
        <v/>
      </c>
      <c r="AH1704" s="1" t="str">
        <f>""</f>
        <v/>
      </c>
      <c r="AI1704" s="1" t="str">
        <f>""</f>
        <v/>
      </c>
      <c r="AJ1704" s="1" t="str">
        <f>""</f>
        <v/>
      </c>
      <c r="AK1704" s="1" t="str">
        <f>""</f>
        <v/>
      </c>
    </row>
    <row r="1705" spans="1:37">
      <c r="A1705" s="1">
        <v>192000</v>
      </c>
      <c r="B1705" s="1">
        <v>966200190</v>
      </c>
      <c r="C1705" s="1" t="str">
        <f>"تخليه - زنجان- کيلومتر 10 جاده دندي شرکت نگين گستران راه زنديگان"</f>
        <v>تخليه - زنجان- کيلومتر 10 جاده دندي شرکت نگين گستران راه زنديگان</v>
      </c>
      <c r="D1705" s="1">
        <v>8704</v>
      </c>
      <c r="E1705" s="1">
        <v>188100</v>
      </c>
      <c r="F1705" s="1">
        <v>96</v>
      </c>
      <c r="G1705" s="1">
        <v>3900</v>
      </c>
      <c r="H1705" s="1" t="str">
        <f>"96/05/25"</f>
        <v>96/05/25</v>
      </c>
      <c r="I1705" s="1" t="str">
        <f>"كيلوگرم"</f>
        <v>كيلوگرم</v>
      </c>
      <c r="J1705" s="1" t="str">
        <f>"1000000002"</f>
        <v>1000000002</v>
      </c>
      <c r="K1705" s="1" t="str">
        <f>"قير 85/100 - فله"</f>
        <v>قير 85/100 - فله</v>
      </c>
      <c r="L1705" s="1">
        <v>100</v>
      </c>
      <c r="M1705" s="1" t="str">
        <f>"مخازن قير اصفهان"</f>
        <v>مخازن قير اصفهان</v>
      </c>
      <c r="N1705" s="1">
        <v>11237</v>
      </c>
      <c r="O1705" s="1">
        <v>50035727</v>
      </c>
      <c r="P1705" s="1" t="str">
        <f>"  بنياد مسکن انقلاب اسلامي زنجان"</f>
        <v xml:space="preserve">  بنياد مسکن انقلاب اسلامي زنجان</v>
      </c>
      <c r="Q1705" s="1">
        <v>62</v>
      </c>
      <c r="R1705" s="1" t="str">
        <f>"فروش داخلي - سازمان بنيادمسكن انقلاب اسلامي"</f>
        <v>فروش داخلي - سازمان بنيادمسكن انقلاب اسلامي</v>
      </c>
      <c r="S1705" s="1" t="str">
        <f>"قرارداد فروش"</f>
        <v>قرارداد فروش</v>
      </c>
      <c r="T1705" s="1" t="str">
        <f>"ندارد"</f>
        <v>ندارد</v>
      </c>
      <c r="U1705" s="1" t="str">
        <f>"آخوندي احمد(1841051)"</f>
        <v>آخوندي احمد(1841051)</v>
      </c>
      <c r="V1705" s="1">
        <v>966200190</v>
      </c>
      <c r="W1705" s="1">
        <v>966200190</v>
      </c>
      <c r="X1705" s="1" t="str">
        <f>"1396506172"</f>
        <v>1396506172</v>
      </c>
      <c r="Y1705" s="1" t="str">
        <f>"96/05/25"</f>
        <v>96/05/25</v>
      </c>
      <c r="Z1705" s="1" t="str">
        <f>"22059/د"</f>
        <v>22059/د</v>
      </c>
      <c r="AA1705" s="1" t="str">
        <f>"بنيادمسكن انقلاب اسلامي"</f>
        <v>بنيادمسكن انقلاب اسلامي</v>
      </c>
      <c r="AB1705" s="1" t="str">
        <f>"96/05/24"</f>
        <v>96/05/24</v>
      </c>
      <c r="AC1705" s="1" t="str">
        <f>"استان زنجان"</f>
        <v>استان زنجان</v>
      </c>
      <c r="AD1705" s="1" t="str">
        <f>"96/05/25"</f>
        <v>96/05/25</v>
      </c>
      <c r="AE1705" s="1" t="str">
        <f>"اختتام"</f>
        <v>اختتام</v>
      </c>
      <c r="AF1705" s="1" t="str">
        <f>""</f>
        <v/>
      </c>
      <c r="AG1705" s="1" t="str">
        <f>""</f>
        <v/>
      </c>
      <c r="AH1705" s="1" t="str">
        <f>""</f>
        <v/>
      </c>
      <c r="AI1705" s="1" t="str">
        <f>""</f>
        <v/>
      </c>
      <c r="AJ1705" s="1" t="str">
        <f>""</f>
        <v/>
      </c>
      <c r="AK1705" s="1" t="str">
        <f>""</f>
        <v/>
      </c>
    </row>
    <row r="1706" spans="1:37">
      <c r="A1706" s="1">
        <v>90000</v>
      </c>
      <c r="B1706" s="1">
        <v>966200567</v>
      </c>
      <c r="C1706" s="1" t="str">
        <f>"تخليه - زنجان-کيلومتر 75 جاده دندي-سه راه ابراهيم آباد -کارخانه آسفالت ايراني عجملو"</f>
        <v>تخليه - زنجان-کيلومتر 75 جاده دندي-سه راه ابراهيم آباد -کارخانه آسفالت ايراني عجملو</v>
      </c>
      <c r="D1706" s="1">
        <v>13200</v>
      </c>
      <c r="E1706" s="1">
        <v>89960</v>
      </c>
      <c r="F1706" s="1">
        <v>96</v>
      </c>
      <c r="G1706" s="1">
        <v>40</v>
      </c>
      <c r="H1706" s="1" t="str">
        <f>"96/11/18"</f>
        <v>96/11/18</v>
      </c>
      <c r="I1706" s="1" t="str">
        <f>"كيلوگرم"</f>
        <v>كيلوگرم</v>
      </c>
      <c r="J1706" s="1" t="str">
        <f>"1000000002"</f>
        <v>1000000002</v>
      </c>
      <c r="K1706" s="1" t="str">
        <f>"قير 85/100 - فله"</f>
        <v>قير 85/100 - فله</v>
      </c>
      <c r="L1706" s="1">
        <v>100</v>
      </c>
      <c r="M1706" s="1" t="str">
        <f>"مخازن قير اصفهان"</f>
        <v>مخازن قير اصفهان</v>
      </c>
      <c r="N1706" s="1">
        <v>11237</v>
      </c>
      <c r="O1706" s="1">
        <v>50038432</v>
      </c>
      <c r="P1706" s="1" t="str">
        <f>"  بنياد مسکن انقلاب اسلامي زنجان"</f>
        <v xml:space="preserve">  بنياد مسکن انقلاب اسلامي زنجان</v>
      </c>
      <c r="Q1706" s="1">
        <v>62</v>
      </c>
      <c r="R1706" s="1" t="str">
        <f>"فروش داخلي - سازمان بنيادمسكن انقلاب اسلامي"</f>
        <v>فروش داخلي - سازمان بنيادمسكن انقلاب اسلامي</v>
      </c>
      <c r="S1706" s="1" t="str">
        <f>"قرارداد فروش"</f>
        <v>قرارداد فروش</v>
      </c>
      <c r="T1706" s="1" t="str">
        <f>"ندارد"</f>
        <v>ندارد</v>
      </c>
      <c r="U1706" s="1" t="str">
        <f>"رضائي كلهر حسن (1901099)"</f>
        <v>رضائي كلهر حسن (1901099)</v>
      </c>
      <c r="V1706" s="1">
        <v>966200567</v>
      </c>
      <c r="W1706" s="1">
        <v>966200567</v>
      </c>
      <c r="X1706" s="1" t="str">
        <f>"1396546761"</f>
        <v>1396546761</v>
      </c>
      <c r="Y1706" s="1" t="str">
        <f>"96/11/18"</f>
        <v>96/11/18</v>
      </c>
      <c r="Z1706" s="1" t="str">
        <f>"51873/د"</f>
        <v>51873/د</v>
      </c>
      <c r="AA1706" s="1" t="str">
        <f>"بنيادمسكن انقلاب اسلامي"</f>
        <v>بنيادمسكن انقلاب اسلامي</v>
      </c>
      <c r="AB1706" s="1" t="str">
        <f>"96/11/17"</f>
        <v>96/11/17</v>
      </c>
      <c r="AC1706" s="1" t="str">
        <f>"استان زنجان"</f>
        <v>استان زنجان</v>
      </c>
      <c r="AD1706" s="1" t="str">
        <f>"96/11/18"</f>
        <v>96/11/18</v>
      </c>
      <c r="AE1706" s="1" t="str">
        <f>"اختتام"</f>
        <v>اختتام</v>
      </c>
      <c r="AF1706" s="1" t="str">
        <f>""</f>
        <v/>
      </c>
      <c r="AG1706" s="1" t="str">
        <f>""</f>
        <v/>
      </c>
      <c r="AH1706" s="1" t="str">
        <f>""</f>
        <v/>
      </c>
      <c r="AI1706" s="1" t="str">
        <f>""</f>
        <v/>
      </c>
      <c r="AJ1706" s="1" t="str">
        <f>""</f>
        <v/>
      </c>
      <c r="AK1706" s="1" t="str">
        <f>""</f>
        <v/>
      </c>
    </row>
    <row r="1707" spans="1:37">
      <c r="A1707" s="1">
        <v>15000</v>
      </c>
      <c r="B1707" s="1">
        <v>966200413</v>
      </c>
      <c r="C1707" s="1" t="str">
        <f>"تخليه-جاده اصفهان-تهران-نرسيده به شهر وزوان-سمت راست-کارخانه آسفالت محمدرضا مزروعي"</f>
        <v>تخليه-جاده اصفهان-تهران-نرسيده به شهر وزوان-سمت راست-کارخانه آسفالت محمدرضا مزروعي</v>
      </c>
      <c r="D1707" s="1">
        <v>15947</v>
      </c>
      <c r="E1707" s="1">
        <v>14020</v>
      </c>
      <c r="F1707" s="1">
        <v>96</v>
      </c>
      <c r="G1707" s="1">
        <v>980</v>
      </c>
      <c r="H1707" s="1" t="str">
        <f>"96/09/12"</f>
        <v>96/09/12</v>
      </c>
      <c r="I1707" s="1" t="str">
        <f>"كيلوگرم"</f>
        <v>كيلوگرم</v>
      </c>
      <c r="J1707" s="1" t="str">
        <f>"1000000003"</f>
        <v>1000000003</v>
      </c>
      <c r="K1707" s="1" t="str">
        <f>"قير MC250"</f>
        <v>قير MC250</v>
      </c>
      <c r="L1707" s="1">
        <v>100</v>
      </c>
      <c r="M1707" s="1" t="str">
        <f>"مخازن قير اصفهان"</f>
        <v>مخازن قير اصفهان</v>
      </c>
      <c r="N1707" s="1">
        <v>7002</v>
      </c>
      <c r="O1707" s="1">
        <v>50037423</v>
      </c>
      <c r="P1707" s="1" t="str">
        <f>"  راه و ساختمان خاكپي"</f>
        <v xml:space="preserve">  راه و ساختمان خاكپي</v>
      </c>
      <c r="Q1707" s="1">
        <v>62</v>
      </c>
      <c r="R1707" s="1" t="str">
        <f>"فروش داخلي - سازمان بنيادمسكن انقلاب اسلامي"</f>
        <v>فروش داخلي - سازمان بنيادمسكن انقلاب اسلامي</v>
      </c>
      <c r="S1707" s="1" t="str">
        <f>"قرارداد فروش"</f>
        <v>قرارداد فروش</v>
      </c>
      <c r="T1707" s="1" t="str">
        <f>"ندارد"</f>
        <v>ندارد</v>
      </c>
      <c r="U1707" s="1" t="str">
        <f>"ريسماني حسن(1007ج89)"</f>
        <v>ريسماني حسن(1007ج89)</v>
      </c>
      <c r="V1707" s="1">
        <v>966200413</v>
      </c>
      <c r="W1707" s="1">
        <v>966200413</v>
      </c>
      <c r="X1707" s="1" t="str">
        <f>"1396529575"</f>
        <v>1396529575</v>
      </c>
      <c r="Y1707" s="1" t="str">
        <f>"96/09/12"</f>
        <v>96/09/12</v>
      </c>
      <c r="Z1707" s="1" t="str">
        <f>"40057/د"</f>
        <v>40057/د</v>
      </c>
      <c r="AA1707" s="1" t="str">
        <f>"بنيادمسكن انقلاب اسلامي"</f>
        <v>بنيادمسكن انقلاب اسلامي</v>
      </c>
      <c r="AB1707" s="1" t="str">
        <f>"96/09/11"</f>
        <v>96/09/11</v>
      </c>
      <c r="AC1707" s="1" t="str">
        <f>"استان اصفهان"</f>
        <v>استان اصفهان</v>
      </c>
      <c r="AD1707" s="1" t="str">
        <f>"96/09/12"</f>
        <v>96/09/12</v>
      </c>
      <c r="AE1707" s="1" t="str">
        <f>"اختتام"</f>
        <v>اختتام</v>
      </c>
      <c r="AF1707" s="1" t="str">
        <f>""</f>
        <v/>
      </c>
      <c r="AG1707" s="1" t="str">
        <f>""</f>
        <v/>
      </c>
      <c r="AH1707" s="1" t="str">
        <f>""</f>
        <v/>
      </c>
      <c r="AI1707" s="1" t="str">
        <f>""</f>
        <v/>
      </c>
      <c r="AJ1707" s="1" t="str">
        <f>""</f>
        <v/>
      </c>
      <c r="AK1707" s="1" t="str">
        <f>""</f>
        <v/>
      </c>
    </row>
    <row r="1708" spans="1:37">
      <c r="A1708" s="1">
        <v>20000</v>
      </c>
      <c r="B1708" s="1">
        <v>961100021</v>
      </c>
      <c r="C1708" s="1" t="str">
        <f>"تخليه -تهران -فرودگاه بين المللي امام خميني"</f>
        <v>تخليه -تهران -فرودگاه بين المللي امام خميني</v>
      </c>
      <c r="D1708" s="1">
        <v>12482</v>
      </c>
      <c r="E1708" s="1">
        <v>20000</v>
      </c>
      <c r="F1708" s="1">
        <v>96</v>
      </c>
      <c r="G1708" s="1">
        <v>0</v>
      </c>
      <c r="H1708" s="1" t="str">
        <f>"96/03/03"</f>
        <v>96/03/03</v>
      </c>
      <c r="I1708" s="1" t="str">
        <f>"كيلوگرم"</f>
        <v>كيلوگرم</v>
      </c>
      <c r="J1708" s="1" t="str">
        <f>"1000000003"</f>
        <v>1000000003</v>
      </c>
      <c r="K1708" s="1" t="str">
        <f>"قير MC250"</f>
        <v>قير MC250</v>
      </c>
      <c r="L1708" s="1">
        <v>100</v>
      </c>
      <c r="M1708" s="1" t="str">
        <f>"مخازن قير اصفهان"</f>
        <v>مخازن قير اصفهان</v>
      </c>
      <c r="N1708" s="1">
        <v>8025</v>
      </c>
      <c r="O1708" s="1">
        <v>50034896</v>
      </c>
      <c r="P1708" s="1" t="str">
        <f>"  ملي ساختمان"</f>
        <v xml:space="preserve">  ملي ساختمان</v>
      </c>
      <c r="Q1708" s="1">
        <v>11</v>
      </c>
      <c r="R1708" s="1" t="str">
        <f>"فروش داخلي تهران - بورس"</f>
        <v>فروش داخلي تهران - بورس</v>
      </c>
      <c r="S1708" s="1" t="str">
        <f>"قرارداد فروش"</f>
        <v>قرارداد فروش</v>
      </c>
      <c r="T1708" s="1" t="str">
        <f>"ندارد"</f>
        <v>ندارد</v>
      </c>
      <c r="U1708" s="1" t="str">
        <f>"حسيني علي(1841001)"</f>
        <v>حسيني علي(1841001)</v>
      </c>
      <c r="V1708" s="1">
        <v>961100021</v>
      </c>
      <c r="W1708" s="1">
        <v>961100021</v>
      </c>
      <c r="X1708" s="1" t="str">
        <f>"1396482076"</f>
        <v>1396482076</v>
      </c>
      <c r="Y1708" s="1" t="str">
        <f>"96/03/03"</f>
        <v>96/03/03</v>
      </c>
      <c r="Z1708" s="1" t="str">
        <f>"96-35521"</f>
        <v>96-35521</v>
      </c>
      <c r="AA1708" s="1" t="str">
        <f>"راه سازي"</f>
        <v>راه سازي</v>
      </c>
      <c r="AB1708" s="1" t="str">
        <f>"96/03/03"</f>
        <v>96/03/03</v>
      </c>
      <c r="AC1708" s="1" t="str">
        <f>"استان تهران"</f>
        <v>استان تهران</v>
      </c>
      <c r="AD1708" s="1" t="str">
        <f>"96/02/30"</f>
        <v>96/02/30</v>
      </c>
      <c r="AE1708" s="1" t="str">
        <f>"اختتام"</f>
        <v>اختتام</v>
      </c>
      <c r="AF1708" s="1" t="str">
        <f>""</f>
        <v/>
      </c>
      <c r="AG1708" s="1" t="str">
        <f>""</f>
        <v/>
      </c>
      <c r="AH1708" s="1" t="str">
        <f>""</f>
        <v/>
      </c>
      <c r="AI1708" s="1" t="str">
        <f>""</f>
        <v/>
      </c>
      <c r="AJ1708" s="1" t="str">
        <f>""</f>
        <v/>
      </c>
      <c r="AK1708" s="1" t="str">
        <f>""</f>
        <v/>
      </c>
    </row>
    <row r="1709" spans="1:37">
      <c r="A1709" s="1">
        <v>20000</v>
      </c>
      <c r="B1709" s="1">
        <v>961100100</v>
      </c>
      <c r="C1709" s="1" t="str">
        <f>"تخليه -يزد-کيلومتر70جاده يزدطبس -کارخانه سامان محيط"</f>
        <v>تخليه -يزد-کيلومتر70جاده يزدطبس -کارخانه سامان محيط</v>
      </c>
      <c r="D1709" s="1">
        <v>15947</v>
      </c>
      <c r="E1709" s="1">
        <v>15580</v>
      </c>
      <c r="F1709" s="1">
        <v>96</v>
      </c>
      <c r="G1709" s="1">
        <v>4420</v>
      </c>
      <c r="H1709" s="1" t="str">
        <f>"96/09/16"</f>
        <v>96/09/16</v>
      </c>
      <c r="I1709" s="1" t="str">
        <f>"كيلوگرم"</f>
        <v>كيلوگرم</v>
      </c>
      <c r="J1709" s="1" t="str">
        <f>"1000000003"</f>
        <v>1000000003</v>
      </c>
      <c r="K1709" s="1" t="str">
        <f>"قير MC250"</f>
        <v>قير MC250</v>
      </c>
      <c r="L1709" s="1">
        <v>100</v>
      </c>
      <c r="M1709" s="1" t="str">
        <f>"مخازن قير اصفهان"</f>
        <v>مخازن قير اصفهان</v>
      </c>
      <c r="N1709" s="1">
        <v>8106</v>
      </c>
      <c r="O1709" s="1">
        <v>50037472</v>
      </c>
      <c r="P1709" s="1" t="str">
        <f>"  سامان محيط"</f>
        <v xml:space="preserve">  سامان محيط</v>
      </c>
      <c r="Q1709" s="1">
        <v>11</v>
      </c>
      <c r="R1709" s="1" t="str">
        <f>"فروش داخلي تهران - بورس"</f>
        <v>فروش داخلي تهران - بورس</v>
      </c>
      <c r="S1709" s="1" t="str">
        <f>"قرارداد فروش"</f>
        <v>قرارداد فروش</v>
      </c>
      <c r="T1709" s="1" t="str">
        <f>"ندارد"</f>
        <v>ندارد</v>
      </c>
      <c r="U1709" s="1" t="str">
        <f>"عظيمي محمد(2842015)"</f>
        <v>عظيمي محمد(2842015)</v>
      </c>
      <c r="V1709" s="1">
        <v>961100100</v>
      </c>
      <c r="W1709" s="1">
        <v>961100100</v>
      </c>
      <c r="X1709" s="1" t="str">
        <f>"1396529920"</f>
        <v>1396529920</v>
      </c>
      <c r="Y1709" s="1" t="str">
        <f>"96/09/14"</f>
        <v>96/09/14</v>
      </c>
      <c r="Z1709" s="1" t="str">
        <f>"س 3/881/س"</f>
        <v>س 3/881/س</v>
      </c>
      <c r="AA1709" s="1" t="str">
        <f>"راه سازي"</f>
        <v>راه سازي</v>
      </c>
      <c r="AB1709" s="1" t="str">
        <f>"96/09/12"</f>
        <v>96/09/12</v>
      </c>
      <c r="AC1709" s="1" t="str">
        <f>"استان يزد"</f>
        <v>استان يزد</v>
      </c>
      <c r="AD1709" s="1" t="str">
        <f>"96/09/14"</f>
        <v>96/09/14</v>
      </c>
      <c r="AE1709" s="1" t="str">
        <f>"اختتام"</f>
        <v>اختتام</v>
      </c>
      <c r="AF1709" s="1" t="str">
        <f>""</f>
        <v/>
      </c>
      <c r="AG1709" s="1" t="str">
        <f>""</f>
        <v/>
      </c>
      <c r="AH1709" s="1" t="str">
        <f>""</f>
        <v/>
      </c>
      <c r="AI1709" s="1" t="str">
        <f>""</f>
        <v/>
      </c>
      <c r="AJ1709" s="1" t="str">
        <f>""</f>
        <v/>
      </c>
      <c r="AK1709" s="1" t="str">
        <f>""</f>
        <v/>
      </c>
    </row>
    <row r="1710" spans="1:37">
      <c r="A1710" s="1">
        <v>50000</v>
      </c>
      <c r="B1710" s="1">
        <v>961100082</v>
      </c>
      <c r="C1710" s="1" t="str">
        <f>"تخليه - کرمانشاه-کيلومتر5 جاده کرندغرب اسلام آباد-مقابل روستاي طلسم-بعداز آب معدني راکي کارخانه آسفالت شرکت مرزراه"</f>
        <v>تخليه - کرمانشاه-کيلومتر5 جاده کرندغرب اسلام آباد-مقابل روستاي طلسم-بعداز آب معدني راکي کارخانه آسفالت شرکت مرزراه</v>
      </c>
      <c r="D1710" s="1">
        <v>12777</v>
      </c>
      <c r="E1710" s="1">
        <v>47340</v>
      </c>
      <c r="F1710" s="1">
        <v>96</v>
      </c>
      <c r="G1710" s="1">
        <v>2660</v>
      </c>
      <c r="H1710" s="1" t="str">
        <f>"96/07/26"</f>
        <v>96/07/26</v>
      </c>
      <c r="I1710" s="1" t="str">
        <f>"كيلوگرم"</f>
        <v>كيلوگرم</v>
      </c>
      <c r="J1710" s="1" t="str">
        <f>"1000000003"</f>
        <v>1000000003</v>
      </c>
      <c r="K1710" s="1" t="str">
        <f>"قير MC250"</f>
        <v>قير MC250</v>
      </c>
      <c r="L1710" s="1">
        <v>100</v>
      </c>
      <c r="M1710" s="1" t="str">
        <f>"مخازن قير اصفهان"</f>
        <v>مخازن قير اصفهان</v>
      </c>
      <c r="N1710" s="1">
        <v>8120</v>
      </c>
      <c r="O1710" s="1">
        <v>50036807</v>
      </c>
      <c r="P1710" s="1" t="str">
        <f>"  مرزراه"</f>
        <v xml:space="preserve">  مرزراه</v>
      </c>
      <c r="Q1710" s="1">
        <v>11</v>
      </c>
      <c r="R1710" s="1" t="str">
        <f>"فروش داخلي تهران - بورس"</f>
        <v>فروش داخلي تهران - بورس</v>
      </c>
      <c r="S1710" s="1" t="str">
        <f>"قرارداد فروش"</f>
        <v>قرارداد فروش</v>
      </c>
      <c r="T1710" s="1" t="str">
        <f>"ندارد"</f>
        <v>ندارد</v>
      </c>
      <c r="U1710" s="1" t="str">
        <f>"شمسيان پور حبيب اله(2842034)"</f>
        <v>شمسيان پور حبيب اله(2842034)</v>
      </c>
      <c r="V1710" s="1">
        <v>961100082</v>
      </c>
      <c r="W1710" s="1">
        <v>961100082</v>
      </c>
      <c r="X1710" s="1" t="str">
        <f>"1396519150"</f>
        <v>1396519150</v>
      </c>
      <c r="Y1710" s="1" t="str">
        <f>"96/07/26"</f>
        <v>96/07/26</v>
      </c>
      <c r="Z1710" s="1" t="str">
        <f>"96-36411"</f>
        <v>96-36411</v>
      </c>
      <c r="AA1710" s="1" t="str">
        <f>"راه سازي"</f>
        <v>راه سازي</v>
      </c>
      <c r="AB1710" s="1" t="str">
        <f>"96/07/25"</f>
        <v>96/07/25</v>
      </c>
      <c r="AC1710" s="1" t="str">
        <f>"استان كرمانشاه"</f>
        <v>استان كرمانشاه</v>
      </c>
      <c r="AD1710" s="1" t="str">
        <f>"96/07/25"</f>
        <v>96/07/25</v>
      </c>
      <c r="AE1710" s="1" t="str">
        <f>"اختتام"</f>
        <v>اختتام</v>
      </c>
      <c r="AF1710" s="1" t="str">
        <f>""</f>
        <v/>
      </c>
      <c r="AG1710" s="1" t="str">
        <f>""</f>
        <v/>
      </c>
      <c r="AH1710" s="1" t="str">
        <f>""</f>
        <v/>
      </c>
      <c r="AI1710" s="1" t="str">
        <f>""</f>
        <v/>
      </c>
      <c r="AJ1710" s="1" t="str">
        <f>""</f>
        <v/>
      </c>
      <c r="AK1710" s="1" t="str">
        <f>""</f>
        <v/>
      </c>
    </row>
    <row r="1711" spans="1:37">
      <c r="A1711" s="1">
        <v>260000</v>
      </c>
      <c r="B1711" s="1">
        <v>961900082</v>
      </c>
      <c r="C1711" s="1" t="str">
        <f>"تخليه -چهارمحال بختياري -جاده شهركرد-اصفهان -جنب تونل گردنه رخ -زرين استحكام"</f>
        <v>تخليه -چهارمحال بختياري -جاده شهركرد-اصفهان -جنب تونل گردنه رخ -زرين استحكام</v>
      </c>
      <c r="D1711" s="1">
        <v>8904</v>
      </c>
      <c r="E1711" s="1">
        <v>252180</v>
      </c>
      <c r="F1711" s="1">
        <v>96</v>
      </c>
      <c r="G1711" s="1">
        <v>7820</v>
      </c>
      <c r="H1711" s="1" t="str">
        <f>"96/04/25"</f>
        <v>96/04/25</v>
      </c>
      <c r="I1711" s="1" t="str">
        <f>"كيلوگرم"</f>
        <v>كيلوگرم</v>
      </c>
      <c r="J1711" s="1" t="str">
        <f>"0000000088"</f>
        <v>0000000088</v>
      </c>
      <c r="K1711" s="1" t="str">
        <f>"قير  PG58-22"</f>
        <v>قير  PG58-22</v>
      </c>
      <c r="L1711" s="1">
        <v>100</v>
      </c>
      <c r="M1711" s="1" t="str">
        <f>"مخازن قير اصفهان"</f>
        <v>مخازن قير اصفهان</v>
      </c>
      <c r="N1711" s="1">
        <v>1351</v>
      </c>
      <c r="O1711" s="1">
        <v>50035231</v>
      </c>
      <c r="P1711" s="1" t="str">
        <f>"  زرين استحكام"</f>
        <v xml:space="preserve">  زرين استحكام</v>
      </c>
      <c r="Q1711" s="1">
        <v>19</v>
      </c>
      <c r="R171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711" s="1" t="str">
        <f>"قرارداد فروش"</f>
        <v>قرارداد فروش</v>
      </c>
      <c r="T1711" s="1" t="str">
        <f>"ندارد"</f>
        <v>ندارد</v>
      </c>
      <c r="U1711" s="1" t="str">
        <f>"مظلوم فريبرز(1008ج89)"</f>
        <v>مظلوم فريبرز(1008ج89)</v>
      </c>
      <c r="V1711" s="1">
        <v>961900082</v>
      </c>
      <c r="W1711" s="1">
        <v>961900082</v>
      </c>
      <c r="X1711" s="1" t="str">
        <f>"1396496978"</f>
        <v>1396496978</v>
      </c>
      <c r="Y1711" s="1" t="str">
        <f>"96/04/25"</f>
        <v>96/04/25</v>
      </c>
      <c r="Z1711" s="1" t="str">
        <f>"18233/710"</f>
        <v>18233/710</v>
      </c>
      <c r="AA1711" s="1" t="str">
        <f>"سازمان راهداري وحمل نقل جاده اي"</f>
        <v>سازمان راهداري وحمل نقل جاده اي</v>
      </c>
      <c r="AB1711" s="1" t="str">
        <f>"96/04/21"</f>
        <v>96/04/21</v>
      </c>
      <c r="AC1711" s="1" t="str">
        <f>"استان چهارمحال بختياري"</f>
        <v>استان چهارمحال بختياري</v>
      </c>
      <c r="AD1711" s="1" t="str">
        <f>"96/04/25"</f>
        <v>96/04/25</v>
      </c>
      <c r="AE1711" s="1" t="str">
        <f>"اختتام"</f>
        <v>اختتام</v>
      </c>
      <c r="AF1711" s="1" t="str">
        <f>""</f>
        <v/>
      </c>
      <c r="AG1711" s="1" t="str">
        <f>""</f>
        <v/>
      </c>
      <c r="AH1711" s="1" t="str">
        <f>""</f>
        <v/>
      </c>
      <c r="AI1711" s="1" t="str">
        <f>""</f>
        <v/>
      </c>
      <c r="AJ1711" s="1" t="str">
        <f>""</f>
        <v/>
      </c>
      <c r="AK1711" s="1" t="str">
        <f>""</f>
        <v/>
      </c>
    </row>
    <row r="1712" spans="1:37">
      <c r="A1712" s="1">
        <v>100000</v>
      </c>
      <c r="B1712" s="1">
        <v>961100035</v>
      </c>
      <c r="C1712" s="1" t="str">
        <f>"تخليه -شهركرد-جاده دانشگاه آزادعراضي منصوريه -كارخانه آسفالت شهرداري شهركرد"</f>
        <v>تخليه -شهركرد-جاده دانشگاه آزادعراضي منصوريه -كارخانه آسفالت شهرداري شهركرد</v>
      </c>
      <c r="D1712" s="1">
        <v>8854</v>
      </c>
      <c r="E1712" s="1">
        <v>99900</v>
      </c>
      <c r="F1712" s="1">
        <v>96</v>
      </c>
      <c r="G1712" s="1">
        <v>100</v>
      </c>
      <c r="H1712" s="1" t="str">
        <f>"96/04/18"</f>
        <v>96/04/18</v>
      </c>
      <c r="I1712" s="1" t="str">
        <f>"كيلوگرم"</f>
        <v>كيلوگرم</v>
      </c>
      <c r="J1712" s="1" t="str">
        <f>"0000000088"</f>
        <v>0000000088</v>
      </c>
      <c r="K1712" s="1" t="str">
        <f>"قير  PG58-22"</f>
        <v>قير  PG58-22</v>
      </c>
      <c r="L1712" s="1">
        <v>100</v>
      </c>
      <c r="M1712" s="1" t="str">
        <f>"مخازن قير اصفهان"</f>
        <v>مخازن قير اصفهان</v>
      </c>
      <c r="N1712" s="1">
        <v>7047</v>
      </c>
      <c r="O1712" s="1">
        <v>50035138</v>
      </c>
      <c r="P1712" s="1" t="str">
        <f>"  شهرداري شهركرد"</f>
        <v xml:space="preserve">  شهرداري شهركرد</v>
      </c>
      <c r="Q1712" s="1">
        <v>11</v>
      </c>
      <c r="R1712" s="1" t="str">
        <f>"فروش داخلي تهران - بورس"</f>
        <v>فروش داخلي تهران - بورس</v>
      </c>
      <c r="S1712" s="1" t="str">
        <f>"قرارداد فروش"</f>
        <v>قرارداد فروش</v>
      </c>
      <c r="T1712" s="1" t="str">
        <f>"ندارد"</f>
        <v>ندارد</v>
      </c>
      <c r="U1712" s="1" t="str">
        <f>"مظلوم فريبرز(1008ج89)"</f>
        <v>مظلوم فريبرز(1008ج89)</v>
      </c>
      <c r="V1712" s="1">
        <v>961100035</v>
      </c>
      <c r="W1712" s="1">
        <v>961100035</v>
      </c>
      <c r="X1712" s="1" t="str">
        <f>"1396492621"</f>
        <v>1396492621</v>
      </c>
      <c r="Y1712" s="1" t="str">
        <f>"96/04/17"</f>
        <v>96/04/17</v>
      </c>
      <c r="Z1712" s="1" t="str">
        <f>"96-35764"</f>
        <v>96-35764</v>
      </c>
      <c r="AA1712" s="1" t="str">
        <f>"شهرداريها"</f>
        <v>شهرداريها</v>
      </c>
      <c r="AB1712" s="1" t="str">
        <f>"96/04/17"</f>
        <v>96/04/17</v>
      </c>
      <c r="AC1712" s="1" t="str">
        <f>"استان چهارمحال بختياري"</f>
        <v>استان چهارمحال بختياري</v>
      </c>
      <c r="AD1712" s="1" t="str">
        <f>"96/04/12"</f>
        <v>96/04/12</v>
      </c>
      <c r="AE1712" s="1" t="str">
        <f>"اختتام"</f>
        <v>اختتام</v>
      </c>
      <c r="AF1712" s="1" t="str">
        <f>""</f>
        <v/>
      </c>
      <c r="AG1712" s="1" t="str">
        <f>""</f>
        <v/>
      </c>
      <c r="AH1712" s="1" t="str">
        <f>""</f>
        <v/>
      </c>
      <c r="AI1712" s="1" t="str">
        <f>""</f>
        <v/>
      </c>
      <c r="AJ1712" s="1" t="str">
        <f>""</f>
        <v/>
      </c>
      <c r="AK1712" s="1" t="str">
        <f>""</f>
        <v/>
      </c>
    </row>
    <row r="1713" spans="1:37">
      <c r="A1713" s="1">
        <v>200000</v>
      </c>
      <c r="B1713" s="1">
        <v>961900204</v>
      </c>
      <c r="C1713" s="1" t="str">
        <f>"تخليه -چهارمحال وبختياري -جاده مباركه -بروجن بعدازشهرمجلسي -معدن قميشلو-شركت تك شن"</f>
        <v>تخليه -چهارمحال وبختياري -جاده مباركه -بروجن بعدازشهرمجلسي -معدن قميشلو-شركت تك شن</v>
      </c>
      <c r="D1713" s="1">
        <v>14000</v>
      </c>
      <c r="E1713" s="1">
        <v>199860</v>
      </c>
      <c r="F1713" s="1">
        <v>96</v>
      </c>
      <c r="G1713" s="1">
        <v>140</v>
      </c>
      <c r="H1713" s="1" t="str">
        <f>"96/12/26"</f>
        <v>96/12/26</v>
      </c>
      <c r="I1713" s="1" t="str">
        <f>"كيلوگرم"</f>
        <v>كيلوگرم</v>
      </c>
      <c r="J1713" s="1" t="str">
        <f>"0000000088"</f>
        <v>0000000088</v>
      </c>
      <c r="K1713" s="1" t="str">
        <f>"قير  PG58-22"</f>
        <v>قير  PG58-22</v>
      </c>
      <c r="L1713" s="1">
        <v>100</v>
      </c>
      <c r="M1713" s="1" t="str">
        <f>"مخازن قير اصفهان"</f>
        <v>مخازن قير اصفهان</v>
      </c>
      <c r="N1713" s="1">
        <v>7072</v>
      </c>
      <c r="O1713" s="1">
        <v>50039062</v>
      </c>
      <c r="P1713" s="1" t="str">
        <f>"  آسفالت تك شن"</f>
        <v xml:space="preserve">  آسفالت تك شن</v>
      </c>
      <c r="Q1713" s="1">
        <v>19</v>
      </c>
      <c r="R171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713" s="1" t="str">
        <f>"قرارداد فروش"</f>
        <v>قرارداد فروش</v>
      </c>
      <c r="T1713" s="1" t="str">
        <f>"ندارد"</f>
        <v>ندارد</v>
      </c>
      <c r="U1713" s="1" t="str">
        <f>"قره باغي مجيد(1871065)"</f>
        <v>قره باغي مجيد(1871065)</v>
      </c>
      <c r="V1713" s="1">
        <v>961900204</v>
      </c>
      <c r="W1713" s="1">
        <v>961900204</v>
      </c>
      <c r="X1713" s="1" t="str">
        <f>"1396555238"</f>
        <v>1396555238</v>
      </c>
      <c r="Y1713" s="1" t="str">
        <f>"96/12/26"</f>
        <v>96/12/26</v>
      </c>
      <c r="Z1713" s="1" t="str">
        <f>"48700/710"</f>
        <v>48700/710</v>
      </c>
      <c r="AA1713" s="1" t="str">
        <f>"سازمان راهداري وحمل نقل جاده اي"</f>
        <v>سازمان راهداري وحمل نقل جاده اي</v>
      </c>
      <c r="AB1713" s="1" t="str">
        <f>"96/09/22"</f>
        <v>96/09/22</v>
      </c>
      <c r="AC1713" s="1" t="str">
        <f>"استان چهارمحال بختياري"</f>
        <v>استان چهارمحال بختياري</v>
      </c>
      <c r="AD1713" s="1" t="str">
        <f>"96/12/23"</f>
        <v>96/12/23</v>
      </c>
      <c r="AE1713" s="1" t="str">
        <f>"اختتام"</f>
        <v>اختتام</v>
      </c>
      <c r="AF1713" s="1" t="str">
        <f>""</f>
        <v/>
      </c>
      <c r="AG1713" s="1" t="str">
        <f>""</f>
        <v/>
      </c>
      <c r="AH1713" s="1" t="str">
        <f>""</f>
        <v/>
      </c>
      <c r="AI1713" s="1" t="str">
        <f>""</f>
        <v/>
      </c>
      <c r="AJ1713" s="1" t="str">
        <f>""</f>
        <v/>
      </c>
      <c r="AK1713" s="1" t="str">
        <f>""</f>
        <v/>
      </c>
    </row>
    <row r="1714" spans="1:37">
      <c r="A1714" s="1">
        <v>110000</v>
      </c>
      <c r="B1714" s="1">
        <v>961700065</v>
      </c>
      <c r="C1714" s="1" t="str">
        <f>"تخليه -لردگان -كارخانه آسفالت لردگان"</f>
        <v>تخليه -لردگان -كارخانه آسفالت لردگان</v>
      </c>
      <c r="D1714" s="1">
        <v>9204</v>
      </c>
      <c r="E1714" s="1">
        <v>109640</v>
      </c>
      <c r="F1714" s="1">
        <v>96</v>
      </c>
      <c r="G1714" s="1">
        <v>360</v>
      </c>
      <c r="H1714" s="1" t="str">
        <f>"96/05/28"</f>
        <v>96/05/28</v>
      </c>
      <c r="I1714" s="1" t="str">
        <f>"كيلوگرم"</f>
        <v>كيلوگرم</v>
      </c>
      <c r="J1714" s="1" t="str">
        <f>"0000000088"</f>
        <v>0000000088</v>
      </c>
      <c r="K1714" s="1" t="str">
        <f>"قير  PG58-22"</f>
        <v>قير  PG58-22</v>
      </c>
      <c r="L1714" s="1">
        <v>100</v>
      </c>
      <c r="M1714" s="1" t="str">
        <f>"مخازن قير اصفهان"</f>
        <v>مخازن قير اصفهان</v>
      </c>
      <c r="N1714" s="1">
        <v>7190</v>
      </c>
      <c r="O1714" s="1">
        <v>50035719</v>
      </c>
      <c r="P1714" s="1" t="str">
        <f>"  اداره كل راه و شهرسازي چهارمحال وبختياري"</f>
        <v xml:space="preserve">  اداره كل راه و شهرسازي چهارمحال وبختياري</v>
      </c>
      <c r="Q1714" s="1">
        <v>17</v>
      </c>
      <c r="R1714" s="1" t="str">
        <f>"فروش داخلي تهران - وزارت راه - راه روستايي - روکش"</f>
        <v>فروش داخلي تهران - وزارت راه - راه روستايي - روکش</v>
      </c>
      <c r="S1714" s="1" t="str">
        <f>"قرارداد فروش"</f>
        <v>قرارداد فروش</v>
      </c>
      <c r="T1714" s="1" t="str">
        <f>"ندارد"</f>
        <v>ندارد</v>
      </c>
      <c r="U1714" s="1" t="str">
        <f>"قره باغي مجيد(1871065)"</f>
        <v>قره باغي مجيد(1871065)</v>
      </c>
      <c r="V1714" s="1">
        <v>961700065</v>
      </c>
      <c r="W1714" s="1">
        <v>961700065</v>
      </c>
      <c r="X1714" s="1" t="str">
        <f>"1396506334"</f>
        <v>1396506334</v>
      </c>
      <c r="Y1714" s="1" t="str">
        <f>"96/05/28"</f>
        <v>96/05/28</v>
      </c>
      <c r="Z1714" s="1" t="str">
        <f>"25330/710"</f>
        <v>25330/710</v>
      </c>
      <c r="AA1714" s="1" t="str">
        <f>"راه روستائي -روكش"</f>
        <v>راه روستائي -روكش</v>
      </c>
      <c r="AB1714" s="1" t="str">
        <f>"96/05/25"</f>
        <v>96/05/25</v>
      </c>
      <c r="AC1714" s="1" t="str">
        <f>"استان چهارمحال بختياري"</f>
        <v>استان چهارمحال بختياري</v>
      </c>
      <c r="AD1714" s="1" t="str">
        <f>"96/05/28"</f>
        <v>96/05/28</v>
      </c>
      <c r="AE1714" s="1" t="str">
        <f>"اختتام"</f>
        <v>اختتام</v>
      </c>
      <c r="AF1714" s="1" t="str">
        <f>""</f>
        <v/>
      </c>
      <c r="AG1714" s="1" t="str">
        <f>""</f>
        <v/>
      </c>
      <c r="AH1714" s="1" t="str">
        <f>""</f>
        <v/>
      </c>
      <c r="AI1714" s="1" t="str">
        <f>""</f>
        <v/>
      </c>
      <c r="AJ1714" s="1" t="str">
        <f>""</f>
        <v/>
      </c>
      <c r="AK1714" s="1" t="str">
        <f>""</f>
        <v/>
      </c>
    </row>
    <row r="1715" spans="1:37">
      <c r="A1715" s="1">
        <v>95000</v>
      </c>
      <c r="B1715" s="1">
        <v>961700066</v>
      </c>
      <c r="C1715" s="1" t="str">
        <f>"تخليه چهارمحال وبختياري شهرستان بن شركت نسيم سامان"</f>
        <v>تخليه چهارمحال وبختياري شهرستان بن شركت نسيم سامان</v>
      </c>
      <c r="D1715" s="1">
        <v>9204</v>
      </c>
      <c r="E1715" s="1">
        <v>93940</v>
      </c>
      <c r="F1715" s="1">
        <v>96</v>
      </c>
      <c r="G1715" s="1">
        <v>1060</v>
      </c>
      <c r="H1715" s="1" t="str">
        <f>"96/05/28"</f>
        <v>96/05/28</v>
      </c>
      <c r="I1715" s="1" t="str">
        <f>"كيلوگرم"</f>
        <v>كيلوگرم</v>
      </c>
      <c r="J1715" s="1" t="str">
        <f>"0000000088"</f>
        <v>0000000088</v>
      </c>
      <c r="K1715" s="1" t="str">
        <f>"قير  PG58-22"</f>
        <v>قير  PG58-22</v>
      </c>
      <c r="L1715" s="1">
        <v>100</v>
      </c>
      <c r="M1715" s="1" t="str">
        <f>"مخازن قير اصفهان"</f>
        <v>مخازن قير اصفهان</v>
      </c>
      <c r="N1715" s="1">
        <v>7190</v>
      </c>
      <c r="O1715" s="1">
        <v>50035720</v>
      </c>
      <c r="P1715" s="1" t="str">
        <f>"  اداره كل راه و شهرسازي چهارمحال وبختياري"</f>
        <v xml:space="preserve">  اداره كل راه و شهرسازي چهارمحال وبختياري</v>
      </c>
      <c r="Q1715" s="1">
        <v>17</v>
      </c>
      <c r="R1715" s="1" t="str">
        <f>"فروش داخلي تهران - وزارت راه - راه روستايي - روکش"</f>
        <v>فروش داخلي تهران - وزارت راه - راه روستايي - روکش</v>
      </c>
      <c r="S1715" s="1" t="str">
        <f>"قرارداد فروش"</f>
        <v>قرارداد فروش</v>
      </c>
      <c r="T1715" s="1" t="str">
        <f>"ندارد"</f>
        <v>ندارد</v>
      </c>
      <c r="U1715" s="1" t="str">
        <f>"قره باغي مجيد(1871065)"</f>
        <v>قره باغي مجيد(1871065)</v>
      </c>
      <c r="V1715" s="1">
        <v>961700066</v>
      </c>
      <c r="W1715" s="1">
        <v>961700066</v>
      </c>
      <c r="X1715" s="1" t="str">
        <f>"1396506334"</f>
        <v>1396506334</v>
      </c>
      <c r="Y1715" s="1" t="str">
        <f>"96/05/28"</f>
        <v>96/05/28</v>
      </c>
      <c r="Z1715" s="1" t="str">
        <f>"25332/710"</f>
        <v>25332/710</v>
      </c>
      <c r="AA1715" s="1" t="str">
        <f>"راه روستائي -روكش"</f>
        <v>راه روستائي -روكش</v>
      </c>
      <c r="AB1715" s="1" t="str">
        <f>"96/05/25"</f>
        <v>96/05/25</v>
      </c>
      <c r="AC1715" s="1" t="str">
        <f>"استان چهارمحال بختياري"</f>
        <v>استان چهارمحال بختياري</v>
      </c>
      <c r="AD1715" s="1" t="str">
        <f>"96/05/28"</f>
        <v>96/05/28</v>
      </c>
      <c r="AE1715" s="1" t="str">
        <f>"اختتام"</f>
        <v>اختتام</v>
      </c>
      <c r="AF1715" s="1" t="str">
        <f>""</f>
        <v/>
      </c>
      <c r="AG1715" s="1" t="str">
        <f>""</f>
        <v/>
      </c>
      <c r="AH1715" s="1" t="str">
        <f>""</f>
        <v/>
      </c>
      <c r="AI1715" s="1" t="str">
        <f>""</f>
        <v/>
      </c>
      <c r="AJ1715" s="1" t="str">
        <f>""</f>
        <v/>
      </c>
      <c r="AK1715" s="1" t="str">
        <f>""</f>
        <v/>
      </c>
    </row>
    <row r="1716" spans="1:37">
      <c r="A1716" s="1">
        <v>65000</v>
      </c>
      <c r="B1716" s="1">
        <v>961700229</v>
      </c>
      <c r="C1716" s="1" t="str">
        <f>"تخليه -چهارمحال بختياري -شهرستان فارسان كارخانه آسفالت شركت احمديه چليچه"</f>
        <v>تخليه -چهارمحال بختياري -شهرستان فارسان كارخانه آسفالت شركت احمديه چليچه</v>
      </c>
      <c r="D1716" s="1">
        <v>14000</v>
      </c>
      <c r="E1716" s="1">
        <v>65000</v>
      </c>
      <c r="F1716" s="1">
        <v>96</v>
      </c>
      <c r="G1716" s="1">
        <v>0</v>
      </c>
      <c r="H1716" s="1" t="str">
        <f>"96/12/24"</f>
        <v>96/12/24</v>
      </c>
      <c r="I1716" s="1" t="str">
        <f>"كيلوگرم"</f>
        <v>كيلوگرم</v>
      </c>
      <c r="J1716" s="1" t="str">
        <f>"0000000088"</f>
        <v>0000000088</v>
      </c>
      <c r="K1716" s="1" t="str">
        <f>"قير  PG58-22"</f>
        <v>قير  PG58-22</v>
      </c>
      <c r="L1716" s="1">
        <v>100</v>
      </c>
      <c r="M1716" s="1" t="str">
        <f>"مخازن قير اصفهان"</f>
        <v>مخازن قير اصفهان</v>
      </c>
      <c r="N1716" s="1">
        <v>7190</v>
      </c>
      <c r="O1716" s="1">
        <v>50039010</v>
      </c>
      <c r="P1716" s="1" t="str">
        <f>"  اداره كل راه و شهرسازي چهارمحال وبختياري"</f>
        <v xml:space="preserve">  اداره كل راه و شهرسازي چهارمحال وبختياري</v>
      </c>
      <c r="Q1716" s="1">
        <v>17</v>
      </c>
      <c r="R1716" s="1" t="str">
        <f>"فروش داخلي تهران - وزارت راه - راه روستايي - روکش"</f>
        <v>فروش داخلي تهران - وزارت راه - راه روستايي - روکش</v>
      </c>
      <c r="S1716" s="1" t="str">
        <f>"قرارداد فروش"</f>
        <v>قرارداد فروش</v>
      </c>
      <c r="T1716" s="1" t="str">
        <f>"ندارد"</f>
        <v>ندارد</v>
      </c>
      <c r="U1716" s="1" t="str">
        <f>"قره باغي مجيد(1871065)"</f>
        <v>قره باغي مجيد(1871065)</v>
      </c>
      <c r="V1716" s="1">
        <v>961700229</v>
      </c>
      <c r="W1716" s="1">
        <v>961700229</v>
      </c>
      <c r="X1716" s="1" t="str">
        <f>"1396553920"</f>
        <v>1396553920</v>
      </c>
      <c r="Y1716" s="1" t="str">
        <f>"96/12/24"</f>
        <v>96/12/24</v>
      </c>
      <c r="Z1716" s="1" t="str">
        <f>"48011/710"</f>
        <v>48011/710</v>
      </c>
      <c r="AA1716" s="1" t="str">
        <f>"راه روستائي -روكش"</f>
        <v>راه روستائي -روكش</v>
      </c>
      <c r="AB1716" s="1" t="str">
        <f>"96/09/19"</f>
        <v>96/09/19</v>
      </c>
      <c r="AC1716" s="1" t="str">
        <f>"استان چهارمحال بختياري"</f>
        <v>استان چهارمحال بختياري</v>
      </c>
      <c r="AD1716" s="1" t="str">
        <f>"96/12/20"</f>
        <v>96/12/20</v>
      </c>
      <c r="AE1716" s="1" t="str">
        <f>"اختتام"</f>
        <v>اختتام</v>
      </c>
      <c r="AF1716" s="1" t="str">
        <f>""</f>
        <v/>
      </c>
      <c r="AG1716" s="1" t="str">
        <f>""</f>
        <v/>
      </c>
      <c r="AH1716" s="1" t="str">
        <f>""</f>
        <v/>
      </c>
      <c r="AI1716" s="1" t="str">
        <f>""</f>
        <v/>
      </c>
      <c r="AJ1716" s="1" t="str">
        <f>""</f>
        <v/>
      </c>
      <c r="AK1716" s="1" t="str">
        <f>""</f>
        <v/>
      </c>
    </row>
    <row r="1717" spans="1:37">
      <c r="A1717" s="1">
        <v>300000</v>
      </c>
      <c r="B1717" s="1">
        <v>961900079</v>
      </c>
      <c r="C1717" s="1" t="str">
        <f>"تخليه -چهارمحال بختياري -شهرستان لردگان كيلومتر6جاده ياسوج روبروي روستايرسلح چين -كارخانه آسفالت كوثر"</f>
        <v>تخليه -چهارمحال بختياري -شهرستان لردگان كيلومتر6جاده ياسوج روبروي روستايرسلح چين -كارخانه آسفالت كوثر</v>
      </c>
      <c r="D1717" s="1">
        <v>8904</v>
      </c>
      <c r="E1717" s="1">
        <v>299600</v>
      </c>
      <c r="F1717" s="1">
        <v>96</v>
      </c>
      <c r="G1717" s="1">
        <v>400</v>
      </c>
      <c r="H1717" s="1" t="str">
        <f>"96/04/25"</f>
        <v>96/04/25</v>
      </c>
      <c r="I1717" s="1" t="str">
        <f>"كيلوگرم"</f>
        <v>كيلوگرم</v>
      </c>
      <c r="J1717" s="1" t="str">
        <f>"0000000088"</f>
        <v>0000000088</v>
      </c>
      <c r="K1717" s="1" t="str">
        <f>"قير  PG58-22"</f>
        <v>قير  PG58-22</v>
      </c>
      <c r="L1717" s="1">
        <v>100</v>
      </c>
      <c r="M1717" s="1" t="str">
        <f>"مخازن قير اصفهان"</f>
        <v>مخازن قير اصفهان</v>
      </c>
      <c r="N1717" s="1">
        <v>9130</v>
      </c>
      <c r="O1717" s="1">
        <v>50035213</v>
      </c>
      <c r="P1717" s="1" t="str">
        <f>"  مهندسي دورك عمران"</f>
        <v xml:space="preserve">  مهندسي دورك عمران</v>
      </c>
      <c r="Q1717" s="1">
        <v>19</v>
      </c>
      <c r="R171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717" s="1" t="str">
        <f>"قرارداد فروش"</f>
        <v>قرارداد فروش</v>
      </c>
      <c r="T1717" s="1" t="str">
        <f>"ندارد"</f>
        <v>ندارد</v>
      </c>
      <c r="U1717" s="1" t="str">
        <f>"قره باغي مجيد(1871065)"</f>
        <v>قره باغي مجيد(1871065)</v>
      </c>
      <c r="V1717" s="1">
        <v>961900079</v>
      </c>
      <c r="W1717" s="1">
        <v>961900079</v>
      </c>
      <c r="X1717" s="1" t="str">
        <f>"1396496980"</f>
        <v>1396496980</v>
      </c>
      <c r="Y1717" s="1" t="str">
        <f>"96/04/25"</f>
        <v>96/04/25</v>
      </c>
      <c r="Z1717" s="1" t="str">
        <f>"18345/710"</f>
        <v>18345/710</v>
      </c>
      <c r="AA1717" s="1" t="str">
        <f>"سازمان راهداري وحمل نقل جاده اي"</f>
        <v>سازمان راهداري وحمل نقل جاده اي</v>
      </c>
      <c r="AB1717" s="1" t="str">
        <f>"96/04/24"</f>
        <v>96/04/24</v>
      </c>
      <c r="AC1717" s="1" t="str">
        <f>"استان چهارمحال بختياري"</f>
        <v>استان چهارمحال بختياري</v>
      </c>
      <c r="AD1717" s="1" t="str">
        <f>"96/04/25"</f>
        <v>96/04/25</v>
      </c>
      <c r="AE1717" s="1" t="str">
        <f>"اختتام"</f>
        <v>اختتام</v>
      </c>
      <c r="AF1717" s="1" t="str">
        <f>""</f>
        <v/>
      </c>
      <c r="AG1717" s="1" t="str">
        <f>""</f>
        <v/>
      </c>
      <c r="AH1717" s="1" t="str">
        <f>""</f>
        <v/>
      </c>
      <c r="AI1717" s="1" t="str">
        <f>""</f>
        <v/>
      </c>
      <c r="AJ1717" s="1" t="str">
        <f>""</f>
        <v/>
      </c>
      <c r="AK1717" s="1" t="str">
        <f>""</f>
        <v/>
      </c>
    </row>
    <row r="1718" spans="1:37">
      <c r="A1718" s="1">
        <v>400000</v>
      </c>
      <c r="B1718" s="1">
        <v>961800024</v>
      </c>
      <c r="C1718" s="1" t="str">
        <f>"تخليه -كيلومتر25سقز-سنندج -کارخانه آسفالت شركت بيس راه"</f>
        <v>تخليه -كيلومتر25سقز-سنندج -کارخانه آسفالت شركت بيس راه</v>
      </c>
      <c r="D1718" s="1">
        <v>8904</v>
      </c>
      <c r="E1718" s="1">
        <v>400000</v>
      </c>
      <c r="F1718" s="1">
        <v>96</v>
      </c>
      <c r="G1718" s="1">
        <v>0</v>
      </c>
      <c r="H1718" s="1" t="str">
        <f>"96/05/17"</f>
        <v>96/05/17</v>
      </c>
      <c r="I1718" s="1" t="str">
        <f>"كيلوگرم"</f>
        <v>كيلوگرم</v>
      </c>
      <c r="J1718" s="1" t="str">
        <f>"0000000088"</f>
        <v>0000000088</v>
      </c>
      <c r="K1718" s="1" t="str">
        <f>"قير  PG58-22"</f>
        <v>قير  PG58-22</v>
      </c>
      <c r="L1718" s="1">
        <v>100</v>
      </c>
      <c r="M1718" s="1" t="str">
        <f>"مخازن قير اصفهان"</f>
        <v>مخازن قير اصفهان</v>
      </c>
      <c r="N1718" s="1">
        <v>9805</v>
      </c>
      <c r="O1718" s="1">
        <v>50035563</v>
      </c>
      <c r="P1718" s="1" t="str">
        <f>"  بيس راه"</f>
        <v xml:space="preserve">  بيس راه</v>
      </c>
      <c r="Q1718" s="1">
        <v>18</v>
      </c>
      <c r="R1718" s="1" t="str">
        <f>"فروش داخلي تهران - وزارت راه - شرکت ساخت و توسعه راهها"</f>
        <v>فروش داخلي تهران - وزارت راه - شرکت ساخت و توسعه راهها</v>
      </c>
      <c r="S1718" s="1" t="str">
        <f>"قرارداد فروش"</f>
        <v>قرارداد فروش</v>
      </c>
      <c r="T1718" s="1" t="str">
        <f>"ندارد"</f>
        <v>ندارد</v>
      </c>
      <c r="U1718" s="1" t="str">
        <f>"خليلي مقدم حسين(3843001)"</f>
        <v>خليلي مقدم حسين(3843001)</v>
      </c>
      <c r="V1718" s="1">
        <v>961800024</v>
      </c>
      <c r="W1718" s="1">
        <v>961800024</v>
      </c>
      <c r="X1718" s="1" t="str">
        <f>"1396503550"</f>
        <v>1396503550</v>
      </c>
      <c r="Y1718" s="1" t="str">
        <f>"96/05/17"</f>
        <v>96/05/17</v>
      </c>
      <c r="Z1718" s="1" t="str">
        <f>"22429/710"</f>
        <v>22429/710</v>
      </c>
      <c r="AA1718" s="1" t="str">
        <f>"شركت  ساخت وتوسعه راهها"</f>
        <v>شركت  ساخت وتوسعه راهها</v>
      </c>
      <c r="AB1718" s="1" t="str">
        <f>"96/05/11"</f>
        <v>96/05/11</v>
      </c>
      <c r="AC1718" s="1" t="str">
        <f>"استان كرمانشاه"</f>
        <v>استان كرمانشاه</v>
      </c>
      <c r="AD1718" s="1" t="str">
        <f>"96/05/17"</f>
        <v>96/05/17</v>
      </c>
      <c r="AE1718" s="1" t="str">
        <f>"اختتام"</f>
        <v>اختتام</v>
      </c>
      <c r="AF1718" s="1" t="str">
        <f>""</f>
        <v/>
      </c>
      <c r="AG1718" s="1" t="str">
        <f>""</f>
        <v/>
      </c>
      <c r="AH1718" s="1" t="str">
        <f>""</f>
        <v/>
      </c>
      <c r="AI1718" s="1" t="str">
        <f>""</f>
        <v/>
      </c>
      <c r="AJ1718" s="1" t="str">
        <f>""</f>
        <v/>
      </c>
      <c r="AK1718" s="1" t="str">
        <f>""</f>
        <v/>
      </c>
    </row>
    <row r="1719" spans="1:37">
      <c r="A1719" s="1">
        <v>66000</v>
      </c>
      <c r="B1719" s="1">
        <v>961100028</v>
      </c>
      <c r="C1719" s="1" t="str">
        <f>"تخليه -زابل -کيلومتر45جاده زابل -نهبندان -نرسيده به روستاي ميل نادر-موسسه نصر"</f>
        <v>تخليه -زابل -کيلومتر45جاده زابل -نهبندان -نرسيده به روستاي ميل نادر-موسسه نصر</v>
      </c>
      <c r="D1719" s="1">
        <v>12222</v>
      </c>
      <c r="E1719" s="1">
        <v>63880</v>
      </c>
      <c r="F1719" s="1">
        <v>96</v>
      </c>
      <c r="G1719" s="1">
        <v>2120</v>
      </c>
      <c r="H1719" s="1" t="str">
        <f>"96/03/29"</f>
        <v>96/03/29</v>
      </c>
      <c r="I1719" s="1" t="str">
        <f>"كيلوگرم"</f>
        <v>كيلوگرم</v>
      </c>
      <c r="J1719" s="1" t="str">
        <f>"1000000003"</f>
        <v>1000000003</v>
      </c>
      <c r="K1719" s="1" t="str">
        <f>"قير MC250"</f>
        <v>قير MC250</v>
      </c>
      <c r="L1719" s="1">
        <v>100</v>
      </c>
      <c r="M1719" s="1" t="str">
        <f>"مخازن قير اصفهان"</f>
        <v>مخازن قير اصفهان</v>
      </c>
      <c r="N1719" s="1">
        <v>8316</v>
      </c>
      <c r="O1719" s="1">
        <v>50035029</v>
      </c>
      <c r="P1719" s="1" t="str">
        <f>"  موسسه سازندگي نصر"</f>
        <v xml:space="preserve">  موسسه سازندگي نصر</v>
      </c>
      <c r="Q1719" s="1">
        <v>11</v>
      </c>
      <c r="R1719" s="1" t="str">
        <f>"فروش داخلي تهران - بورس"</f>
        <v>فروش داخلي تهران - بورس</v>
      </c>
      <c r="S1719" s="1" t="str">
        <f>"قرارداد فروش"</f>
        <v>قرارداد فروش</v>
      </c>
      <c r="T1719" s="1" t="str">
        <f>"ندارد"</f>
        <v>ندارد</v>
      </c>
      <c r="U1719" s="1" t="str">
        <f>"ميرحسيني چاپارحقيقت كرمان(4844008)"</f>
        <v>ميرحسيني چاپارحقيقت كرمان(4844008)</v>
      </c>
      <c r="V1719" s="1">
        <v>961100028</v>
      </c>
      <c r="W1719" s="1">
        <v>961100028</v>
      </c>
      <c r="X1719" s="1" t="str">
        <f>"1396489106"</f>
        <v>1396489106</v>
      </c>
      <c r="Y1719" s="1" t="str">
        <f>"96/03/29"</f>
        <v>96/03/29</v>
      </c>
      <c r="Z1719" s="1" t="str">
        <f>"240/61/65/4308س"</f>
        <v>240/61/65/4308س</v>
      </c>
      <c r="AA1719" s="1" t="str">
        <f>"راه سازي"</f>
        <v>راه سازي</v>
      </c>
      <c r="AB1719" s="1" t="str">
        <f>"96/03/04"</f>
        <v>96/03/04</v>
      </c>
      <c r="AC1719" s="1" t="str">
        <f>"استان سيستان بلوچستان"</f>
        <v>استان سيستان بلوچستان</v>
      </c>
      <c r="AD1719" s="1" t="str">
        <f>"96/03/29"</f>
        <v>96/03/29</v>
      </c>
      <c r="AE1719" s="1" t="str">
        <f>"اختتام"</f>
        <v>اختتام</v>
      </c>
      <c r="AF1719" s="1" t="str">
        <f>""</f>
        <v/>
      </c>
      <c r="AG1719" s="1" t="str">
        <f>""</f>
        <v/>
      </c>
      <c r="AH1719" s="1" t="str">
        <f>""</f>
        <v/>
      </c>
      <c r="AI1719" s="1" t="str">
        <f>""</f>
        <v/>
      </c>
      <c r="AJ1719" s="1" t="str">
        <f>""</f>
        <v/>
      </c>
      <c r="AK1719" s="1" t="str">
        <f>""</f>
        <v/>
      </c>
    </row>
    <row r="1720" spans="1:37">
      <c r="A1720" s="1">
        <v>84000</v>
      </c>
      <c r="B1720" s="1">
        <v>961700221</v>
      </c>
      <c r="C1720" s="1" t="str">
        <f>"تخليه كردستان سنته كارخانه آسفالت سنته سقز"</f>
        <v>تخليه كردستان سنته كارخانه آسفالت سنته سقز</v>
      </c>
      <c r="D1720" s="1">
        <v>13100</v>
      </c>
      <c r="E1720" s="1">
        <v>82380</v>
      </c>
      <c r="F1720" s="1">
        <v>96</v>
      </c>
      <c r="G1720" s="1">
        <v>1620</v>
      </c>
      <c r="H1720" s="1" t="str">
        <f>"96/12/24"</f>
        <v>96/12/24</v>
      </c>
      <c r="I1720" s="1" t="str">
        <f>"كيلوگرم"</f>
        <v>كيلوگرم</v>
      </c>
      <c r="J1720" s="1" t="str">
        <f>"0000000088"</f>
        <v>0000000088</v>
      </c>
      <c r="K1720" s="1" t="str">
        <f>"قير  PG58-22"</f>
        <v>قير  PG58-22</v>
      </c>
      <c r="L1720" s="1">
        <v>100</v>
      </c>
      <c r="M1720" s="1" t="str">
        <f>"مخازن قير اصفهان"</f>
        <v>مخازن قير اصفهان</v>
      </c>
      <c r="N1720" s="1">
        <v>10079</v>
      </c>
      <c r="O1720" s="1">
        <v>50039002</v>
      </c>
      <c r="P1720" s="1" t="str">
        <f>"  نماسازسنه دژ"</f>
        <v xml:space="preserve">  نماسازسنه دژ</v>
      </c>
      <c r="Q1720" s="1">
        <v>17</v>
      </c>
      <c r="R1720" s="1" t="str">
        <f>"فروش داخلي تهران - وزارت راه - راه روستايي - روکش"</f>
        <v>فروش داخلي تهران - وزارت راه - راه روستايي - روکش</v>
      </c>
      <c r="S1720" s="1" t="str">
        <f>"قرارداد فروش"</f>
        <v>قرارداد فروش</v>
      </c>
      <c r="T1720" s="1" t="str">
        <f>"ندارد"</f>
        <v>ندارد</v>
      </c>
      <c r="U1720" s="1" t="str">
        <f>"قنبري امين(2872037)"</f>
        <v>قنبري امين(2872037)</v>
      </c>
      <c r="V1720" s="1">
        <v>961700221</v>
      </c>
      <c r="W1720" s="1">
        <v>961700221</v>
      </c>
      <c r="X1720" s="1" t="str">
        <f>"1396555242"</f>
        <v>1396555242</v>
      </c>
      <c r="Y1720" s="1" t="str">
        <f>"96/12/24"</f>
        <v>96/12/24</v>
      </c>
      <c r="Z1720" s="1" t="str">
        <f>"47276/710"</f>
        <v>47276/710</v>
      </c>
      <c r="AA1720" s="1" t="str">
        <f>"راه روستائي -روكش"</f>
        <v>راه روستائي -روكش</v>
      </c>
      <c r="AB1720" s="1" t="str">
        <f>"96/09/14"</f>
        <v>96/09/14</v>
      </c>
      <c r="AC1720" s="1" t="str">
        <f>"استان كردستان"</f>
        <v>استان كردستان</v>
      </c>
      <c r="AD1720" s="1" t="str">
        <f>"96/12/23"</f>
        <v>96/12/23</v>
      </c>
      <c r="AE1720" s="1" t="str">
        <f>"اختتام"</f>
        <v>اختتام</v>
      </c>
      <c r="AF1720" s="1" t="str">
        <f>""</f>
        <v/>
      </c>
      <c r="AG1720" s="1" t="str">
        <f>""</f>
        <v/>
      </c>
      <c r="AH1720" s="1" t="str">
        <f>""</f>
        <v/>
      </c>
      <c r="AI1720" s="1" t="str">
        <f>""</f>
        <v/>
      </c>
      <c r="AJ1720" s="1" t="str">
        <f>""</f>
        <v/>
      </c>
      <c r="AK1720" s="1" t="str">
        <f>""</f>
        <v/>
      </c>
    </row>
    <row r="1721" spans="1:37">
      <c r="A1721" s="1">
        <v>243000</v>
      </c>
      <c r="B1721" s="1">
        <v>961700138</v>
      </c>
      <c r="C1721" s="1" t="str">
        <f>"تخليه -كردستان -پروژه اورامان -نوين- شركت ماتاناسازه كردستان"</f>
        <v>تخليه -كردستان -پروژه اورامان -نوين- شركت ماتاناسازه كردستان</v>
      </c>
      <c r="D1721" s="1">
        <v>9716</v>
      </c>
      <c r="E1721" s="1">
        <v>242640</v>
      </c>
      <c r="F1721" s="1">
        <v>96</v>
      </c>
      <c r="G1721" s="1">
        <v>360</v>
      </c>
      <c r="H1721" s="1" t="str">
        <f>"96/07/22"</f>
        <v>96/07/22</v>
      </c>
      <c r="I1721" s="1" t="str">
        <f>"كيلوگرم"</f>
        <v>كيلوگرم</v>
      </c>
      <c r="J1721" s="1" t="str">
        <f>"0000000088"</f>
        <v>0000000088</v>
      </c>
      <c r="K1721" s="1" t="str">
        <f>"قير  PG58-22"</f>
        <v>قير  PG58-22</v>
      </c>
      <c r="L1721" s="1">
        <v>100</v>
      </c>
      <c r="M1721" s="1" t="str">
        <f>"مخازن قير اصفهان"</f>
        <v>مخازن قير اصفهان</v>
      </c>
      <c r="N1721" s="1">
        <v>10630</v>
      </c>
      <c r="O1721" s="1">
        <v>50036699</v>
      </c>
      <c r="P1721" s="1" t="str">
        <f>"  ماتاناسازه كردستان"</f>
        <v xml:space="preserve">  ماتاناسازه كردستان</v>
      </c>
      <c r="Q1721" s="1">
        <v>17</v>
      </c>
      <c r="R1721" s="1" t="str">
        <f>"فروش داخلي تهران - وزارت راه - راه روستايي - روکش"</f>
        <v>فروش داخلي تهران - وزارت راه - راه روستايي - روکش</v>
      </c>
      <c r="S1721" s="1" t="str">
        <f>"قرارداد فروش"</f>
        <v>قرارداد فروش</v>
      </c>
      <c r="T1721" s="1" t="str">
        <f>"ندارد"</f>
        <v>ندارد</v>
      </c>
      <c r="U1721" s="1" t="str">
        <f>"ميهن دوست عبداله(2842010)"</f>
        <v>ميهن دوست عبداله(2842010)</v>
      </c>
      <c r="V1721" s="1">
        <v>961700138</v>
      </c>
      <c r="W1721" s="1">
        <v>961700138</v>
      </c>
      <c r="X1721" s="1" t="str">
        <f>"1396518620"</f>
        <v>1396518620</v>
      </c>
      <c r="Y1721" s="1" t="str">
        <f>"96/07/22"</f>
        <v>96/07/22</v>
      </c>
      <c r="Z1721" s="1" t="str">
        <f>"34412/710"</f>
        <v>34412/710</v>
      </c>
      <c r="AA1721" s="1" t="str">
        <f>"راه روستائي -روكش"</f>
        <v>راه روستائي -روكش</v>
      </c>
      <c r="AB1721" s="1" t="str">
        <f>"96/07/15"</f>
        <v>96/07/15</v>
      </c>
      <c r="AC1721" s="1" t="str">
        <f>"استان كردستان"</f>
        <v>استان كردستان</v>
      </c>
      <c r="AD1721" s="1" t="str">
        <f>"96/07/22"</f>
        <v>96/07/22</v>
      </c>
      <c r="AE1721" s="1" t="str">
        <f>"اختتام"</f>
        <v>اختتام</v>
      </c>
      <c r="AF1721" s="1" t="str">
        <f>""</f>
        <v/>
      </c>
      <c r="AG1721" s="1" t="str">
        <f>""</f>
        <v/>
      </c>
      <c r="AH1721" s="1" t="str">
        <f>""</f>
        <v/>
      </c>
      <c r="AI1721" s="1" t="str">
        <f>""</f>
        <v/>
      </c>
      <c r="AJ1721" s="1" t="str">
        <f>""</f>
        <v/>
      </c>
      <c r="AK1721" s="1" t="str">
        <f>""</f>
        <v/>
      </c>
    </row>
    <row r="1722" spans="1:37">
      <c r="A1722" s="1">
        <v>450000</v>
      </c>
      <c r="B1722" s="1">
        <v>961700090</v>
      </c>
      <c r="C1722" s="1" t="str">
        <f>"تخليه يزدكارخانه آسفالت شركت زاويه سازيزد"</f>
        <v>تخليه يزدكارخانه آسفالت شركت زاويه سازيزد</v>
      </c>
      <c r="D1722" s="1">
        <v>9363</v>
      </c>
      <c r="E1722" s="1">
        <v>449580</v>
      </c>
      <c r="F1722" s="1">
        <v>96</v>
      </c>
      <c r="G1722" s="1">
        <v>420</v>
      </c>
      <c r="H1722" s="1" t="str">
        <f>"96/06/21"</f>
        <v>96/06/21</v>
      </c>
      <c r="I1722" s="1" t="str">
        <f>"كيلوگرم"</f>
        <v>كيلوگرم</v>
      </c>
      <c r="J1722" s="1" t="str">
        <f>"0000000091"</f>
        <v>0000000091</v>
      </c>
      <c r="K1722" s="1" t="str">
        <f>"قير  PG64-22"</f>
        <v>قير  PG64-22</v>
      </c>
      <c r="L1722" s="1">
        <v>100</v>
      </c>
      <c r="M1722" s="1" t="str">
        <f>"مخازن قير اصفهان"</f>
        <v>مخازن قير اصفهان</v>
      </c>
      <c r="N1722" s="1">
        <v>1602</v>
      </c>
      <c r="O1722" s="1">
        <v>50035967</v>
      </c>
      <c r="P1722" s="1" t="str">
        <f>"  اداره كل راه و شهرسازي يزد"</f>
        <v xml:space="preserve">  اداره كل راه و شهرسازي يزد</v>
      </c>
      <c r="Q1722" s="1">
        <v>17</v>
      </c>
      <c r="R1722" s="1" t="str">
        <f>"فروش داخلي تهران - وزارت راه - راه روستايي - روکش"</f>
        <v>فروش داخلي تهران - وزارت راه - راه روستايي - روکش</v>
      </c>
      <c r="S1722" s="1" t="str">
        <f>"قرارداد فروش"</f>
        <v>قرارداد فروش</v>
      </c>
      <c r="T1722" s="1" t="str">
        <f>"ندارد"</f>
        <v>ندارد</v>
      </c>
      <c r="U1722" s="1" t="str">
        <f>"شيخي خيراله (1841012)"</f>
        <v>شيخي خيراله (1841012)</v>
      </c>
      <c r="V1722" s="1">
        <v>961700090</v>
      </c>
      <c r="W1722" s="1">
        <v>961700090</v>
      </c>
      <c r="X1722" s="1" t="str">
        <f>"1396511613"</f>
        <v>1396511613</v>
      </c>
      <c r="Y1722" s="1" t="str">
        <f>"96/06/21"</f>
        <v>96/06/21</v>
      </c>
      <c r="Z1722" s="1" t="str">
        <f>"29808/710"</f>
        <v>29808/710</v>
      </c>
      <c r="AA1722" s="1" t="str">
        <f>"راه روستائي -روكش"</f>
        <v>راه روستائي -روكش</v>
      </c>
      <c r="AB1722" s="1" t="str">
        <f>"96/06/15"</f>
        <v>96/06/15</v>
      </c>
      <c r="AC1722" s="1" t="str">
        <f>"استان يزد"</f>
        <v>استان يزد</v>
      </c>
      <c r="AD1722" s="1" t="str">
        <f>"96/06/21"</f>
        <v>96/06/21</v>
      </c>
      <c r="AE1722" s="1" t="str">
        <f>"اختتام"</f>
        <v>اختتام</v>
      </c>
      <c r="AF1722" s="1" t="str">
        <f>""</f>
        <v/>
      </c>
      <c r="AG1722" s="1" t="str">
        <f>""</f>
        <v/>
      </c>
      <c r="AH1722" s="1" t="str">
        <f>""</f>
        <v/>
      </c>
      <c r="AI1722" s="1" t="str">
        <f>""</f>
        <v/>
      </c>
      <c r="AJ1722" s="1" t="str">
        <f>""</f>
        <v/>
      </c>
      <c r="AK1722" s="1" t="str">
        <f>""</f>
        <v/>
      </c>
    </row>
    <row r="1723" spans="1:37">
      <c r="A1723" s="1">
        <v>200000</v>
      </c>
      <c r="B1723" s="1">
        <v>961700148</v>
      </c>
      <c r="C1723" s="1" t="str">
        <f>"تخليه يزدشهرستان ابركوه كارخانه آسفالت شهرداري ابركوه"</f>
        <v>تخليه يزدشهرستان ابركوه كارخانه آسفالت شهرداري ابركوه</v>
      </c>
      <c r="D1723" s="1">
        <v>16350</v>
      </c>
      <c r="E1723" s="1">
        <v>199740</v>
      </c>
      <c r="F1723" s="1">
        <v>96</v>
      </c>
      <c r="G1723" s="1">
        <v>260</v>
      </c>
      <c r="H1723" s="1" t="str">
        <f>"96/08/06"</f>
        <v>96/08/06</v>
      </c>
      <c r="I1723" s="1" t="str">
        <f>"كيلوگرم"</f>
        <v>كيلوگرم</v>
      </c>
      <c r="J1723" s="1" t="str">
        <f>"0000000091"</f>
        <v>0000000091</v>
      </c>
      <c r="K1723" s="1" t="str">
        <f>"قير  PG64-22"</f>
        <v>قير  PG64-22</v>
      </c>
      <c r="L1723" s="1">
        <v>100</v>
      </c>
      <c r="M1723" s="1" t="str">
        <f>"مخازن قير اصفهان"</f>
        <v>مخازن قير اصفهان</v>
      </c>
      <c r="N1723" s="1">
        <v>1602</v>
      </c>
      <c r="O1723" s="1">
        <v>50036921</v>
      </c>
      <c r="P1723" s="1" t="str">
        <f>"  اداره كل راه و شهرسازي يزد"</f>
        <v xml:space="preserve">  اداره كل راه و شهرسازي يزد</v>
      </c>
      <c r="Q1723" s="1">
        <v>17</v>
      </c>
      <c r="R1723" s="1" t="str">
        <f>"فروش داخلي تهران - وزارت راه - راه روستايي - روکش"</f>
        <v>فروش داخلي تهران - وزارت راه - راه روستايي - روکش</v>
      </c>
      <c r="S1723" s="1" t="str">
        <f>"قرارداد فروش"</f>
        <v>قرارداد فروش</v>
      </c>
      <c r="T1723" s="1" t="str">
        <f>"ندارد"</f>
        <v>ندارد</v>
      </c>
      <c r="U1723" s="1" t="str">
        <f>"قانعي محمدرضا(1011ج89)"</f>
        <v>قانعي محمدرضا(1011ج89)</v>
      </c>
      <c r="V1723" s="1">
        <v>961700148</v>
      </c>
      <c r="W1723" s="1">
        <v>961700148</v>
      </c>
      <c r="X1723" s="1" t="str">
        <f>"1396521774"</f>
        <v>1396521774</v>
      </c>
      <c r="Y1723" s="1" t="str">
        <f>"96/08/06"</f>
        <v>96/08/06</v>
      </c>
      <c r="Z1723" s="1" t="str">
        <f>"37011/710"</f>
        <v>37011/710</v>
      </c>
      <c r="AA1723" s="1" t="str">
        <f>"راه روستائي -روكش"</f>
        <v>راه روستائي -روكش</v>
      </c>
      <c r="AB1723" s="1" t="str">
        <f>"96/07/25"</f>
        <v>96/07/25</v>
      </c>
      <c r="AC1723" s="1" t="str">
        <f>"استان يزد"</f>
        <v>استان يزد</v>
      </c>
      <c r="AD1723" s="1" t="str">
        <f>"96/08/06"</f>
        <v>96/08/06</v>
      </c>
      <c r="AE1723" s="1" t="str">
        <f>"اختتام"</f>
        <v>اختتام</v>
      </c>
      <c r="AF1723" s="1" t="str">
        <f>""</f>
        <v/>
      </c>
      <c r="AG1723" s="1" t="str">
        <f>""</f>
        <v/>
      </c>
      <c r="AH1723" s="1" t="str">
        <f>""</f>
        <v/>
      </c>
      <c r="AI1723" s="1" t="str">
        <f>""</f>
        <v/>
      </c>
      <c r="AJ1723" s="1" t="str">
        <f>""</f>
        <v/>
      </c>
      <c r="AK1723" s="1" t="str">
        <f>""</f>
        <v/>
      </c>
    </row>
    <row r="1724" spans="1:37">
      <c r="A1724" s="1">
        <v>300000</v>
      </c>
      <c r="B1724" s="1">
        <v>966100020</v>
      </c>
      <c r="C1724" s="1" t="str">
        <f>"تخليه يزدكارخانه آسفالت شركت زاويه سازيزد"</f>
        <v>تخليه يزدكارخانه آسفالت شركت زاويه سازيزد</v>
      </c>
      <c r="D1724" s="1">
        <v>13100</v>
      </c>
      <c r="E1724" s="1">
        <v>299300</v>
      </c>
      <c r="F1724" s="1">
        <v>96</v>
      </c>
      <c r="G1724" s="1">
        <v>700</v>
      </c>
      <c r="H1724" s="1" t="str">
        <f>"96/12/13"</f>
        <v>96/12/13</v>
      </c>
      <c r="I1724" s="1" t="str">
        <f>"كيلوگرم"</f>
        <v>كيلوگرم</v>
      </c>
      <c r="J1724" s="1" t="str">
        <f>"0000000091"</f>
        <v>0000000091</v>
      </c>
      <c r="K1724" s="1" t="str">
        <f>"قير  PG64-22"</f>
        <v>قير  PG64-22</v>
      </c>
      <c r="L1724" s="1">
        <v>100</v>
      </c>
      <c r="M1724" s="1" t="str">
        <f>"مخازن قير اصفهان"</f>
        <v>مخازن قير اصفهان</v>
      </c>
      <c r="N1724" s="1">
        <v>1602</v>
      </c>
      <c r="O1724" s="1">
        <v>50038736</v>
      </c>
      <c r="P1724" s="1" t="str">
        <f>"  اداره كل راه و شهرسازي يزد"</f>
        <v xml:space="preserve">  اداره كل راه و شهرسازي يزد</v>
      </c>
      <c r="Q1724" s="1">
        <v>61</v>
      </c>
      <c r="R1724" s="1" t="str">
        <f>"فروش داخلي - وزارت راه - مسكن مهر"</f>
        <v>فروش داخلي - وزارت راه - مسكن مهر</v>
      </c>
      <c r="S1724" s="1" t="str">
        <f>"قرارداد فروش"</f>
        <v>قرارداد فروش</v>
      </c>
      <c r="T1724" s="1" t="str">
        <f>"ندارد"</f>
        <v>ندارد</v>
      </c>
      <c r="U1724" s="1" t="str">
        <f>"قانعي محمدرضا(1011ج89)"</f>
        <v>قانعي محمدرضا(1011ج89)</v>
      </c>
      <c r="V1724" s="1">
        <v>966100020</v>
      </c>
      <c r="W1724" s="1">
        <v>966100020</v>
      </c>
      <c r="X1724" s="1" t="str">
        <f>"1396511133"</f>
        <v>1396511133</v>
      </c>
      <c r="Y1724" s="1" t="str">
        <f>"96/12/13"</f>
        <v>96/12/13</v>
      </c>
      <c r="Z1724" s="1" t="str">
        <f>"29621/710"</f>
        <v>29621/710</v>
      </c>
      <c r="AA1724" s="1" t="str">
        <f>"مسكن مهر-وزارت راه"</f>
        <v>مسكن مهر-وزارت راه</v>
      </c>
      <c r="AB1724" s="1" t="str">
        <f>"96/06/15"</f>
        <v>96/06/15</v>
      </c>
      <c r="AC1724" s="1" t="str">
        <f>"استان يزد"</f>
        <v>استان يزد</v>
      </c>
      <c r="AD1724" s="1" t="str">
        <f>"96/06/19"</f>
        <v>96/06/19</v>
      </c>
      <c r="AE1724" s="1" t="str">
        <f>"اختتام"</f>
        <v>اختتام</v>
      </c>
      <c r="AF1724" s="1" t="str">
        <f>""</f>
        <v/>
      </c>
      <c r="AG1724" s="1" t="str">
        <f>""</f>
        <v/>
      </c>
      <c r="AH1724" s="1" t="str">
        <f>""</f>
        <v/>
      </c>
      <c r="AI1724" s="1" t="str">
        <f>""</f>
        <v/>
      </c>
      <c r="AJ1724" s="1" t="str">
        <f>""</f>
        <v/>
      </c>
      <c r="AK1724" s="1" t="str">
        <f>""</f>
        <v/>
      </c>
    </row>
    <row r="1725" spans="1:37">
      <c r="A1725" s="1">
        <v>279000</v>
      </c>
      <c r="B1725" s="1">
        <v>966100021</v>
      </c>
      <c r="C1725" s="1" t="str">
        <f>"تخليه يزدكارخانه آسفالت شركت زاويه سازيزد"</f>
        <v>تخليه يزدكارخانه آسفالت شركت زاويه سازيزد</v>
      </c>
      <c r="D1725" s="1">
        <v>13600</v>
      </c>
      <c r="E1725" s="1">
        <v>279000</v>
      </c>
      <c r="F1725" s="1">
        <v>96</v>
      </c>
      <c r="G1725" s="1">
        <v>0</v>
      </c>
      <c r="H1725" s="1" t="str">
        <f>"96/12/13"</f>
        <v>96/12/13</v>
      </c>
      <c r="I1725" s="1" t="str">
        <f>"كيلوگرم"</f>
        <v>كيلوگرم</v>
      </c>
      <c r="J1725" s="1" t="str">
        <f>"0000000091"</f>
        <v>0000000091</v>
      </c>
      <c r="K1725" s="1" t="str">
        <f>"قير  PG64-22"</f>
        <v>قير  PG64-22</v>
      </c>
      <c r="L1725" s="1">
        <v>100</v>
      </c>
      <c r="M1725" s="1" t="str">
        <f>"مخازن قير اصفهان"</f>
        <v>مخازن قير اصفهان</v>
      </c>
      <c r="N1725" s="1">
        <v>1602</v>
      </c>
      <c r="O1725" s="1">
        <v>50038737</v>
      </c>
      <c r="P1725" s="1" t="str">
        <f>"  اداره كل راه و شهرسازي يزد"</f>
        <v xml:space="preserve">  اداره كل راه و شهرسازي يزد</v>
      </c>
      <c r="Q1725" s="1">
        <v>61</v>
      </c>
      <c r="R1725" s="1" t="str">
        <f>"فروش داخلي - وزارت راه - مسكن مهر"</f>
        <v>فروش داخلي - وزارت راه - مسكن مهر</v>
      </c>
      <c r="S1725" s="1" t="str">
        <f>"قرارداد فروش"</f>
        <v>قرارداد فروش</v>
      </c>
      <c r="T1725" s="1" t="str">
        <f>"ندارد"</f>
        <v>ندارد</v>
      </c>
      <c r="U1725" s="1" t="str">
        <f>"قانعي محمدرضا(1011ج89)"</f>
        <v>قانعي محمدرضا(1011ج89)</v>
      </c>
      <c r="V1725" s="1">
        <v>966100021</v>
      </c>
      <c r="W1725" s="1">
        <v>966100021</v>
      </c>
      <c r="X1725" s="1" t="str">
        <f>"1396511133"</f>
        <v>1396511133</v>
      </c>
      <c r="Y1725" s="1" t="str">
        <f>"96/12/13"</f>
        <v>96/12/13</v>
      </c>
      <c r="Z1725" s="1" t="str">
        <f>"29621/710"</f>
        <v>29621/710</v>
      </c>
      <c r="AA1725" s="1" t="str">
        <f>"مسكن مهر-وزارت راه"</f>
        <v>مسكن مهر-وزارت راه</v>
      </c>
      <c r="AB1725" s="1" t="str">
        <f>"96/06/15"</f>
        <v>96/06/15</v>
      </c>
      <c r="AC1725" s="1" t="str">
        <f>"استان يزد"</f>
        <v>استان يزد</v>
      </c>
      <c r="AD1725" s="1" t="str">
        <f>"96/06/19"</f>
        <v>96/06/19</v>
      </c>
      <c r="AE1725" s="1" t="str">
        <f>"اختتام"</f>
        <v>اختتام</v>
      </c>
      <c r="AF1725" s="1" t="str">
        <f>""</f>
        <v/>
      </c>
      <c r="AG1725" s="1" t="str">
        <f>""</f>
        <v/>
      </c>
      <c r="AH1725" s="1" t="str">
        <f>""</f>
        <v/>
      </c>
      <c r="AI1725" s="1" t="str">
        <f>""</f>
        <v/>
      </c>
      <c r="AJ1725" s="1" t="str">
        <f>""</f>
        <v/>
      </c>
      <c r="AK1725" s="1" t="str">
        <f>""</f>
        <v/>
      </c>
    </row>
    <row r="1726" spans="1:37">
      <c r="A1726" s="1">
        <v>400000</v>
      </c>
      <c r="B1726" s="1">
        <v>961700219</v>
      </c>
      <c r="C1726" s="1" t="str">
        <f>"تخليه يزدكارخانه آسفالت شركت زاويه سازيزد"</f>
        <v>تخليه يزدكارخانه آسفالت شركت زاويه سازيزد</v>
      </c>
      <c r="D1726" s="1">
        <v>13100</v>
      </c>
      <c r="E1726" s="1">
        <v>400000</v>
      </c>
      <c r="F1726" s="1">
        <v>96</v>
      </c>
      <c r="G1726" s="1">
        <v>0</v>
      </c>
      <c r="H1726" s="1" t="str">
        <f>"96/12/24"</f>
        <v>96/12/24</v>
      </c>
      <c r="I1726" s="1" t="str">
        <f>"كيلوگرم"</f>
        <v>كيلوگرم</v>
      </c>
      <c r="J1726" s="1" t="str">
        <f>"0000000091"</f>
        <v>0000000091</v>
      </c>
      <c r="K1726" s="1" t="str">
        <f>"قير  PG64-22"</f>
        <v>قير  PG64-22</v>
      </c>
      <c r="L1726" s="1">
        <v>100</v>
      </c>
      <c r="M1726" s="1" t="str">
        <f>"مخازن قير اصفهان"</f>
        <v>مخازن قير اصفهان</v>
      </c>
      <c r="N1726" s="1">
        <v>1602</v>
      </c>
      <c r="O1726" s="1">
        <v>50038998</v>
      </c>
      <c r="P1726" s="1" t="str">
        <f>"  اداره كل راه و شهرسازي يزد"</f>
        <v xml:space="preserve">  اداره كل راه و شهرسازي يزد</v>
      </c>
      <c r="Q1726" s="1">
        <v>17</v>
      </c>
      <c r="R1726" s="1" t="str">
        <f>"فروش داخلي تهران - وزارت راه - راه روستايي - روکش"</f>
        <v>فروش داخلي تهران - وزارت راه - راه روستايي - روکش</v>
      </c>
      <c r="S1726" s="1" t="str">
        <f>"قرارداد فروش"</f>
        <v>قرارداد فروش</v>
      </c>
      <c r="T1726" s="1" t="str">
        <f>"ندارد"</f>
        <v>ندارد</v>
      </c>
      <c r="U1726" s="1" t="str">
        <f>"شيخي خيراله (1841012)"</f>
        <v>شيخي خيراله (1841012)</v>
      </c>
      <c r="V1726" s="1">
        <v>961700219</v>
      </c>
      <c r="W1726" s="1">
        <v>961700219</v>
      </c>
      <c r="X1726" s="1" t="str">
        <f>"1396553917"</f>
        <v>1396553917</v>
      </c>
      <c r="Y1726" s="1" t="str">
        <f>"96/12/24"</f>
        <v>96/12/24</v>
      </c>
      <c r="Z1726" s="1" t="str">
        <f>"53203/710"</f>
        <v>53203/710</v>
      </c>
      <c r="AA1726" s="1" t="str">
        <f>"راه روستائي -روكش"</f>
        <v>راه روستائي -روكش</v>
      </c>
      <c r="AB1726" s="1" t="str">
        <f>"96/10/13"</f>
        <v>96/10/13</v>
      </c>
      <c r="AC1726" s="1" t="str">
        <f>"استان يزد"</f>
        <v>استان يزد</v>
      </c>
      <c r="AD1726" s="1" t="str">
        <f>"96/12/20"</f>
        <v>96/12/20</v>
      </c>
      <c r="AE1726" s="1" t="str">
        <f>"اختتام"</f>
        <v>اختتام</v>
      </c>
      <c r="AF1726" s="1" t="str">
        <f>""</f>
        <v/>
      </c>
      <c r="AG1726" s="1" t="str">
        <f>""</f>
        <v/>
      </c>
      <c r="AH1726" s="1" t="str">
        <f>""</f>
        <v/>
      </c>
      <c r="AI1726" s="1" t="str">
        <f>""</f>
        <v/>
      </c>
      <c r="AJ1726" s="1" t="str">
        <f>""</f>
        <v/>
      </c>
      <c r="AK1726" s="1" t="str">
        <f>""</f>
        <v/>
      </c>
    </row>
    <row r="1727" spans="1:37">
      <c r="A1727" s="1">
        <v>207000</v>
      </c>
      <c r="B1727" s="1">
        <v>966300013</v>
      </c>
      <c r="C1727" s="1" t="str">
        <f>"تخليه -يزد كيلومتر15جاده يزد-مهريز-كارگاه حريتاش"</f>
        <v>تخليه -يزد كيلومتر15جاده يزد-مهريز-كارگاه حريتاش</v>
      </c>
      <c r="D1727" s="1">
        <v>9716</v>
      </c>
      <c r="E1727" s="1">
        <v>206420</v>
      </c>
      <c r="F1727" s="1">
        <v>96</v>
      </c>
      <c r="G1727" s="1">
        <v>580</v>
      </c>
      <c r="H1727" s="1" t="str">
        <f>"96/08/14"</f>
        <v>96/08/14</v>
      </c>
      <c r="I1727" s="1" t="str">
        <f>"كيلوگرم"</f>
        <v>كيلوگرم</v>
      </c>
      <c r="J1727" s="1" t="str">
        <f>"0000000091"</f>
        <v>0000000091</v>
      </c>
      <c r="K1727" s="1" t="str">
        <f>"قير  PG64-22"</f>
        <v>قير  PG64-22</v>
      </c>
      <c r="L1727" s="1">
        <v>100</v>
      </c>
      <c r="M1727" s="1" t="str">
        <f>"مخازن قير اصفهان"</f>
        <v>مخازن قير اصفهان</v>
      </c>
      <c r="N1727" s="1">
        <v>1728</v>
      </c>
      <c r="O1727" s="1">
        <v>50037058</v>
      </c>
      <c r="P1727" s="1" t="str">
        <f>"  حريتاش"</f>
        <v xml:space="preserve">  حريتاش</v>
      </c>
      <c r="Q1727" s="1">
        <v>63</v>
      </c>
      <c r="R1727" s="1" t="str">
        <f>"سازمان نوسازي،توسعه و تجهيز مدارس كشور"</f>
        <v>سازمان نوسازي،توسعه و تجهيز مدارس كشور</v>
      </c>
      <c r="S1727" s="1" t="str">
        <f>"قرارداد فروش"</f>
        <v>قرارداد فروش</v>
      </c>
      <c r="T1727" s="1" t="str">
        <f>"ندارد"</f>
        <v>ندارد</v>
      </c>
      <c r="U1727" s="1" t="str">
        <f>"عزيزي صفر(1006ج 89)"</f>
        <v>عزيزي صفر(1006ج 89)</v>
      </c>
      <c r="V1727" s="1">
        <v>966300013</v>
      </c>
      <c r="W1727" s="1">
        <v>966300013</v>
      </c>
      <c r="X1727" s="1" t="str">
        <f>"1396523697"</f>
        <v>1396523697</v>
      </c>
      <c r="Y1727" s="1" t="str">
        <f>"96/08/14"</f>
        <v>96/08/14</v>
      </c>
      <c r="Z1727" s="1" t="str">
        <f>"6950/1"</f>
        <v>6950/1</v>
      </c>
      <c r="AA1727" s="1" t="str">
        <f>"سازمان نوسازي توسعه وتجهيزمدارس كشور"</f>
        <v>سازمان نوسازي توسعه وتجهيزمدارس كشور</v>
      </c>
      <c r="AB1727" s="1" t="str">
        <f>"96/08/01"</f>
        <v>96/08/01</v>
      </c>
      <c r="AC1727" s="1" t="str">
        <f>"استان يزد"</f>
        <v>استان يزد</v>
      </c>
      <c r="AD1727" s="1" t="str">
        <f>"96/08/14"</f>
        <v>96/08/14</v>
      </c>
      <c r="AE1727" s="1" t="str">
        <f>"اختتام"</f>
        <v>اختتام</v>
      </c>
      <c r="AF1727" s="1" t="str">
        <f>""</f>
        <v/>
      </c>
      <c r="AG1727" s="1" t="str">
        <f>""</f>
        <v/>
      </c>
      <c r="AH1727" s="1" t="str">
        <f>""</f>
        <v/>
      </c>
      <c r="AI1727" s="1" t="str">
        <f>""</f>
        <v/>
      </c>
      <c r="AJ1727" s="1" t="str">
        <f>""</f>
        <v/>
      </c>
      <c r="AK1727" s="1" t="str">
        <f>""</f>
        <v/>
      </c>
    </row>
    <row r="1728" spans="1:37">
      <c r="A1728" s="1">
        <v>55000</v>
      </c>
      <c r="B1728" s="1">
        <v>961400006</v>
      </c>
      <c r="C1728" s="1" t="str">
        <f>"تخليه خراسان جنوبي شهرستان فردوس كارخانه پتروفردس"</f>
        <v>تخليه خراسان جنوبي شهرستان فردوس كارخانه پتروفردس</v>
      </c>
      <c r="D1728" s="1">
        <v>9354</v>
      </c>
      <c r="E1728" s="1">
        <v>53740</v>
      </c>
      <c r="F1728" s="1">
        <v>96</v>
      </c>
      <c r="G1728" s="1">
        <v>1260</v>
      </c>
      <c r="H1728" s="1" t="str">
        <f>"96/01/27"</f>
        <v>96/01/27</v>
      </c>
      <c r="I1728" s="1" t="str">
        <f>"كيلوگرم"</f>
        <v>كيلوگرم</v>
      </c>
      <c r="J1728" s="1" t="str">
        <f>"0000000091"</f>
        <v>0000000091</v>
      </c>
      <c r="K1728" s="1" t="str">
        <f>"قير  PG64-22"</f>
        <v>قير  PG64-22</v>
      </c>
      <c r="L1728" s="1">
        <v>100</v>
      </c>
      <c r="M1728" s="1" t="str">
        <f>"مخازن قير اصفهان"</f>
        <v>مخازن قير اصفهان</v>
      </c>
      <c r="N1728" s="1">
        <v>4012</v>
      </c>
      <c r="O1728" s="1">
        <v>50034615</v>
      </c>
      <c r="P1728" s="1" t="str">
        <f>"  اداره كل راه و شهرسازي خراسان جنوبي"</f>
        <v xml:space="preserve">  اداره كل راه و شهرسازي خراسان جنوبي</v>
      </c>
      <c r="Q1728" s="1">
        <v>14</v>
      </c>
      <c r="R1728" s="1" t="str">
        <f>"فروش داخلي - وزارت راه - حوزه راه روستايي ساخت"</f>
        <v>فروش داخلي - وزارت راه - حوزه راه روستايي ساخت</v>
      </c>
      <c r="S1728" s="1" t="str">
        <f>"قرارداد فروش"</f>
        <v>قرارداد فروش</v>
      </c>
      <c r="T1728" s="1" t="str">
        <f>"ندارد"</f>
        <v>ندارد</v>
      </c>
      <c r="U1728" s="1" t="str">
        <f>"قانعي محمدرضا(1011ج89)"</f>
        <v>قانعي محمدرضا(1011ج89)</v>
      </c>
      <c r="V1728" s="1">
        <v>961400006</v>
      </c>
      <c r="W1728" s="1">
        <v>961400006</v>
      </c>
      <c r="X1728" s="1" t="str">
        <f>"1396474654"</f>
        <v>1396474654</v>
      </c>
      <c r="Y1728" s="1" t="str">
        <f>"96/01/27"</f>
        <v>96/01/27</v>
      </c>
      <c r="Z1728" s="1" t="str">
        <f>"1766/710"</f>
        <v>1766/710</v>
      </c>
      <c r="AA1728" s="1" t="str">
        <f>"راه وروستايي -ساخت"</f>
        <v>راه وروستايي -ساخت</v>
      </c>
      <c r="AB1728" s="1" t="str">
        <f>"95/12/28"</f>
        <v>95/12/28</v>
      </c>
      <c r="AC1728" s="1" t="str">
        <f>"خراسان جنوبي"</f>
        <v>خراسان جنوبي</v>
      </c>
      <c r="AD1728" s="1" t="str">
        <f>"96/01/27"</f>
        <v>96/01/27</v>
      </c>
      <c r="AE1728" s="1" t="str">
        <f>"اختتام"</f>
        <v>اختتام</v>
      </c>
      <c r="AF1728" s="1" t="str">
        <f>""</f>
        <v/>
      </c>
      <c r="AG1728" s="1" t="str">
        <f>""</f>
        <v/>
      </c>
      <c r="AH1728" s="1" t="str">
        <f>""</f>
        <v/>
      </c>
      <c r="AI1728" s="1" t="str">
        <f>""</f>
        <v/>
      </c>
      <c r="AJ1728" s="1" t="str">
        <f>""</f>
        <v/>
      </c>
      <c r="AK1728" s="1" t="str">
        <f>""</f>
        <v/>
      </c>
    </row>
    <row r="1729" spans="1:37">
      <c r="A1729" s="1">
        <v>172000</v>
      </c>
      <c r="B1729" s="1">
        <v>961700217</v>
      </c>
      <c r="C1729" s="1" t="str">
        <f>"تخليه - خراسان جنوبي-شرکت توسعه گلشن طبس"</f>
        <v>تخليه - خراسان جنوبي-شرکت توسعه گلشن طبس</v>
      </c>
      <c r="D1729" s="1">
        <v>14000</v>
      </c>
      <c r="E1729" s="1">
        <v>171560</v>
      </c>
      <c r="F1729" s="1">
        <v>96</v>
      </c>
      <c r="G1729" s="1">
        <v>440</v>
      </c>
      <c r="H1729" s="1" t="str">
        <f>"96/12/24"</f>
        <v>96/12/24</v>
      </c>
      <c r="I1729" s="1" t="str">
        <f>"كيلوگرم"</f>
        <v>كيلوگرم</v>
      </c>
      <c r="J1729" s="1" t="str">
        <f>"0000000091"</f>
        <v>0000000091</v>
      </c>
      <c r="K1729" s="1" t="str">
        <f>"قير  PG64-22"</f>
        <v>قير  PG64-22</v>
      </c>
      <c r="L1729" s="1">
        <v>100</v>
      </c>
      <c r="M1729" s="1" t="str">
        <f>"مخازن قير اصفهان"</f>
        <v>مخازن قير اصفهان</v>
      </c>
      <c r="N1729" s="1">
        <v>4012</v>
      </c>
      <c r="O1729" s="1">
        <v>50038996</v>
      </c>
      <c r="P1729" s="1" t="str">
        <f>"  اداره كل راه و شهرسازي خراسان جنوبي"</f>
        <v xml:space="preserve">  اداره كل راه و شهرسازي خراسان جنوبي</v>
      </c>
      <c r="Q1729" s="1">
        <v>17</v>
      </c>
      <c r="R1729" s="1" t="str">
        <f>"فروش داخلي تهران - وزارت راه - راه روستايي - روکش"</f>
        <v>فروش داخلي تهران - وزارت راه - راه روستايي - روکش</v>
      </c>
      <c r="S1729" s="1" t="str">
        <f>"قرارداد فروش"</f>
        <v>قرارداد فروش</v>
      </c>
      <c r="T1729" s="1" t="str">
        <f>"ندارد"</f>
        <v>ندارد</v>
      </c>
      <c r="U1729" s="1" t="str">
        <f>"قانعي محمدرضا(1011ج89)"</f>
        <v>قانعي محمدرضا(1011ج89)</v>
      </c>
      <c r="V1729" s="1">
        <v>961700217</v>
      </c>
      <c r="W1729" s="1">
        <v>961700217</v>
      </c>
      <c r="X1729" s="1" t="str">
        <f>"1396553914"</f>
        <v>1396553914</v>
      </c>
      <c r="Y1729" s="1" t="str">
        <f>"96/12/24"</f>
        <v>96/12/24</v>
      </c>
      <c r="Z1729" s="1" t="str">
        <f>"53788/710"</f>
        <v>53788/710</v>
      </c>
      <c r="AA1729" s="1" t="str">
        <f>"راه روستائي -روكش"</f>
        <v>راه روستائي -روكش</v>
      </c>
      <c r="AB1729" s="1" t="str">
        <f>"96/10/12"</f>
        <v>96/10/12</v>
      </c>
      <c r="AC1729" s="1" t="str">
        <f>"خراسان جنوبي"</f>
        <v>خراسان جنوبي</v>
      </c>
      <c r="AD1729" s="1" t="str">
        <f>"96/12/20"</f>
        <v>96/12/20</v>
      </c>
      <c r="AE1729" s="1" t="str">
        <f>"اختتام"</f>
        <v>اختتام</v>
      </c>
      <c r="AF1729" s="1" t="str">
        <f>""</f>
        <v/>
      </c>
      <c r="AG1729" s="1" t="str">
        <f>""</f>
        <v/>
      </c>
      <c r="AH1729" s="1" t="str">
        <f>""</f>
        <v/>
      </c>
      <c r="AI1729" s="1" t="str">
        <f>""</f>
        <v/>
      </c>
      <c r="AJ1729" s="1" t="str">
        <f>""</f>
        <v/>
      </c>
      <c r="AK1729" s="1" t="str">
        <f>""</f>
        <v/>
      </c>
    </row>
    <row r="1730" spans="1:37">
      <c r="A1730" s="1">
        <v>500000</v>
      </c>
      <c r="B1730" s="1">
        <v>961600031</v>
      </c>
      <c r="C1730" s="1" t="str">
        <f>"تخليه -خراسان جنوبي -قاين -5كيلومترمانده به شهراسفدن كارخانه آسفالت توس راديه"</f>
        <v>تخليه -خراسان جنوبي -قاين -5كيلومترمانده به شهراسفدن كارخانه آسفالت توس راديه</v>
      </c>
      <c r="D1730" s="1">
        <v>14000</v>
      </c>
      <c r="E1730" s="1">
        <v>499240</v>
      </c>
      <c r="F1730" s="1">
        <v>96</v>
      </c>
      <c r="G1730" s="1">
        <v>760</v>
      </c>
      <c r="H1730" s="1" t="str">
        <f>"96/12/27"</f>
        <v>96/12/27</v>
      </c>
      <c r="I1730" s="1" t="str">
        <f>"كيلوگرم"</f>
        <v>كيلوگرم</v>
      </c>
      <c r="J1730" s="1" t="str">
        <f>"0000000091"</f>
        <v>0000000091</v>
      </c>
      <c r="K1730" s="1" t="str">
        <f>"قير  PG64-22"</f>
        <v>قير  PG64-22</v>
      </c>
      <c r="L1730" s="1">
        <v>100</v>
      </c>
      <c r="M1730" s="1" t="str">
        <f>"مخازن قير اصفهان"</f>
        <v>مخازن قير اصفهان</v>
      </c>
      <c r="N1730" s="1">
        <v>4060</v>
      </c>
      <c r="O1730" s="1">
        <v>50039137</v>
      </c>
      <c r="P1730" s="1" t="str">
        <f>"  توس راديه"</f>
        <v xml:space="preserve">  توس راديه</v>
      </c>
      <c r="Q1730" s="1">
        <v>16</v>
      </c>
      <c r="R1730" s="1" t="str">
        <f>"فروش داخلي تهران - وزارت راه - معاونت اقتصاد"</f>
        <v>فروش داخلي تهران - وزارت راه - معاونت اقتصاد</v>
      </c>
      <c r="S1730" s="1" t="str">
        <f>"قرارداد فروش"</f>
        <v>قرارداد فروش</v>
      </c>
      <c r="T1730" s="1" t="str">
        <f>"ندارد"</f>
        <v>ندارد</v>
      </c>
      <c r="U1730" s="1" t="str">
        <f>"بابامحمدي عنايت اله(4844000)"</f>
        <v>بابامحمدي عنايت اله(4844000)</v>
      </c>
      <c r="V1730" s="1">
        <v>961600031</v>
      </c>
      <c r="W1730" s="1">
        <v>961600031</v>
      </c>
      <c r="X1730" s="1" t="str">
        <f>"1396555474"</f>
        <v>1396555474</v>
      </c>
      <c r="Y1730" s="1" t="str">
        <f>"96/12/27"</f>
        <v>96/12/27</v>
      </c>
      <c r="Z1730" s="1" t="str">
        <f>"300144/870"</f>
        <v>300144/870</v>
      </c>
      <c r="AA1730" s="1" t="str">
        <f>"راه روستائي -روكش"</f>
        <v>راه روستائي -روكش</v>
      </c>
      <c r="AB1730" s="1" t="str">
        <f>"96/12/23"</f>
        <v>96/12/23</v>
      </c>
      <c r="AC1730" s="1" t="str">
        <f>"خراسان جنوبي"</f>
        <v>خراسان جنوبي</v>
      </c>
      <c r="AD1730" s="1" t="str">
        <f>"96/12/27"</f>
        <v>96/12/27</v>
      </c>
      <c r="AE1730" s="1" t="str">
        <f>"اختتام"</f>
        <v>اختتام</v>
      </c>
      <c r="AF1730" s="1" t="str">
        <f>""</f>
        <v/>
      </c>
      <c r="AG1730" s="1" t="str">
        <f>""</f>
        <v/>
      </c>
      <c r="AH1730" s="1" t="str">
        <f>""</f>
        <v/>
      </c>
      <c r="AI1730" s="1" t="str">
        <f>""</f>
        <v/>
      </c>
      <c r="AJ1730" s="1" t="str">
        <f>""</f>
        <v/>
      </c>
      <c r="AK1730" s="1" t="str">
        <f>""</f>
        <v/>
      </c>
    </row>
    <row r="1731" spans="1:37">
      <c r="A1731" s="1">
        <v>168000</v>
      </c>
      <c r="B1731" s="1">
        <v>961700017</v>
      </c>
      <c r="C1731" s="1" t="str">
        <f>"تخليه - کرمان-شرکت سيرجان بتن راه"</f>
        <v>تخليه - کرمان-شرکت سيرجان بتن راه</v>
      </c>
      <c r="D1731" s="1">
        <v>8854</v>
      </c>
      <c r="E1731" s="1">
        <v>168000</v>
      </c>
      <c r="F1731" s="1">
        <v>96</v>
      </c>
      <c r="G1731" s="1">
        <v>0</v>
      </c>
      <c r="H1731" s="1" t="str">
        <f>"96/03/13"</f>
        <v>96/03/13</v>
      </c>
      <c r="I1731" s="1" t="str">
        <f>"كيلوگرم"</f>
        <v>كيلوگرم</v>
      </c>
      <c r="J1731" s="1" t="str">
        <f>"0000000091"</f>
        <v>0000000091</v>
      </c>
      <c r="K1731" s="1" t="str">
        <f>"قير  PG64-22"</f>
        <v>قير  PG64-22</v>
      </c>
      <c r="L1731" s="1">
        <v>100</v>
      </c>
      <c r="M1731" s="1" t="str">
        <f>"مخازن قير اصفهان"</f>
        <v>مخازن قير اصفهان</v>
      </c>
      <c r="N1731" s="1">
        <v>7034</v>
      </c>
      <c r="O1731" s="1">
        <v>50034958</v>
      </c>
      <c r="P1731" s="1" t="str">
        <f>"  اداره كل راه وشهرسازي كرمان"</f>
        <v xml:space="preserve">  اداره كل راه وشهرسازي كرمان</v>
      </c>
      <c r="Q1731" s="1">
        <v>17</v>
      </c>
      <c r="R1731" s="1" t="str">
        <f>"فروش داخلي تهران - وزارت راه - راه روستايي - روکش"</f>
        <v>فروش داخلي تهران - وزارت راه - راه روستايي - روکش</v>
      </c>
      <c r="S1731" s="1" t="str">
        <f>"قرارداد فروش"</f>
        <v>قرارداد فروش</v>
      </c>
      <c r="T1731" s="1" t="str">
        <f>"ندارد"</f>
        <v>ندارد</v>
      </c>
      <c r="U1731" s="1" t="str">
        <f>"حاصليان ترابرجنوب مرتضي حاصلي (4844006)"</f>
        <v>حاصليان ترابرجنوب مرتضي حاصلي (4844006)</v>
      </c>
      <c r="V1731" s="1">
        <v>961700017</v>
      </c>
      <c r="W1731" s="1">
        <v>961700017</v>
      </c>
      <c r="X1731" s="1" t="str">
        <f>"1396485274"</f>
        <v>1396485274</v>
      </c>
      <c r="Y1731" s="1" t="str">
        <f>"96/03/13"</f>
        <v>96/03/13</v>
      </c>
      <c r="Z1731" s="1" t="str">
        <f>"10912/710"</f>
        <v>10912/710</v>
      </c>
      <c r="AA1731" s="1" t="str">
        <f>"راه روستائي -روكش"</f>
        <v>راه روستائي -روكش</v>
      </c>
      <c r="AB1731" s="1" t="str">
        <f>"96/03/09"</f>
        <v>96/03/09</v>
      </c>
      <c r="AC1731" s="1" t="str">
        <f>"استان كرمان"</f>
        <v>استان كرمان</v>
      </c>
      <c r="AD1731" s="1" t="str">
        <f>"96/03/13"</f>
        <v>96/03/13</v>
      </c>
      <c r="AE1731" s="1" t="str">
        <f>"اختتام"</f>
        <v>اختتام</v>
      </c>
      <c r="AF1731" s="1" t="str">
        <f>""</f>
        <v/>
      </c>
      <c r="AG1731" s="1" t="str">
        <f>""</f>
        <v/>
      </c>
      <c r="AH1731" s="1" t="str">
        <f>""</f>
        <v/>
      </c>
      <c r="AI1731" s="1" t="str">
        <f>""</f>
        <v/>
      </c>
      <c r="AJ1731" s="1" t="str">
        <f>""</f>
        <v/>
      </c>
      <c r="AK1731" s="1" t="str">
        <f>""</f>
        <v/>
      </c>
    </row>
    <row r="1732" spans="1:37">
      <c r="A1732" s="1">
        <v>750000</v>
      </c>
      <c r="B1732" s="1">
        <v>961700021</v>
      </c>
      <c r="C1732" s="1" t="str">
        <f>"تخليه-کرمان-کارخانه آسفالت آبادگران رفابخش"</f>
        <v>تخليه-کرمان-کارخانه آسفالت آبادگران رفابخش</v>
      </c>
      <c r="D1732" s="1">
        <v>8854</v>
      </c>
      <c r="E1732" s="1">
        <v>747220</v>
      </c>
      <c r="F1732" s="1">
        <v>96</v>
      </c>
      <c r="G1732" s="1">
        <v>2780</v>
      </c>
      <c r="H1732" s="1" t="str">
        <f>"96/03/13"</f>
        <v>96/03/13</v>
      </c>
      <c r="I1732" s="1" t="str">
        <f>"كيلوگرم"</f>
        <v>كيلوگرم</v>
      </c>
      <c r="J1732" s="1" t="str">
        <f>"0000000091"</f>
        <v>0000000091</v>
      </c>
      <c r="K1732" s="1" t="str">
        <f>"قير  PG64-22"</f>
        <v>قير  PG64-22</v>
      </c>
      <c r="L1732" s="1">
        <v>100</v>
      </c>
      <c r="M1732" s="1" t="str">
        <f>"مخازن قير اصفهان"</f>
        <v>مخازن قير اصفهان</v>
      </c>
      <c r="N1732" s="1">
        <v>7034</v>
      </c>
      <c r="O1732" s="1">
        <v>50034963</v>
      </c>
      <c r="P1732" s="1" t="str">
        <f>"  اداره كل راه وشهرسازي كرمان"</f>
        <v xml:space="preserve">  اداره كل راه وشهرسازي كرمان</v>
      </c>
      <c r="Q1732" s="1">
        <v>17</v>
      </c>
      <c r="R1732" s="1" t="str">
        <f>"فروش داخلي تهران - وزارت راه - راه روستايي - روکش"</f>
        <v>فروش داخلي تهران - وزارت راه - راه روستايي - روکش</v>
      </c>
      <c r="S1732" s="1" t="str">
        <f>"قرارداد فروش"</f>
        <v>قرارداد فروش</v>
      </c>
      <c r="T1732" s="1" t="str">
        <f>"ندارد"</f>
        <v>ندارد</v>
      </c>
      <c r="U1732" s="1" t="str">
        <f>"خضرائي فريدون(4844003)"</f>
        <v>خضرائي فريدون(4844003)</v>
      </c>
      <c r="V1732" s="1">
        <v>961700021</v>
      </c>
      <c r="W1732" s="1">
        <v>961700021</v>
      </c>
      <c r="X1732" s="1" t="str">
        <f>"1396485274"</f>
        <v>1396485274</v>
      </c>
      <c r="Y1732" s="1" t="str">
        <f>"96/03/13"</f>
        <v>96/03/13</v>
      </c>
      <c r="Z1732" s="1" t="str">
        <f>"10907/710"</f>
        <v>10907/710</v>
      </c>
      <c r="AA1732" s="1" t="str">
        <f>"راه روستائي -روكش"</f>
        <v>راه روستائي -روكش</v>
      </c>
      <c r="AB1732" s="1" t="str">
        <f>"96/03/09"</f>
        <v>96/03/09</v>
      </c>
      <c r="AC1732" s="1" t="str">
        <f>"استان كرمان"</f>
        <v>استان كرمان</v>
      </c>
      <c r="AD1732" s="1" t="str">
        <f>"96/03/13"</f>
        <v>96/03/13</v>
      </c>
      <c r="AE1732" s="1" t="str">
        <f>"اختتام"</f>
        <v>اختتام</v>
      </c>
      <c r="AF1732" s="1" t="str">
        <f>""</f>
        <v/>
      </c>
      <c r="AG1732" s="1" t="str">
        <f>""</f>
        <v/>
      </c>
      <c r="AH1732" s="1" t="str">
        <f>""</f>
        <v/>
      </c>
      <c r="AI1732" s="1" t="str">
        <f>""</f>
        <v/>
      </c>
      <c r="AJ1732" s="1" t="str">
        <f>""</f>
        <v/>
      </c>
      <c r="AK1732" s="1" t="str">
        <f>""</f>
        <v/>
      </c>
    </row>
    <row r="1733" spans="1:37">
      <c r="A1733" s="1">
        <v>1000000</v>
      </c>
      <c r="B1733" s="1">
        <v>961800043</v>
      </c>
      <c r="C1733" s="1" t="str">
        <f>"تخليه -خراسان شمالي -بجنورد-فرودگاه -مسکن وعمران قدس رضوي"</f>
        <v>تخليه -خراسان شمالي -بجنورد-فرودگاه -مسکن وعمران قدس رضوي</v>
      </c>
      <c r="D1733" s="1">
        <v>13600</v>
      </c>
      <c r="E1733" s="1">
        <v>999880</v>
      </c>
      <c r="F1733" s="1">
        <v>96</v>
      </c>
      <c r="G1733" s="1">
        <v>120</v>
      </c>
      <c r="H1733" s="1" t="str">
        <f>"96/06/26"</f>
        <v>96/06/26</v>
      </c>
      <c r="I1733" s="1" t="str">
        <f>"كيلوگرم"</f>
        <v>كيلوگرم</v>
      </c>
      <c r="J1733" s="1" t="str">
        <f>"0000000091"</f>
        <v>0000000091</v>
      </c>
      <c r="K1733" s="1" t="str">
        <f>"قير  PG64-22"</f>
        <v>قير  PG64-22</v>
      </c>
      <c r="L1733" s="1">
        <v>100</v>
      </c>
      <c r="M1733" s="1" t="str">
        <f>"مخازن قير اصفهان"</f>
        <v>مخازن قير اصفهان</v>
      </c>
      <c r="N1733" s="1">
        <v>7091</v>
      </c>
      <c r="O1733" s="1">
        <v>50036063</v>
      </c>
      <c r="P1733" s="1" t="str">
        <f>"  مسكن وعمران قدس رضوي"</f>
        <v xml:space="preserve">  مسكن وعمران قدس رضوي</v>
      </c>
      <c r="Q1733" s="1">
        <v>18</v>
      </c>
      <c r="R1733" s="1" t="str">
        <f>"فروش داخلي تهران - وزارت راه - شرکت ساخت و توسعه راهها"</f>
        <v>فروش داخلي تهران - وزارت راه - شرکت ساخت و توسعه راهها</v>
      </c>
      <c r="S1733" s="1" t="str">
        <f>"قرارداد فروش"</f>
        <v>قرارداد فروش</v>
      </c>
      <c r="T1733" s="1" t="str">
        <f>"ندارد"</f>
        <v>ندارد</v>
      </c>
      <c r="U1733" s="1" t="str">
        <f>"عابدي محمود(1018ج89)"</f>
        <v>عابدي محمود(1018ج89)</v>
      </c>
      <c r="V1733" s="1">
        <v>961800043</v>
      </c>
      <c r="W1733" s="1">
        <v>961800043</v>
      </c>
      <c r="X1733" s="1" t="str">
        <f>"1396512879"</f>
        <v>1396512879</v>
      </c>
      <c r="Y1733" s="1" t="str">
        <f>"96/06/26"</f>
        <v>96/06/26</v>
      </c>
      <c r="Z1733" s="1" t="str">
        <f>"30198/710"</f>
        <v>30198/710</v>
      </c>
      <c r="AA1733" s="1" t="str">
        <f>"شركت  ساخت وتوسعه راهها"</f>
        <v>شركت  ساخت وتوسعه راهها</v>
      </c>
      <c r="AB1733" s="1" t="str">
        <f>"96/06/20"</f>
        <v>96/06/20</v>
      </c>
      <c r="AC1733" s="1" t="str">
        <f>"خراسان رضوي"</f>
        <v>خراسان رضوي</v>
      </c>
      <c r="AD1733" s="1" t="str">
        <f>"96/06/26"</f>
        <v>96/06/26</v>
      </c>
      <c r="AE1733" s="1" t="str">
        <f>"اختتام"</f>
        <v>اختتام</v>
      </c>
      <c r="AF1733" s="1" t="str">
        <f>""</f>
        <v/>
      </c>
      <c r="AG1733" s="1" t="str">
        <f>""</f>
        <v/>
      </c>
      <c r="AH1733" s="1" t="str">
        <f>""</f>
        <v/>
      </c>
      <c r="AI1733" s="1" t="str">
        <f>""</f>
        <v/>
      </c>
      <c r="AJ1733" s="1" t="str">
        <f>""</f>
        <v/>
      </c>
      <c r="AK1733" s="1" t="str">
        <f>""</f>
        <v/>
      </c>
    </row>
    <row r="1734" spans="1:37">
      <c r="A1734" s="1">
        <v>15000</v>
      </c>
      <c r="B1734" s="1">
        <v>966200110</v>
      </c>
      <c r="C1734" s="1" t="str">
        <f>"تخليه-نطنز- جاده گل آباد- مقابل ايستگاه راه آهن ابيازن"</f>
        <v>تخليه-نطنز- جاده گل آباد- مقابل ايستگاه راه آهن ابيازن</v>
      </c>
      <c r="D1734" s="1">
        <v>12722</v>
      </c>
      <c r="E1734" s="1">
        <v>14220</v>
      </c>
      <c r="F1734" s="1">
        <v>96</v>
      </c>
      <c r="G1734" s="1">
        <v>780</v>
      </c>
      <c r="H1734" s="1" t="str">
        <f>"96/03/09"</f>
        <v>96/03/09</v>
      </c>
      <c r="I1734" s="1" t="str">
        <f>"كيلوگرم"</f>
        <v>كيلوگرم</v>
      </c>
      <c r="J1734" s="1" t="str">
        <f>"1000000003"</f>
        <v>1000000003</v>
      </c>
      <c r="K1734" s="1" t="str">
        <f>"قير MC250"</f>
        <v>قير MC250</v>
      </c>
      <c r="L1734" s="1">
        <v>100</v>
      </c>
      <c r="M1734" s="1" t="str">
        <f>"مخازن قير اصفهان"</f>
        <v>مخازن قير اصفهان</v>
      </c>
      <c r="N1734" s="1">
        <v>9450</v>
      </c>
      <c r="O1734" s="1">
        <v>50034924</v>
      </c>
      <c r="P1734" s="1" t="str">
        <f>"  ايران مترو"</f>
        <v xml:space="preserve">  ايران مترو</v>
      </c>
      <c r="Q1734" s="1">
        <v>62</v>
      </c>
      <c r="R1734" s="1" t="str">
        <f>"فروش داخلي - سازمان بنيادمسكن انقلاب اسلامي"</f>
        <v>فروش داخلي - سازمان بنيادمسكن انقلاب اسلامي</v>
      </c>
      <c r="S1734" s="1" t="str">
        <f>"قرارداد فروش"</f>
        <v>قرارداد فروش</v>
      </c>
      <c r="T1734" s="1" t="str">
        <f>"ندارد"</f>
        <v>ندارد</v>
      </c>
      <c r="U1734" s="1" t="str">
        <f>"معماريان سعيد(1004ج89)"</f>
        <v>معماريان سعيد(1004ج89)</v>
      </c>
      <c r="V1734" s="1">
        <v>966200110</v>
      </c>
      <c r="W1734" s="1">
        <v>966200110</v>
      </c>
      <c r="X1734" s="1" t="str">
        <f>"1396484355"</f>
        <v>1396484355</v>
      </c>
      <c r="Y1734" s="1" t="str">
        <f>"96/03/09"</f>
        <v>96/03/09</v>
      </c>
      <c r="Z1734" s="1" t="str">
        <f>"9186/د"</f>
        <v>9186/د</v>
      </c>
      <c r="AA1734" s="1" t="str">
        <f>"بنيادمسكن انقلاب اسلامي"</f>
        <v>بنيادمسكن انقلاب اسلامي</v>
      </c>
      <c r="AB1734" s="1" t="str">
        <f>"96/03/09"</f>
        <v>96/03/09</v>
      </c>
      <c r="AC1734" s="1" t="str">
        <f>"استان اصفهان"</f>
        <v>استان اصفهان</v>
      </c>
      <c r="AD1734" s="1" t="str">
        <f>"96/03/09"</f>
        <v>96/03/09</v>
      </c>
      <c r="AE1734" s="1" t="str">
        <f>"اختتام"</f>
        <v>اختتام</v>
      </c>
      <c r="AF1734" s="1" t="str">
        <f>""</f>
        <v/>
      </c>
      <c r="AG1734" s="1" t="str">
        <f>""</f>
        <v/>
      </c>
      <c r="AH1734" s="1" t="str">
        <f>""</f>
        <v/>
      </c>
      <c r="AI1734" s="1" t="str">
        <f>""</f>
        <v/>
      </c>
      <c r="AJ1734" s="1" t="str">
        <f>""</f>
        <v/>
      </c>
      <c r="AK1734" s="1" t="str">
        <f>""</f>
        <v/>
      </c>
    </row>
    <row r="1735" spans="1:37">
      <c r="A1735" s="1">
        <v>90000</v>
      </c>
      <c r="B1735" s="1">
        <v>961700181</v>
      </c>
      <c r="C1735" s="1" t="str">
        <f>"تخليه -پروژه ايمن سازي محورعبوري امامزاده شهربادرودكيلومتر5جاده گلاب آباد-كارخانه آسفالت ايران مترو"</f>
        <v>تخليه -پروژه ايمن سازي محورعبوري امامزاده شهربادرودكيلومتر5جاده گلاب آباد-كارخانه آسفالت ايران مترو</v>
      </c>
      <c r="D1735" s="1">
        <v>13600</v>
      </c>
      <c r="E1735" s="1">
        <v>89060</v>
      </c>
      <c r="F1735" s="1">
        <v>96</v>
      </c>
      <c r="G1735" s="1">
        <v>940</v>
      </c>
      <c r="H1735" s="1" t="str">
        <f>"96/12/21"</f>
        <v>96/12/21</v>
      </c>
      <c r="I1735" s="1" t="str">
        <f>"كيلوگرم"</f>
        <v>كيلوگرم</v>
      </c>
      <c r="J1735" s="1" t="str">
        <f>"0000000091"</f>
        <v>0000000091</v>
      </c>
      <c r="K1735" s="1" t="str">
        <f>"قير  PG64-22"</f>
        <v>قير  PG64-22</v>
      </c>
      <c r="L1735" s="1">
        <v>100</v>
      </c>
      <c r="M1735" s="1" t="str">
        <f>"مخازن قير اصفهان"</f>
        <v>مخازن قير اصفهان</v>
      </c>
      <c r="N1735" s="1">
        <v>8091</v>
      </c>
      <c r="O1735" s="1">
        <v>50038990</v>
      </c>
      <c r="P1735" s="1" t="str">
        <f>"  اداره كل راه وشهرسازي اصفهان"</f>
        <v xml:space="preserve">  اداره كل راه وشهرسازي اصفهان</v>
      </c>
      <c r="Q1735" s="1">
        <v>17</v>
      </c>
      <c r="R1735" s="1" t="str">
        <f>"فروش داخلي تهران - وزارت راه - راه روستايي - روکش"</f>
        <v>فروش داخلي تهران - وزارت راه - راه روستايي - روکش</v>
      </c>
      <c r="S1735" s="1" t="str">
        <f>"قرارداد فروش"</f>
        <v>قرارداد فروش</v>
      </c>
      <c r="T1735" s="1" t="str">
        <f>"ندارد"</f>
        <v>ندارد</v>
      </c>
      <c r="U1735" s="1" t="str">
        <f>"عزيزي صفر(1006ج 89)"</f>
        <v>عزيزي صفر(1006ج 89)</v>
      </c>
      <c r="V1735" s="1">
        <v>961700181</v>
      </c>
      <c r="W1735" s="1">
        <v>961700181</v>
      </c>
      <c r="X1735" s="1" t="str">
        <f>"1396553913"</f>
        <v>1396553913</v>
      </c>
      <c r="Y1735" s="1" t="str">
        <f>"96/12/21"</f>
        <v>96/12/21</v>
      </c>
      <c r="Z1735" s="1" t="str">
        <f>"284692/710"</f>
        <v>284692/710</v>
      </c>
      <c r="AA1735" s="1" t="str">
        <f>"راه روستائي -روكش"</f>
        <v>راه روستائي -روكش</v>
      </c>
      <c r="AB1735" s="1" t="str">
        <f>"96/11/18"</f>
        <v>96/11/18</v>
      </c>
      <c r="AC1735" s="1" t="str">
        <f>"استان اصفهان"</f>
        <v>استان اصفهان</v>
      </c>
      <c r="AD1735" s="1" t="str">
        <f>"96/12/20"</f>
        <v>96/12/20</v>
      </c>
      <c r="AE1735" s="1" t="str">
        <f>"اختتام"</f>
        <v>اختتام</v>
      </c>
      <c r="AF1735" s="1" t="str">
        <f>""</f>
        <v/>
      </c>
      <c r="AG1735" s="1" t="str">
        <f>""</f>
        <v/>
      </c>
      <c r="AH1735" s="1" t="str">
        <f>""</f>
        <v/>
      </c>
      <c r="AI1735" s="1" t="str">
        <f>""</f>
        <v/>
      </c>
      <c r="AJ1735" s="1" t="str">
        <f>""</f>
        <v/>
      </c>
      <c r="AK1735" s="1" t="str">
        <f>""</f>
        <v/>
      </c>
    </row>
    <row r="1736" spans="1:37">
      <c r="A1736" s="1">
        <v>100000</v>
      </c>
      <c r="B1736" s="1">
        <v>961100081</v>
      </c>
      <c r="C1736" s="1" t="str">
        <f>"تخليه - کرمانشاه-کيلومتر5 جاده کرندغرب اسلام آباد-مقابل روستاي طلسم-بعداز آب معدني راکي کارخانه آسفالت شرکت مرزراه"</f>
        <v>تخليه - کرمانشاه-کيلومتر5 جاده کرندغرب اسلام آباد-مقابل روستاي طلسم-بعداز آب معدني راکي کارخانه آسفالت شرکت مرزراه</v>
      </c>
      <c r="D1736" s="1">
        <v>9363</v>
      </c>
      <c r="E1736" s="1">
        <v>88440</v>
      </c>
      <c r="F1736" s="1">
        <v>96</v>
      </c>
      <c r="G1736" s="1">
        <v>11560</v>
      </c>
      <c r="H1736" s="1" t="str">
        <f>"96/07/26"</f>
        <v>96/07/26</v>
      </c>
      <c r="I1736" s="1" t="str">
        <f>"كيلوگرم"</f>
        <v>كيلوگرم</v>
      </c>
      <c r="J1736" s="1" t="str">
        <f>"0000000091"</f>
        <v>0000000091</v>
      </c>
      <c r="K1736" s="1" t="str">
        <f>"قير  PG64-22"</f>
        <v>قير  PG64-22</v>
      </c>
      <c r="L1736" s="1">
        <v>100</v>
      </c>
      <c r="M1736" s="1" t="str">
        <f>"مخازن قير اصفهان"</f>
        <v>مخازن قير اصفهان</v>
      </c>
      <c r="N1736" s="1">
        <v>8120</v>
      </c>
      <c r="O1736" s="1">
        <v>50036806</v>
      </c>
      <c r="P1736" s="1" t="str">
        <f>"  مرزراه"</f>
        <v xml:space="preserve">  مرزراه</v>
      </c>
      <c r="Q1736" s="1">
        <v>11</v>
      </c>
      <c r="R1736" s="1" t="str">
        <f>"فروش داخلي تهران - بورس"</f>
        <v>فروش داخلي تهران - بورس</v>
      </c>
      <c r="S1736" s="1" t="str">
        <f>"قرارداد فروش"</f>
        <v>قرارداد فروش</v>
      </c>
      <c r="T1736" s="1" t="str">
        <f>"ندارد"</f>
        <v>ندارد</v>
      </c>
      <c r="U1736" s="1" t="str">
        <f>"شمسيان پور حبيب اله(2842034)"</f>
        <v>شمسيان پور حبيب اله(2842034)</v>
      </c>
      <c r="V1736" s="1">
        <v>961100081</v>
      </c>
      <c r="W1736" s="1">
        <v>961100081</v>
      </c>
      <c r="X1736" s="1" t="str">
        <f>"1396519151"</f>
        <v>1396519151</v>
      </c>
      <c r="Y1736" s="1" t="str">
        <f>"96/07/26"</f>
        <v>96/07/26</v>
      </c>
      <c r="Z1736" s="1" t="str">
        <f>"96-36412"</f>
        <v>96-36412</v>
      </c>
      <c r="AA1736" s="1" t="str">
        <f>"راه سازي"</f>
        <v>راه سازي</v>
      </c>
      <c r="AB1736" s="1" t="str">
        <f>"96/07/25"</f>
        <v>96/07/25</v>
      </c>
      <c r="AC1736" s="1" t="str">
        <f>"استان كرمانشاه"</f>
        <v>استان كرمانشاه</v>
      </c>
      <c r="AD1736" s="1" t="str">
        <f>"96/07/25"</f>
        <v>96/07/25</v>
      </c>
      <c r="AE1736" s="1" t="str">
        <f>"اختتام"</f>
        <v>اختتام</v>
      </c>
      <c r="AF1736" s="1" t="str">
        <f>""</f>
        <v/>
      </c>
      <c r="AG1736" s="1" t="str">
        <f>""</f>
        <v/>
      </c>
      <c r="AH1736" s="1" t="str">
        <f>""</f>
        <v/>
      </c>
      <c r="AI1736" s="1" t="str">
        <f>""</f>
        <v/>
      </c>
      <c r="AJ1736" s="1" t="str">
        <f>""</f>
        <v/>
      </c>
      <c r="AK1736" s="1" t="str">
        <f>""</f>
        <v/>
      </c>
    </row>
    <row r="1737" spans="1:37">
      <c r="A1737" s="1">
        <v>750000</v>
      </c>
      <c r="B1737" s="1">
        <v>961900141</v>
      </c>
      <c r="C1737" s="1" t="str">
        <f>"تخليه -خراسان جنوبي -كارخانه آسفالت گيتي گسترواقع درشهرك صنعتي گيتي گستر"</f>
        <v>تخليه -خراسان جنوبي -كارخانه آسفالت گيتي گسترواقع درشهرك صنعتي گيتي گستر</v>
      </c>
      <c r="D1737" s="1">
        <v>9363</v>
      </c>
      <c r="E1737" s="1">
        <v>746740</v>
      </c>
      <c r="F1737" s="1">
        <v>96</v>
      </c>
      <c r="G1737" s="1">
        <v>3260</v>
      </c>
      <c r="H1737" s="1" t="str">
        <f>"96/06/21"</f>
        <v>96/06/21</v>
      </c>
      <c r="I1737" s="1" t="str">
        <f>"كيلوگرم"</f>
        <v>كيلوگرم</v>
      </c>
      <c r="J1737" s="1" t="str">
        <f>"0000000091"</f>
        <v>0000000091</v>
      </c>
      <c r="K1737" s="1" t="str">
        <f>"قير  PG64-22"</f>
        <v>قير  PG64-22</v>
      </c>
      <c r="L1737" s="1">
        <v>100</v>
      </c>
      <c r="M1737" s="1" t="str">
        <f>"مخازن قير اصفهان"</f>
        <v>مخازن قير اصفهان</v>
      </c>
      <c r="N1737" s="1">
        <v>8333</v>
      </c>
      <c r="O1737" s="1">
        <v>50035966</v>
      </c>
      <c r="P1737" s="1" t="str">
        <f>"  گيتي گسترخاوران"</f>
        <v xml:space="preserve">  گيتي گسترخاوران</v>
      </c>
      <c r="Q1737" s="1">
        <v>19</v>
      </c>
      <c r="R173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737" s="1" t="str">
        <f>"قرارداد فروش"</f>
        <v>قرارداد فروش</v>
      </c>
      <c r="T1737" s="1" t="str">
        <f>"ندارد"</f>
        <v>ندارد</v>
      </c>
      <c r="U1737" s="1" t="str">
        <f>"بابامحمدي عنايت اله(4844000)"</f>
        <v>بابامحمدي عنايت اله(4844000)</v>
      </c>
      <c r="V1737" s="1">
        <v>961900141</v>
      </c>
      <c r="W1737" s="1">
        <v>961900141</v>
      </c>
      <c r="X1737" s="1" t="str">
        <f>"1396511617"</f>
        <v>1396511617</v>
      </c>
      <c r="Y1737" s="1" t="str">
        <f>"96/06/21"</f>
        <v>96/06/21</v>
      </c>
      <c r="Z1737" s="1" t="str">
        <f>"29749/710"</f>
        <v>29749/710</v>
      </c>
      <c r="AA1737" s="1" t="str">
        <f>"سازمان راهداري وحمل نقل جاده اي"</f>
        <v>سازمان راهداري وحمل نقل جاده اي</v>
      </c>
      <c r="AB1737" s="1" t="str">
        <f>"96/06/15"</f>
        <v>96/06/15</v>
      </c>
      <c r="AC1737" s="1" t="str">
        <f>"خراسان جنوبي"</f>
        <v>خراسان جنوبي</v>
      </c>
      <c r="AD1737" s="1" t="str">
        <f>"96/06/21"</f>
        <v>96/06/21</v>
      </c>
      <c r="AE1737" s="1" t="str">
        <f>"اختتام"</f>
        <v>اختتام</v>
      </c>
      <c r="AF1737" s="1" t="str">
        <f>""</f>
        <v/>
      </c>
      <c r="AG1737" s="1" t="str">
        <f>""</f>
        <v/>
      </c>
      <c r="AH1737" s="1" t="str">
        <f>""</f>
        <v/>
      </c>
      <c r="AI1737" s="1" t="str">
        <f>""</f>
        <v/>
      </c>
      <c r="AJ1737" s="1" t="str">
        <f>""</f>
        <v/>
      </c>
      <c r="AK1737" s="1" t="str">
        <f>""</f>
        <v/>
      </c>
    </row>
    <row r="1738" spans="1:37">
      <c r="A1738" s="1">
        <v>270000</v>
      </c>
      <c r="B1738" s="1">
        <v>961700035</v>
      </c>
      <c r="C1738" s="1" t="str">
        <f>"تخليه - خراسان رضوي - پروژه بهسازي راه تجر-مغان-مج-کارخانه آسفالت جعفرآباد توس راديه"</f>
        <v>تخليه - خراسان رضوي - پروژه بهسازي راه تجر-مغان-مج-کارخانه آسفالت جعفرآباد توس راديه</v>
      </c>
      <c r="D1738" s="1">
        <v>8904</v>
      </c>
      <c r="E1738" s="1">
        <v>268100</v>
      </c>
      <c r="F1738" s="1">
        <v>96</v>
      </c>
      <c r="G1738" s="1">
        <v>1900</v>
      </c>
      <c r="H1738" s="1" t="str">
        <f>"96/05/04"</f>
        <v>96/05/04</v>
      </c>
      <c r="I1738" s="1" t="str">
        <f>"كيلوگرم"</f>
        <v>كيلوگرم</v>
      </c>
      <c r="J1738" s="1" t="str">
        <f>"0000000091"</f>
        <v>0000000091</v>
      </c>
      <c r="K1738" s="1" t="str">
        <f>"قير  PG64-22"</f>
        <v>قير  PG64-22</v>
      </c>
      <c r="L1738" s="1">
        <v>100</v>
      </c>
      <c r="M1738" s="1" t="str">
        <f>"مخازن قير اصفهان"</f>
        <v>مخازن قير اصفهان</v>
      </c>
      <c r="N1738" s="1">
        <v>8833</v>
      </c>
      <c r="O1738" s="1">
        <v>50035368</v>
      </c>
      <c r="P1738" s="1" t="str">
        <f>"  طاقديس سازه توس"</f>
        <v xml:space="preserve">  طاقديس سازه توس</v>
      </c>
      <c r="Q1738" s="1">
        <v>17</v>
      </c>
      <c r="R1738" s="1" t="str">
        <f>"فروش داخلي تهران - وزارت راه - راه روستايي - روکش"</f>
        <v>فروش داخلي تهران - وزارت راه - راه روستايي - روکش</v>
      </c>
      <c r="S1738" s="1" t="str">
        <f>"قرارداد فروش"</f>
        <v>قرارداد فروش</v>
      </c>
      <c r="T1738" s="1" t="str">
        <f>"ندارد"</f>
        <v>ندارد</v>
      </c>
      <c r="U1738" s="1" t="str">
        <f>"بابامحمدي عنايت اله(4844000)"</f>
        <v>بابامحمدي عنايت اله(4844000)</v>
      </c>
      <c r="V1738" s="1">
        <v>961700035</v>
      </c>
      <c r="W1738" s="1">
        <v>961700035</v>
      </c>
      <c r="X1738" s="1" t="str">
        <f>"1396500365"</f>
        <v>1396500365</v>
      </c>
      <c r="Y1738" s="1" t="str">
        <f>"96/05/04"</f>
        <v>96/05/04</v>
      </c>
      <c r="Z1738" s="1" t="str">
        <f>"19041/710"</f>
        <v>19041/710</v>
      </c>
      <c r="AA1738" s="1" t="str">
        <f>"راه روستائي -روكش"</f>
        <v>راه روستائي -روكش</v>
      </c>
      <c r="AB1738" s="1" t="str">
        <f>"96/04/26"</f>
        <v>96/04/26</v>
      </c>
      <c r="AC1738" s="1" t="str">
        <f>"خراسان رضوي"</f>
        <v>خراسان رضوي</v>
      </c>
      <c r="AD1738" s="1" t="str">
        <f>"96/05/04"</f>
        <v>96/05/04</v>
      </c>
      <c r="AE1738" s="1" t="str">
        <f>"اختتام"</f>
        <v>اختتام</v>
      </c>
      <c r="AF1738" s="1" t="str">
        <f>""</f>
        <v/>
      </c>
      <c r="AG1738" s="1" t="str">
        <f>""</f>
        <v/>
      </c>
      <c r="AH1738" s="1" t="str">
        <f>""</f>
        <v/>
      </c>
      <c r="AI1738" s="1" t="str">
        <f>""</f>
        <v/>
      </c>
      <c r="AJ1738" s="1" t="str">
        <f>""</f>
        <v/>
      </c>
      <c r="AK1738" s="1" t="str">
        <f>""</f>
        <v/>
      </c>
    </row>
    <row r="1739" spans="1:37">
      <c r="A1739" s="1">
        <v>400000</v>
      </c>
      <c r="B1739" s="1">
        <v>961800039</v>
      </c>
      <c r="C1739" s="1" t="str">
        <f>"تخليه -كرمانشاه -جاده اسلام آباد-روستاي شاهيني -شركت راكن"</f>
        <v>تخليه -كرمانشاه -جاده اسلام آباد-روستاي شاهيني -شركت راكن</v>
      </c>
      <c r="D1739" s="1">
        <v>9363</v>
      </c>
      <c r="E1739" s="1">
        <v>400000</v>
      </c>
      <c r="F1739" s="1">
        <v>96</v>
      </c>
      <c r="G1739" s="1">
        <v>0</v>
      </c>
      <c r="H1739" s="1" t="str">
        <f>"96/06/22"</f>
        <v>96/06/22</v>
      </c>
      <c r="I1739" s="1" t="str">
        <f>"كيلوگرم"</f>
        <v>كيلوگرم</v>
      </c>
      <c r="J1739" s="1" t="str">
        <f>"0000000091"</f>
        <v>0000000091</v>
      </c>
      <c r="K1739" s="1" t="str">
        <f>"قير  PG64-22"</f>
        <v>قير  PG64-22</v>
      </c>
      <c r="L1739" s="1">
        <v>100</v>
      </c>
      <c r="M1739" s="1" t="str">
        <f>"مخازن قير اصفهان"</f>
        <v>مخازن قير اصفهان</v>
      </c>
      <c r="N1739" s="1">
        <v>9495</v>
      </c>
      <c r="O1739" s="1">
        <v>50036022</v>
      </c>
      <c r="P1739" s="1" t="str">
        <f>"  راه و ساختمان راكن"</f>
        <v xml:space="preserve">  راه و ساختمان راكن</v>
      </c>
      <c r="Q1739" s="1">
        <v>18</v>
      </c>
      <c r="R1739" s="1" t="str">
        <f>"فروش داخلي تهران - وزارت راه - شرکت ساخت و توسعه راهها"</f>
        <v>فروش داخلي تهران - وزارت راه - شرکت ساخت و توسعه راهها</v>
      </c>
      <c r="S1739" s="1" t="str">
        <f>"قرارداد فروش"</f>
        <v>قرارداد فروش</v>
      </c>
      <c r="T1739" s="1" t="str">
        <f>"ندارد"</f>
        <v>ندارد</v>
      </c>
      <c r="U1739" s="1" t="str">
        <f>"سليمي پارساعارف عماد(1901096)"</f>
        <v>سليمي پارساعارف عماد(1901096)</v>
      </c>
      <c r="V1739" s="1">
        <v>961800039</v>
      </c>
      <c r="W1739" s="1">
        <v>961800039</v>
      </c>
      <c r="X1739" s="1" t="str">
        <f>"1396512367"</f>
        <v>1396512367</v>
      </c>
      <c r="Y1739" s="1" t="str">
        <f>"96/06/22"</f>
        <v>96/06/22</v>
      </c>
      <c r="Z1739" s="1" t="str">
        <f>"29750/710"</f>
        <v>29750/710</v>
      </c>
      <c r="AA1739" s="1" t="str">
        <f>"شركت  ساخت وتوسعه راهها"</f>
        <v>شركت  ساخت وتوسعه راهها</v>
      </c>
      <c r="AB1739" s="1" t="str">
        <f>"96/06/15"</f>
        <v>96/06/15</v>
      </c>
      <c r="AC1739" s="1" t="str">
        <f>"استان ايلام"</f>
        <v>استان ايلام</v>
      </c>
      <c r="AD1739" s="1" t="str">
        <f>"96/06/22"</f>
        <v>96/06/22</v>
      </c>
      <c r="AE1739" s="1" t="str">
        <f>"اختتام"</f>
        <v>اختتام</v>
      </c>
      <c r="AF1739" s="1" t="str">
        <f>""</f>
        <v/>
      </c>
      <c r="AG1739" s="1" t="str">
        <f>""</f>
        <v/>
      </c>
      <c r="AH1739" s="1" t="str">
        <f>""</f>
        <v/>
      </c>
      <c r="AI1739" s="1" t="str">
        <f>""</f>
        <v/>
      </c>
      <c r="AJ1739" s="1" t="str">
        <f>""</f>
        <v/>
      </c>
      <c r="AK1739" s="1" t="str">
        <f>""</f>
        <v/>
      </c>
    </row>
    <row r="1740" spans="1:37">
      <c r="A1740" s="1">
        <v>3000000</v>
      </c>
      <c r="B1740" s="1">
        <v>961900136</v>
      </c>
      <c r="C1740" s="1" t="str">
        <f>"تخليه -كرمانشاه -اسلام آبادغرب كيلومتر10جاده اهواز-كارخانه آسفالت قاضي وندفيروزآباد"</f>
        <v>تخليه -كرمانشاه -اسلام آبادغرب كيلومتر10جاده اهواز-كارخانه آسفالت قاضي وندفيروزآباد</v>
      </c>
      <c r="D1740" s="1">
        <v>12970</v>
      </c>
      <c r="E1740" s="1">
        <v>3000000</v>
      </c>
      <c r="F1740" s="1">
        <v>96</v>
      </c>
      <c r="G1740" s="1">
        <v>0</v>
      </c>
      <c r="H1740" s="1" t="str">
        <f>"96/06/06"</f>
        <v>96/06/06</v>
      </c>
      <c r="I1740" s="1" t="str">
        <f>"كيلوگرم"</f>
        <v>كيلوگرم</v>
      </c>
      <c r="J1740" s="1" t="str">
        <f>"0000000091"</f>
        <v>0000000091</v>
      </c>
      <c r="K1740" s="1" t="str">
        <f>"قير  PG64-22"</f>
        <v>قير  PG64-22</v>
      </c>
      <c r="L1740" s="1">
        <v>100</v>
      </c>
      <c r="M1740" s="1" t="str">
        <f>"مخازن قير اصفهان"</f>
        <v>مخازن قير اصفهان</v>
      </c>
      <c r="N1740" s="1">
        <v>9734</v>
      </c>
      <c r="O1740" s="1">
        <v>50035831</v>
      </c>
      <c r="P1740" s="1" t="str">
        <f>"  تيسفون راه زاگرس(زرين بام هليلان )"</f>
        <v xml:space="preserve">  تيسفون راه زاگرس(زرين بام هليلان )</v>
      </c>
      <c r="Q1740" s="1">
        <v>19</v>
      </c>
      <c r="R174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740" s="1" t="str">
        <f>"قرارداد فروش"</f>
        <v>قرارداد فروش</v>
      </c>
      <c r="T1740" s="1" t="str">
        <f>"ندارد"</f>
        <v>ندارد</v>
      </c>
      <c r="U1740" s="1" t="str">
        <f>"قره باغي مجيد(1871065)"</f>
        <v>قره باغي مجيد(1871065)</v>
      </c>
      <c r="V1740" s="1">
        <v>961900136</v>
      </c>
      <c r="W1740" s="1">
        <v>961900136</v>
      </c>
      <c r="X1740" s="1" t="str">
        <f>"1396508320"</f>
        <v>1396508320</v>
      </c>
      <c r="Y1740" s="1" t="str">
        <f>"96/06/06"</f>
        <v>96/06/06</v>
      </c>
      <c r="Z1740" s="1" t="str">
        <f>"26479/710"</f>
        <v>26479/710</v>
      </c>
      <c r="AA1740" s="1" t="str">
        <f>"سازمان راهداري وحمل نقل جاده اي"</f>
        <v>سازمان راهداري وحمل نقل جاده اي</v>
      </c>
      <c r="AB1740" s="1" t="str">
        <f>"96/05/31"</f>
        <v>96/05/31</v>
      </c>
      <c r="AC1740" s="1" t="str">
        <f>"استان كرمانشاه"</f>
        <v>استان كرمانشاه</v>
      </c>
      <c r="AD1740" s="1" t="str">
        <f>"96/06/06"</f>
        <v>96/06/06</v>
      </c>
      <c r="AE1740" s="1" t="str">
        <f>"اختتام"</f>
        <v>اختتام</v>
      </c>
      <c r="AF1740" s="1" t="str">
        <f>""</f>
        <v/>
      </c>
      <c r="AG1740" s="1" t="str">
        <f>""</f>
        <v/>
      </c>
      <c r="AH1740" s="1" t="str">
        <f>""</f>
        <v/>
      </c>
      <c r="AI1740" s="1" t="str">
        <f>""</f>
        <v/>
      </c>
      <c r="AJ1740" s="1" t="str">
        <f>""</f>
        <v/>
      </c>
      <c r="AK1740" s="1" t="str">
        <f>""</f>
        <v/>
      </c>
    </row>
    <row r="1741" spans="1:37">
      <c r="A1741" s="1">
        <v>15000</v>
      </c>
      <c r="B1741" s="1">
        <v>966200011</v>
      </c>
      <c r="C1741" s="1" t="str">
        <f>"تخليه -اصفهان -جاده اردستان سه راهي اردستان -كارخانه آسفالت بسترسازان"</f>
        <v>تخليه -اصفهان -جاده اردستان سه راهي اردستان -كارخانه آسفالت بسترسازان</v>
      </c>
      <c r="D1741" s="1">
        <v>11482</v>
      </c>
      <c r="E1741" s="1">
        <v>13140</v>
      </c>
      <c r="F1741" s="1">
        <v>96</v>
      </c>
      <c r="G1741" s="1">
        <v>1860</v>
      </c>
      <c r="H1741" s="1" t="str">
        <f>"96/01/21"</f>
        <v>96/01/21</v>
      </c>
      <c r="I1741" s="1" t="str">
        <f>"كيلوگرم"</f>
        <v>كيلوگرم</v>
      </c>
      <c r="J1741" s="1" t="str">
        <f>"1000000003"</f>
        <v>1000000003</v>
      </c>
      <c r="K1741" s="1" t="str">
        <f>"قير MC250"</f>
        <v>قير MC250</v>
      </c>
      <c r="L1741" s="1">
        <v>100</v>
      </c>
      <c r="M1741" s="1" t="str">
        <f>"مخازن قير اصفهان"</f>
        <v>مخازن قير اصفهان</v>
      </c>
      <c r="N1741" s="1">
        <v>10088</v>
      </c>
      <c r="O1741" s="1">
        <v>50034471</v>
      </c>
      <c r="P1741" s="1" t="str">
        <f>"  عمراني بسترسازان كوير"</f>
        <v xml:space="preserve">  عمراني بسترسازان كوير</v>
      </c>
      <c r="Q1741" s="1">
        <v>62</v>
      </c>
      <c r="R1741" s="1" t="str">
        <f>"فروش داخلي - سازمان بنيادمسكن انقلاب اسلامي"</f>
        <v>فروش داخلي - سازمان بنيادمسكن انقلاب اسلامي</v>
      </c>
      <c r="S1741" s="1" t="str">
        <f>"قرارداد فروش"</f>
        <v>قرارداد فروش</v>
      </c>
      <c r="T1741" s="1" t="str">
        <f>"ندارد"</f>
        <v>ندارد</v>
      </c>
      <c r="U1741" s="1" t="str">
        <f>"عزيزي صفر(1006ج 89)"</f>
        <v>عزيزي صفر(1006ج 89)</v>
      </c>
      <c r="V1741" s="1">
        <v>966200011</v>
      </c>
      <c r="W1741" s="1">
        <v>966200011</v>
      </c>
      <c r="X1741" s="1" t="str">
        <f>"1396472724"</f>
        <v>1396472724</v>
      </c>
      <c r="Y1741" s="1" t="str">
        <f>"96/01/21"</f>
        <v>96/01/21</v>
      </c>
      <c r="Z1741" s="1" t="str">
        <f>"989/د"</f>
        <v>989/د</v>
      </c>
      <c r="AA1741" s="1" t="str">
        <f>"بنيادمسكن انقلاب اسلامي"</f>
        <v>بنيادمسكن انقلاب اسلامي</v>
      </c>
      <c r="AB1741" s="1" t="str">
        <f>"96/01/19"</f>
        <v>96/01/19</v>
      </c>
      <c r="AC1741" s="1" t="str">
        <f>"استان اصفهان"</f>
        <v>استان اصفهان</v>
      </c>
      <c r="AD1741" s="1" t="str">
        <f>"96/01/20"</f>
        <v>96/01/20</v>
      </c>
      <c r="AE1741" s="1" t="str">
        <f>"اختتام"</f>
        <v>اختتام</v>
      </c>
      <c r="AF1741" s="1" t="str">
        <f>""</f>
        <v/>
      </c>
      <c r="AG1741" s="1" t="str">
        <f>""</f>
        <v/>
      </c>
      <c r="AH1741" s="1" t="str">
        <f>""</f>
        <v/>
      </c>
      <c r="AI1741" s="1" t="str">
        <f>""</f>
        <v/>
      </c>
      <c r="AJ1741" s="1" t="str">
        <f>""</f>
        <v/>
      </c>
      <c r="AK1741" s="1" t="str">
        <f>""</f>
        <v/>
      </c>
    </row>
    <row r="1742" spans="1:37">
      <c r="A1742" s="1">
        <v>300000</v>
      </c>
      <c r="B1742" s="1">
        <v>961900158</v>
      </c>
      <c r="C1742" s="1" t="str">
        <f>"تخليه -كردستان -كارخانه آسفالت سنته سقز"</f>
        <v>تخليه -كردستان -كارخانه آسفالت سنته سقز</v>
      </c>
      <c r="D1742" s="1">
        <v>12970</v>
      </c>
      <c r="E1742" s="1">
        <v>298000</v>
      </c>
      <c r="F1742" s="1">
        <v>96</v>
      </c>
      <c r="G1742" s="1">
        <v>2000</v>
      </c>
      <c r="H1742" s="1" t="str">
        <f>"96/07/11"</f>
        <v>96/07/11</v>
      </c>
      <c r="I1742" s="1" t="str">
        <f>"كيلوگرم"</f>
        <v>كيلوگرم</v>
      </c>
      <c r="J1742" s="1" t="str">
        <f>"0000000091"</f>
        <v>0000000091</v>
      </c>
      <c r="K1742" s="1" t="str">
        <f>"قير  PG64-22"</f>
        <v>قير  PG64-22</v>
      </c>
      <c r="L1742" s="1">
        <v>100</v>
      </c>
      <c r="M1742" s="1" t="str">
        <f>"مخازن قير اصفهان"</f>
        <v>مخازن قير اصفهان</v>
      </c>
      <c r="N1742" s="1">
        <v>10513</v>
      </c>
      <c r="O1742" s="1">
        <v>50036500</v>
      </c>
      <c r="P1742" s="1" t="str">
        <f>"  ريبوار كردستان"</f>
        <v xml:space="preserve">  ريبوار كردستان</v>
      </c>
      <c r="Q1742" s="1">
        <v>19</v>
      </c>
      <c r="R174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742" s="1" t="str">
        <f>"قرارداد فروش"</f>
        <v>قرارداد فروش</v>
      </c>
      <c r="T1742" s="1" t="str">
        <f>"ندارد"</f>
        <v>ندارد</v>
      </c>
      <c r="U1742" s="1" t="str">
        <f>"ميهن دوست عبداله(2842010)"</f>
        <v>ميهن دوست عبداله(2842010)</v>
      </c>
      <c r="V1742" s="1">
        <v>961900158</v>
      </c>
      <c r="W1742" s="1">
        <v>961900158</v>
      </c>
      <c r="X1742" s="1" t="str">
        <f>"1396515927"</f>
        <v>1396515927</v>
      </c>
      <c r="Y1742" s="1" t="str">
        <f>"96/07/11"</f>
        <v>96/07/11</v>
      </c>
      <c r="Z1742" s="1" t="str">
        <f>"32679/710"</f>
        <v>32679/710</v>
      </c>
      <c r="AA1742" s="1" t="str">
        <f>"سازمان راهداري وحمل نقل جاده اي"</f>
        <v>سازمان راهداري وحمل نقل جاده اي</v>
      </c>
      <c r="AB1742" s="1" t="str">
        <f>"96/07/02"</f>
        <v>96/07/02</v>
      </c>
      <c r="AC1742" s="1" t="str">
        <f>"استان كردستان"</f>
        <v>استان كردستان</v>
      </c>
      <c r="AD1742" s="1" t="str">
        <f>"96/07/11"</f>
        <v>96/07/11</v>
      </c>
      <c r="AE1742" s="1" t="str">
        <f>"اختتام"</f>
        <v>اختتام</v>
      </c>
      <c r="AF1742" s="1" t="str">
        <f>""</f>
        <v/>
      </c>
      <c r="AG1742" s="1" t="str">
        <f>""</f>
        <v/>
      </c>
      <c r="AH1742" s="1" t="str">
        <f>""</f>
        <v/>
      </c>
      <c r="AI1742" s="1" t="str">
        <f>""</f>
        <v/>
      </c>
      <c r="AJ1742" s="1" t="str">
        <f>""</f>
        <v/>
      </c>
      <c r="AK1742" s="1" t="str">
        <f>""</f>
        <v/>
      </c>
    </row>
    <row r="1743" spans="1:37">
      <c r="A1743" s="1">
        <v>15000</v>
      </c>
      <c r="B1743" s="1">
        <v>966200197</v>
      </c>
      <c r="C1743" s="1" t="str">
        <f>"تخليه - اصفهان-داران جاده شهرکرد-کارخانه توليد آسفالت جهاد"</f>
        <v>تخليه - اصفهان-داران جاده شهرکرد-کارخانه توليد آسفالت جهاد</v>
      </c>
      <c r="D1743" s="1">
        <v>12222</v>
      </c>
      <c r="E1743" s="1">
        <v>14380</v>
      </c>
      <c r="F1743" s="1">
        <v>96</v>
      </c>
      <c r="G1743" s="1">
        <v>620</v>
      </c>
      <c r="H1743" s="1" t="str">
        <f>"96/05/25"</f>
        <v>96/05/25</v>
      </c>
      <c r="I1743" s="1" t="str">
        <f>"كيلوگرم"</f>
        <v>كيلوگرم</v>
      </c>
      <c r="J1743" s="1" t="str">
        <f>"1000000003"</f>
        <v>1000000003</v>
      </c>
      <c r="K1743" s="1" t="str">
        <f>"قير MC250"</f>
        <v>قير MC250</v>
      </c>
      <c r="L1743" s="1">
        <v>100</v>
      </c>
      <c r="M1743" s="1" t="str">
        <f>"مخازن قير اصفهان"</f>
        <v>مخازن قير اصفهان</v>
      </c>
      <c r="N1743" s="1">
        <v>10314</v>
      </c>
      <c r="O1743" s="1">
        <v>50035687</v>
      </c>
      <c r="P1743" s="1" t="str">
        <f>"  محکم بناسازان مشايخ"</f>
        <v xml:space="preserve">  محکم بناسازان مشايخ</v>
      </c>
      <c r="Q1743" s="1">
        <v>62</v>
      </c>
      <c r="R1743" s="1" t="str">
        <f>"فروش داخلي - سازمان بنيادمسكن انقلاب اسلامي"</f>
        <v>فروش داخلي - سازمان بنيادمسكن انقلاب اسلامي</v>
      </c>
      <c r="S1743" s="1" t="str">
        <f>"قرارداد فروش"</f>
        <v>قرارداد فروش</v>
      </c>
      <c r="T1743" s="1" t="str">
        <f>"ندارد"</f>
        <v>ندارد</v>
      </c>
      <c r="U1743" s="1" t="str">
        <f>"سيفي پور عبدالمجيد(1009ج89)"</f>
        <v>سيفي پور عبدالمجيد(1009ج89)</v>
      </c>
      <c r="V1743" s="1">
        <v>966200197</v>
      </c>
      <c r="W1743" s="1">
        <v>966200197</v>
      </c>
      <c r="X1743" s="1" t="str">
        <f>"1396506152"</f>
        <v>1396506152</v>
      </c>
      <c r="Y1743" s="1" t="str">
        <f>"96/05/25"</f>
        <v>96/05/25</v>
      </c>
      <c r="Z1743" s="1" t="str">
        <f>"22115/د"</f>
        <v>22115/د</v>
      </c>
      <c r="AA1743" s="1" t="str">
        <f>"بنيادمسكن انقلاب اسلامي"</f>
        <v>بنيادمسكن انقلاب اسلامي</v>
      </c>
      <c r="AB1743" s="1" t="str">
        <f>"96/05/24"</f>
        <v>96/05/24</v>
      </c>
      <c r="AC1743" s="1" t="str">
        <f>"استان اصفهان"</f>
        <v>استان اصفهان</v>
      </c>
      <c r="AD1743" s="1" t="str">
        <f>"96/05/25"</f>
        <v>96/05/25</v>
      </c>
      <c r="AE1743" s="1" t="str">
        <f>"اختتام"</f>
        <v>اختتام</v>
      </c>
      <c r="AF1743" s="1" t="str">
        <f>""</f>
        <v/>
      </c>
      <c r="AG1743" s="1" t="str">
        <f>""</f>
        <v/>
      </c>
      <c r="AH1743" s="1" t="str">
        <f>""</f>
        <v/>
      </c>
      <c r="AI1743" s="1" t="str">
        <f>""</f>
        <v/>
      </c>
      <c r="AJ1743" s="1" t="str">
        <f>""</f>
        <v/>
      </c>
      <c r="AK1743" s="1" t="str">
        <f>""</f>
        <v/>
      </c>
    </row>
    <row r="1744" spans="1:37">
      <c r="A1744" s="1">
        <v>15000</v>
      </c>
      <c r="B1744" s="1">
        <v>966200591</v>
      </c>
      <c r="C1744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1744" s="1">
        <v>16650</v>
      </c>
      <c r="E1744" s="1">
        <v>15000</v>
      </c>
      <c r="F1744" s="1">
        <v>96</v>
      </c>
      <c r="G1744" s="1">
        <v>0</v>
      </c>
      <c r="H1744" s="1" t="str">
        <f>"96/12/07"</f>
        <v>96/12/07</v>
      </c>
      <c r="I1744" s="1" t="str">
        <f>"كيلوگرم"</f>
        <v>كيلوگرم</v>
      </c>
      <c r="J1744" s="1" t="str">
        <f>"1000000003"</f>
        <v>1000000003</v>
      </c>
      <c r="K1744" s="1" t="str">
        <f>"قير MC250"</f>
        <v>قير MC250</v>
      </c>
      <c r="L1744" s="1">
        <v>100</v>
      </c>
      <c r="M1744" s="1" t="str">
        <f>"مخازن قير اصفهان"</f>
        <v>مخازن قير اصفهان</v>
      </c>
      <c r="N1744" s="1">
        <v>11001</v>
      </c>
      <c r="O1744" s="1">
        <v>50038631</v>
      </c>
      <c r="P1744" s="1" t="str">
        <f>"  بنياد مسکن انقلاب اسلامي نجف آباد"</f>
        <v xml:space="preserve">  بنياد مسکن انقلاب اسلامي نجف آباد</v>
      </c>
      <c r="Q1744" s="1">
        <v>62</v>
      </c>
      <c r="R1744" s="1" t="str">
        <f>"فروش داخلي - سازمان بنيادمسكن انقلاب اسلامي"</f>
        <v>فروش داخلي - سازمان بنيادمسكن انقلاب اسلامي</v>
      </c>
      <c r="S1744" s="1" t="str">
        <f>"قرارداد فروش"</f>
        <v>قرارداد فروش</v>
      </c>
      <c r="T1744" s="1" t="str">
        <f>"ندارد"</f>
        <v>ندارد</v>
      </c>
      <c r="U1744" s="1" t="str">
        <f>"سيفي پور عبدالمجيد(1009ج89)"</f>
        <v>سيفي پور عبدالمجيد(1009ج89)</v>
      </c>
      <c r="V1744" s="1">
        <v>966200591</v>
      </c>
      <c r="W1744" s="1">
        <v>966200591</v>
      </c>
      <c r="X1744" s="1" t="str">
        <f>"1396550586"</f>
        <v>1396550586</v>
      </c>
      <c r="Y1744" s="1" t="str">
        <f>"96/12/07"</f>
        <v>96/12/07</v>
      </c>
      <c r="Z1744" s="1" t="str">
        <f>"54839/د"</f>
        <v>54839/د</v>
      </c>
      <c r="AA1744" s="1" t="str">
        <f>"بنيادمسكن انقلاب اسلامي"</f>
        <v>بنيادمسكن انقلاب اسلامي</v>
      </c>
      <c r="AB1744" s="1" t="str">
        <f>"96/12/05"</f>
        <v>96/12/05</v>
      </c>
      <c r="AC1744" s="1" t="str">
        <f>"استان اصفهان"</f>
        <v>استان اصفهان</v>
      </c>
      <c r="AD1744" s="1" t="str">
        <f>"96/12/07"</f>
        <v>96/12/07</v>
      </c>
      <c r="AE1744" s="1" t="str">
        <f>"اختتام"</f>
        <v>اختتام</v>
      </c>
      <c r="AF1744" s="1" t="str">
        <f>""</f>
        <v/>
      </c>
      <c r="AG1744" s="1" t="str">
        <f>""</f>
        <v/>
      </c>
      <c r="AH1744" s="1" t="str">
        <f>""</f>
        <v/>
      </c>
      <c r="AI1744" s="1" t="str">
        <f>""</f>
        <v/>
      </c>
      <c r="AJ1744" s="1" t="str">
        <f>""</f>
        <v/>
      </c>
      <c r="AK1744" s="1" t="str">
        <f>""</f>
        <v/>
      </c>
    </row>
    <row r="1745" spans="1:37">
      <c r="A1745" s="1">
        <v>15000</v>
      </c>
      <c r="B1745" s="1">
        <v>966200431</v>
      </c>
      <c r="C1745" s="1" t="str">
        <f>"تخليه خراسان جنوبي فردوس كارخانه آسفالت توس راديه"</f>
        <v>تخليه خراسان جنوبي فردوس كارخانه آسفالت توس راديه</v>
      </c>
      <c r="D1745" s="1">
        <v>15947</v>
      </c>
      <c r="E1745" s="1">
        <v>15000</v>
      </c>
      <c r="F1745" s="1">
        <v>96</v>
      </c>
      <c r="G1745" s="1">
        <v>0</v>
      </c>
      <c r="H1745" s="1" t="str">
        <f>"96/09/18"</f>
        <v>96/09/18</v>
      </c>
      <c r="I1745" s="1" t="str">
        <f>"كيلوگرم"</f>
        <v>كيلوگرم</v>
      </c>
      <c r="J1745" s="1" t="str">
        <f>"1000000003"</f>
        <v>1000000003</v>
      </c>
      <c r="K1745" s="1" t="str">
        <f>"قير MC250"</f>
        <v>قير MC250</v>
      </c>
      <c r="L1745" s="1">
        <v>100</v>
      </c>
      <c r="M1745" s="1" t="str">
        <f>"مخازن قير اصفهان"</f>
        <v>مخازن قير اصفهان</v>
      </c>
      <c r="N1745" s="1">
        <v>11053</v>
      </c>
      <c r="O1745" s="1">
        <v>50037558</v>
      </c>
      <c r="P1745" s="1" t="str">
        <f>"  آوارادين شرق"</f>
        <v xml:space="preserve">  آوارادين شرق</v>
      </c>
      <c r="Q1745" s="1">
        <v>62</v>
      </c>
      <c r="R1745" s="1" t="str">
        <f>"فروش داخلي - سازمان بنيادمسكن انقلاب اسلامي"</f>
        <v>فروش داخلي - سازمان بنيادمسكن انقلاب اسلامي</v>
      </c>
      <c r="S1745" s="1" t="str">
        <f>"قرارداد فروش"</f>
        <v>قرارداد فروش</v>
      </c>
      <c r="T1745" s="1" t="str">
        <f>"ندارد"</f>
        <v>ندارد</v>
      </c>
      <c r="U1745" s="1" t="str">
        <f>"كاردان اسپادان راه مصطفي  (1911100)"</f>
        <v>كاردان اسپادان راه مصطفي  (1911100)</v>
      </c>
      <c r="V1745" s="1">
        <v>966200431</v>
      </c>
      <c r="W1745" s="1">
        <v>966200431</v>
      </c>
      <c r="X1745" s="1" t="str">
        <f>"1396531058"</f>
        <v>1396531058</v>
      </c>
      <c r="Y1745" s="1" t="str">
        <f>"96/09/18"</f>
        <v>96/09/18</v>
      </c>
      <c r="Z1745" s="1" t="str">
        <f>"40622/د"</f>
        <v>40622/د</v>
      </c>
      <c r="AA1745" s="1" t="str">
        <f>"بنيادمسكن انقلاب اسلامي"</f>
        <v>بنيادمسكن انقلاب اسلامي</v>
      </c>
      <c r="AB1745" s="1" t="str">
        <f>"96/09/14"</f>
        <v>96/09/14</v>
      </c>
      <c r="AC1745" s="1" t="str">
        <f>"خراسان جنوبي"</f>
        <v>خراسان جنوبي</v>
      </c>
      <c r="AD1745" s="1" t="str">
        <f>"96/09/18"</f>
        <v>96/09/18</v>
      </c>
      <c r="AE1745" s="1" t="str">
        <f>"اختتام"</f>
        <v>اختتام</v>
      </c>
      <c r="AF1745" s="1" t="str">
        <f>""</f>
        <v/>
      </c>
      <c r="AG1745" s="1" t="str">
        <f>""</f>
        <v/>
      </c>
      <c r="AH1745" s="1" t="str">
        <f>""</f>
        <v/>
      </c>
      <c r="AI1745" s="1" t="str">
        <f>""</f>
        <v/>
      </c>
      <c r="AJ1745" s="1" t="str">
        <f>""</f>
        <v/>
      </c>
      <c r="AK1745" s="1" t="str">
        <f>""</f>
        <v/>
      </c>
    </row>
    <row r="1746" spans="1:37">
      <c r="A1746" s="1">
        <v>41000</v>
      </c>
      <c r="B1746" s="1">
        <v>966200306</v>
      </c>
      <c r="C1746" s="1" t="str">
        <f>"تخليه - سيستان و بلو چستان-سراوان-کيلومتر15 جاده سراوان-کهک-کارگاه شن و ماسه دهواري"</f>
        <v>تخليه - سيستان و بلو چستان-سراوان-کيلومتر15 جاده سراوان-کهک-کارگاه شن و ماسه دهواري</v>
      </c>
      <c r="D1746" s="1">
        <v>12777</v>
      </c>
      <c r="E1746" s="1">
        <v>39900</v>
      </c>
      <c r="F1746" s="1">
        <v>96</v>
      </c>
      <c r="G1746" s="1">
        <v>1100</v>
      </c>
      <c r="H1746" s="1" t="str">
        <f>"96/07/18"</f>
        <v>96/07/18</v>
      </c>
      <c r="I1746" s="1" t="str">
        <f>"كيلوگرم"</f>
        <v>كيلوگرم</v>
      </c>
      <c r="J1746" s="1" t="str">
        <f>"1000000003"</f>
        <v>1000000003</v>
      </c>
      <c r="K1746" s="1" t="str">
        <f>"قير MC250"</f>
        <v>قير MC250</v>
      </c>
      <c r="L1746" s="1">
        <v>100</v>
      </c>
      <c r="M1746" s="1" t="str">
        <f>"مخازن قير اصفهان"</f>
        <v>مخازن قير اصفهان</v>
      </c>
      <c r="N1746" s="1">
        <v>11070</v>
      </c>
      <c r="O1746" s="1">
        <v>50036657</v>
      </c>
      <c r="P1746" s="1" t="str">
        <f>"  شايان نقشه جنوب"</f>
        <v xml:space="preserve">  شايان نقشه جنوب</v>
      </c>
      <c r="Q1746" s="1">
        <v>62</v>
      </c>
      <c r="R1746" s="1" t="str">
        <f>"فروش داخلي - سازمان بنيادمسكن انقلاب اسلامي"</f>
        <v>فروش داخلي - سازمان بنيادمسكن انقلاب اسلامي</v>
      </c>
      <c r="S1746" s="1" t="str">
        <f>"قرارداد فروش"</f>
        <v>قرارداد فروش</v>
      </c>
      <c r="T1746" s="1" t="str">
        <f>"ندارد"</f>
        <v>ندارد</v>
      </c>
      <c r="U1746" s="1" t="str">
        <f>"بهرام زنگنه (1038 ج 93)"</f>
        <v>بهرام زنگنه (1038 ج 93)</v>
      </c>
      <c r="V1746" s="1">
        <v>966200306</v>
      </c>
      <c r="W1746" s="1">
        <v>966200306</v>
      </c>
      <c r="X1746" s="1" t="str">
        <f>"1396517671"</f>
        <v>1396517671</v>
      </c>
      <c r="Y1746" s="1" t="str">
        <f>"96/07/18"</f>
        <v>96/07/18</v>
      </c>
      <c r="Z1746" s="1" t="str">
        <f>"31779/د"</f>
        <v>31779/د</v>
      </c>
      <c r="AA1746" s="1" t="str">
        <f>"بنيادمسكن انقلاب اسلامي"</f>
        <v>بنيادمسكن انقلاب اسلامي</v>
      </c>
      <c r="AB1746" s="1" t="str">
        <f>"96/07/17"</f>
        <v>96/07/17</v>
      </c>
      <c r="AC1746" s="1" t="str">
        <f>"استان سيستان بلوچستان"</f>
        <v>استان سيستان بلوچستان</v>
      </c>
      <c r="AD1746" s="1" t="str">
        <f>"96/07/18"</f>
        <v>96/07/18</v>
      </c>
      <c r="AE1746" s="1" t="str">
        <f>"اختتام"</f>
        <v>اختتام</v>
      </c>
      <c r="AF1746" s="1" t="str">
        <f>""</f>
        <v/>
      </c>
      <c r="AG1746" s="1" t="str">
        <f>""</f>
        <v/>
      </c>
      <c r="AH1746" s="1" t="str">
        <f>""</f>
        <v/>
      </c>
      <c r="AI1746" s="1" t="str">
        <f>""</f>
        <v/>
      </c>
      <c r="AJ1746" s="1" t="str">
        <f>""</f>
        <v/>
      </c>
      <c r="AK1746" s="1" t="str">
        <f>""</f>
        <v/>
      </c>
    </row>
    <row r="1747" spans="1:37">
      <c r="A1747" s="1">
        <v>122000</v>
      </c>
      <c r="B1747" s="1">
        <v>966200398</v>
      </c>
      <c r="C1747" s="1" t="str">
        <f>"تخليه - سيستان و بلوچستان - چابهار-روستاي پسابندر"</f>
        <v>تخليه - سيستان و بلوچستان - چابهار-روستاي پسابندر</v>
      </c>
      <c r="D1747" s="1">
        <v>15947</v>
      </c>
      <c r="E1747" s="1">
        <v>115160</v>
      </c>
      <c r="F1747" s="1">
        <v>96</v>
      </c>
      <c r="G1747" s="1">
        <v>6840</v>
      </c>
      <c r="H1747" s="1" t="str">
        <f>"96/09/08"</f>
        <v>96/09/08</v>
      </c>
      <c r="I1747" s="1" t="str">
        <f>"كيلوگرم"</f>
        <v>كيلوگرم</v>
      </c>
      <c r="J1747" s="1" t="str">
        <f>"1000000003"</f>
        <v>1000000003</v>
      </c>
      <c r="K1747" s="1" t="str">
        <f>"قير MC250"</f>
        <v>قير MC250</v>
      </c>
      <c r="L1747" s="1">
        <v>100</v>
      </c>
      <c r="M1747" s="1" t="str">
        <f>"مخازن قير اصفهان"</f>
        <v>مخازن قير اصفهان</v>
      </c>
      <c r="N1747" s="1">
        <v>11070</v>
      </c>
      <c r="O1747" s="1">
        <v>50037362</v>
      </c>
      <c r="P1747" s="1" t="str">
        <f>"  شايان نقشه جنوب"</f>
        <v xml:space="preserve">  شايان نقشه جنوب</v>
      </c>
      <c r="Q1747" s="1">
        <v>62</v>
      </c>
      <c r="R1747" s="1" t="str">
        <f>"فروش داخلي - سازمان بنيادمسكن انقلاب اسلامي"</f>
        <v>فروش داخلي - سازمان بنيادمسكن انقلاب اسلامي</v>
      </c>
      <c r="S1747" s="1" t="str">
        <f>"قرارداد فروش"</f>
        <v>قرارداد فروش</v>
      </c>
      <c r="T1747" s="1" t="str">
        <f>"ندارد"</f>
        <v>ندارد</v>
      </c>
      <c r="U1747" s="1" t="str">
        <f>"عزيزي صفر(1006ج 89)"</f>
        <v>عزيزي صفر(1006ج 89)</v>
      </c>
      <c r="V1747" s="1">
        <v>966200398</v>
      </c>
      <c r="W1747" s="1">
        <v>966200398</v>
      </c>
      <c r="X1747" s="1" t="str">
        <f>"1396529174"</f>
        <v>1396529174</v>
      </c>
      <c r="Y1747" s="1" t="str">
        <f>"96/09/08"</f>
        <v>96/09/08</v>
      </c>
      <c r="Z1747" s="1" t="str">
        <f>"37697/د"</f>
        <v>37697/د</v>
      </c>
      <c r="AA1747" s="1" t="str">
        <f>"بنيادمسكن انقلاب اسلامي"</f>
        <v>بنيادمسكن انقلاب اسلامي</v>
      </c>
      <c r="AB1747" s="1" t="str">
        <f>"96/08/22"</f>
        <v>96/08/22</v>
      </c>
      <c r="AC1747" s="1" t="str">
        <f>"استان سيستان بلوچستان"</f>
        <v>استان سيستان بلوچستان</v>
      </c>
      <c r="AD1747" s="1" t="str">
        <f>"96/09/08"</f>
        <v>96/09/08</v>
      </c>
      <c r="AE1747" s="1" t="str">
        <f>"اختتام"</f>
        <v>اختتام</v>
      </c>
      <c r="AF1747" s="1" t="str">
        <f>""</f>
        <v/>
      </c>
      <c r="AG1747" s="1" t="str">
        <f>""</f>
        <v/>
      </c>
      <c r="AH1747" s="1" t="str">
        <f>""</f>
        <v/>
      </c>
      <c r="AI1747" s="1" t="str">
        <f>""</f>
        <v/>
      </c>
      <c r="AJ1747" s="1" t="str">
        <f>""</f>
        <v/>
      </c>
      <c r="AK1747" s="1" t="str">
        <f>""</f>
        <v/>
      </c>
    </row>
    <row r="1748" spans="1:37">
      <c r="A1748" s="1">
        <v>225000</v>
      </c>
      <c r="B1748" s="1">
        <v>966200417</v>
      </c>
      <c r="C1748" s="1" t="str">
        <f>"تخليه - سيستان و بلو چستان-سراوان-کيلومتر15 جاده سراوان-کهک-کارگاه شن و ماسه دهواري"</f>
        <v>تخليه - سيستان و بلو چستان-سراوان-کيلومتر15 جاده سراوان-کهک-کارگاه شن و ماسه دهواري</v>
      </c>
      <c r="D1748" s="1">
        <v>15947</v>
      </c>
      <c r="E1748" s="1">
        <v>225000</v>
      </c>
      <c r="F1748" s="1">
        <v>96</v>
      </c>
      <c r="G1748" s="1">
        <v>0</v>
      </c>
      <c r="H1748" s="1" t="str">
        <f>"96/09/12"</f>
        <v>96/09/12</v>
      </c>
      <c r="I1748" s="1" t="str">
        <f>"كيلوگرم"</f>
        <v>كيلوگرم</v>
      </c>
      <c r="J1748" s="1" t="str">
        <f>"1000000003"</f>
        <v>1000000003</v>
      </c>
      <c r="K1748" s="1" t="str">
        <f>"قير MC250"</f>
        <v>قير MC250</v>
      </c>
      <c r="L1748" s="1">
        <v>100</v>
      </c>
      <c r="M1748" s="1" t="str">
        <f>"مخازن قير اصفهان"</f>
        <v>مخازن قير اصفهان</v>
      </c>
      <c r="N1748" s="1">
        <v>11070</v>
      </c>
      <c r="O1748" s="1">
        <v>50037429</v>
      </c>
      <c r="P1748" s="1" t="str">
        <f>"  شايان نقشه جنوب"</f>
        <v xml:space="preserve">  شايان نقشه جنوب</v>
      </c>
      <c r="Q1748" s="1">
        <v>62</v>
      </c>
      <c r="R1748" s="1" t="str">
        <f>"فروش داخلي - سازمان بنيادمسكن انقلاب اسلامي"</f>
        <v>فروش داخلي - سازمان بنيادمسكن انقلاب اسلامي</v>
      </c>
      <c r="S1748" s="1" t="str">
        <f>"قرارداد فروش"</f>
        <v>قرارداد فروش</v>
      </c>
      <c r="T1748" s="1" t="str">
        <f>"ندارد"</f>
        <v>ندارد</v>
      </c>
      <c r="U1748" s="1" t="str">
        <f>"بهرام زنگنه (1038 ج 93)"</f>
        <v>بهرام زنگنه (1038 ج 93)</v>
      </c>
      <c r="V1748" s="1">
        <v>966200417</v>
      </c>
      <c r="W1748" s="1">
        <v>966200417</v>
      </c>
      <c r="X1748" s="1" t="str">
        <f>"1396529575"</f>
        <v>1396529575</v>
      </c>
      <c r="Y1748" s="1" t="str">
        <f>"96/09/12"</f>
        <v>96/09/12</v>
      </c>
      <c r="Z1748" s="1" t="str">
        <f>"40077/د"</f>
        <v>40077/د</v>
      </c>
      <c r="AA1748" s="1" t="str">
        <f>"بنيادمسكن انقلاب اسلامي"</f>
        <v>بنيادمسكن انقلاب اسلامي</v>
      </c>
      <c r="AB1748" s="1" t="str">
        <f>"96/09/11"</f>
        <v>96/09/11</v>
      </c>
      <c r="AC1748" s="1" t="str">
        <f>"استان سيستان بلوچستان"</f>
        <v>استان سيستان بلوچستان</v>
      </c>
      <c r="AD1748" s="1" t="str">
        <f>"96/09/12"</f>
        <v>96/09/12</v>
      </c>
      <c r="AE1748" s="1" t="str">
        <f>"اختتام"</f>
        <v>اختتام</v>
      </c>
      <c r="AF1748" s="1" t="str">
        <f>""</f>
        <v/>
      </c>
      <c r="AG1748" s="1" t="str">
        <f>""</f>
        <v/>
      </c>
      <c r="AH1748" s="1" t="str">
        <f>""</f>
        <v/>
      </c>
      <c r="AI1748" s="1" t="str">
        <f>""</f>
        <v/>
      </c>
      <c r="AJ1748" s="1" t="str">
        <f>""</f>
        <v/>
      </c>
      <c r="AK1748" s="1" t="str">
        <f>""</f>
        <v/>
      </c>
    </row>
    <row r="1749" spans="1:37">
      <c r="A1749" s="1">
        <v>420000</v>
      </c>
      <c r="B1749" s="1">
        <v>961700104</v>
      </c>
      <c r="C1749" s="1" t="str">
        <f>"تخليه - کردستان-سنندج -کارخانه قنديل ساز سنندج"</f>
        <v>تخليه - کردستان-سنندج -کارخانه قنديل ساز سنندج</v>
      </c>
      <c r="D1749" s="1">
        <v>12970</v>
      </c>
      <c r="E1749" s="1">
        <v>417760</v>
      </c>
      <c r="F1749" s="1">
        <v>96</v>
      </c>
      <c r="G1749" s="1">
        <v>2240</v>
      </c>
      <c r="H1749" s="1" t="str">
        <f>"96/07/05"</f>
        <v>96/07/05</v>
      </c>
      <c r="I1749" s="1" t="str">
        <f>"كيلوگرم"</f>
        <v>كيلوگرم</v>
      </c>
      <c r="J1749" s="1" t="str">
        <f>"0000000091"</f>
        <v>0000000091</v>
      </c>
      <c r="K1749" s="1" t="str">
        <f>"قير  PG64-22"</f>
        <v>قير  PG64-22</v>
      </c>
      <c r="L1749" s="1">
        <v>100</v>
      </c>
      <c r="M1749" s="1" t="str">
        <f>"مخازن قير اصفهان"</f>
        <v>مخازن قير اصفهان</v>
      </c>
      <c r="N1749" s="1">
        <v>10916</v>
      </c>
      <c r="O1749" s="1">
        <v>50036330</v>
      </c>
      <c r="P1749" s="1" t="str">
        <f>"  سازه آفرين كردستان"</f>
        <v xml:space="preserve">  سازه آفرين كردستان</v>
      </c>
      <c r="Q1749" s="1">
        <v>17</v>
      </c>
      <c r="R1749" s="1" t="str">
        <f>"فروش داخلي تهران - وزارت راه - راه روستايي - روکش"</f>
        <v>فروش داخلي تهران - وزارت راه - راه روستايي - روکش</v>
      </c>
      <c r="S1749" s="1" t="str">
        <f>"قرارداد فروش"</f>
        <v>قرارداد فروش</v>
      </c>
      <c r="T1749" s="1" t="str">
        <f>"ندارد"</f>
        <v>ندارد</v>
      </c>
      <c r="U1749" s="1" t="str">
        <f>"شيخي خيراله (1841012)"</f>
        <v>شيخي خيراله (1841012)</v>
      </c>
      <c r="V1749" s="1">
        <v>961700104</v>
      </c>
      <c r="W1749" s="1">
        <v>961700104</v>
      </c>
      <c r="X1749" s="1" t="str">
        <f>"1396514463"</f>
        <v>1396514463</v>
      </c>
      <c r="Y1749" s="1" t="str">
        <f>"96/07/05"</f>
        <v>96/07/05</v>
      </c>
      <c r="Z1749" s="1" t="str">
        <f>"32023/710"</f>
        <v>32023/710</v>
      </c>
      <c r="AA1749" s="1" t="str">
        <f>"راه روستائي -روكش"</f>
        <v>راه روستائي -روكش</v>
      </c>
      <c r="AB1749" s="1" t="str">
        <f>"96/06/29"</f>
        <v>96/06/29</v>
      </c>
      <c r="AC1749" s="1" t="str">
        <f>"استان كردستان"</f>
        <v>استان كردستان</v>
      </c>
      <c r="AD1749" s="1" t="str">
        <f>"96/07/03"</f>
        <v>96/07/03</v>
      </c>
      <c r="AE1749" s="1" t="str">
        <f>"اختتام"</f>
        <v>اختتام</v>
      </c>
      <c r="AF1749" s="1" t="str">
        <f>""</f>
        <v/>
      </c>
      <c r="AG1749" s="1" t="str">
        <f>""</f>
        <v/>
      </c>
      <c r="AH1749" s="1" t="str">
        <f>""</f>
        <v/>
      </c>
      <c r="AI1749" s="1" t="str">
        <f>""</f>
        <v/>
      </c>
      <c r="AJ1749" s="1" t="str">
        <f>""</f>
        <v/>
      </c>
      <c r="AK1749" s="1" t="str">
        <f>""</f>
        <v/>
      </c>
    </row>
    <row r="1750" spans="1:37">
      <c r="A1750" s="1">
        <v>560000</v>
      </c>
      <c r="B1750" s="1">
        <v>961700173</v>
      </c>
      <c r="C1750" s="1" t="str">
        <f>"تخليه خراسان رضوي كاشمركيلومتريك جاده كاشمرمشهد5كيلومترفرعي كارخانه آسفالت كاشمر شركت كيمياسروش پاسارگاد"</f>
        <v>تخليه خراسان رضوي كاشمركيلومتريك جاده كاشمرمشهد5كيلومترفرعي كارخانه آسفالت كاشمر شركت كيمياسروش پاسارگاد</v>
      </c>
      <c r="D1750" s="1">
        <v>13600</v>
      </c>
      <c r="E1750" s="1">
        <v>559560</v>
      </c>
      <c r="F1750" s="1">
        <v>96</v>
      </c>
      <c r="G1750" s="1">
        <v>440</v>
      </c>
      <c r="H1750" s="1" t="str">
        <f>"96/12/08"</f>
        <v>96/12/08</v>
      </c>
      <c r="I1750" s="1" t="str">
        <f>"كيلوگرم"</f>
        <v>كيلوگرم</v>
      </c>
      <c r="J1750" s="1" t="str">
        <f>"0000000091"</f>
        <v>0000000091</v>
      </c>
      <c r="K1750" s="1" t="str">
        <f>"قير  PG64-22"</f>
        <v>قير  PG64-22</v>
      </c>
      <c r="L1750" s="1">
        <v>100</v>
      </c>
      <c r="M1750" s="1" t="str">
        <f>"مخازن قير اصفهان"</f>
        <v>مخازن قير اصفهان</v>
      </c>
      <c r="N1750" s="1">
        <v>11013</v>
      </c>
      <c r="O1750" s="1">
        <v>50038637</v>
      </c>
      <c r="P1750" s="1" t="str">
        <f>"  كيمياسروش پاسارگاد"</f>
        <v xml:space="preserve">  كيمياسروش پاسارگاد</v>
      </c>
      <c r="Q1750" s="1">
        <v>17</v>
      </c>
      <c r="R1750" s="1" t="str">
        <f>"فروش داخلي تهران - وزارت راه - راه روستايي - روکش"</f>
        <v>فروش داخلي تهران - وزارت راه - راه روستايي - روکش</v>
      </c>
      <c r="S1750" s="1" t="str">
        <f>"قرارداد فروش"</f>
        <v>قرارداد فروش</v>
      </c>
      <c r="T1750" s="1" t="str">
        <f>"ندارد"</f>
        <v>ندارد</v>
      </c>
      <c r="U1750" s="1" t="str">
        <f>"ترك شاهسوندي مهدي(1022ج89)"</f>
        <v>ترك شاهسوندي مهدي(1022ج89)</v>
      </c>
      <c r="V1750" s="1">
        <v>961700173</v>
      </c>
      <c r="W1750" s="1">
        <v>961700173</v>
      </c>
      <c r="X1750" s="1" t="str">
        <f>"1396551025"</f>
        <v>1396551025</v>
      </c>
      <c r="Y1750" s="1" t="str">
        <f>"96/12/08"</f>
        <v>96/12/08</v>
      </c>
      <c r="Z1750" s="1" t="str">
        <f>"49248/710"</f>
        <v>49248/710</v>
      </c>
      <c r="AA1750" s="1" t="str">
        <f>"راه روستائي -روكش"</f>
        <v>راه روستائي -روكش</v>
      </c>
      <c r="AB1750" s="1" t="str">
        <f>"96/09/26"</f>
        <v>96/09/26</v>
      </c>
      <c r="AC1750" s="1" t="str">
        <f>"خراسان رضوي"</f>
        <v>خراسان رضوي</v>
      </c>
      <c r="AD1750" s="1" t="str">
        <f>"96/12/08"</f>
        <v>96/12/08</v>
      </c>
      <c r="AE1750" s="1" t="str">
        <f>"اختتام"</f>
        <v>اختتام</v>
      </c>
      <c r="AF1750" s="1" t="str">
        <f>""</f>
        <v/>
      </c>
      <c r="AG1750" s="1" t="str">
        <f>""</f>
        <v/>
      </c>
      <c r="AH1750" s="1" t="str">
        <f>""</f>
        <v/>
      </c>
      <c r="AI1750" s="1" t="str">
        <f>""</f>
        <v/>
      </c>
      <c r="AJ1750" s="1" t="str">
        <f>""</f>
        <v/>
      </c>
      <c r="AK1750" s="1" t="str">
        <f>""</f>
        <v/>
      </c>
    </row>
    <row r="1751" spans="1:37">
      <c r="A1751" s="1">
        <v>120000</v>
      </c>
      <c r="B1751" s="1">
        <v>961700152</v>
      </c>
      <c r="C1751" s="1" t="str">
        <f>"تخليه- ياسوج-کارخانه آسفالت دارشاهي"</f>
        <v>تخليه- ياسوج-کارخانه آسفالت دارشاهي</v>
      </c>
      <c r="D1751" s="1">
        <v>9716</v>
      </c>
      <c r="E1751" s="1">
        <v>118180</v>
      </c>
      <c r="F1751" s="1">
        <v>96</v>
      </c>
      <c r="G1751" s="1">
        <v>1820</v>
      </c>
      <c r="H1751" s="1" t="str">
        <f>"96/08/07"</f>
        <v>96/08/07</v>
      </c>
      <c r="I1751" s="1" t="str">
        <f>"كيلوگرم"</f>
        <v>كيلوگرم</v>
      </c>
      <c r="J1751" s="1" t="str">
        <f>"0000000091"</f>
        <v>0000000091</v>
      </c>
      <c r="K1751" s="1" t="str">
        <f>"قير  PG64-22"</f>
        <v>قير  PG64-22</v>
      </c>
      <c r="L1751" s="1">
        <v>100</v>
      </c>
      <c r="M1751" s="1" t="str">
        <f>"مخازن قير اصفهان"</f>
        <v>مخازن قير اصفهان</v>
      </c>
      <c r="N1751" s="1">
        <v>11043</v>
      </c>
      <c r="O1751" s="1">
        <v>50036936</v>
      </c>
      <c r="P1751" s="1" t="str">
        <f>"  كاوه كاركوهستان"</f>
        <v xml:space="preserve">  كاوه كاركوهستان</v>
      </c>
      <c r="Q1751" s="1">
        <v>17</v>
      </c>
      <c r="R1751" s="1" t="str">
        <f>"فروش داخلي تهران - وزارت راه - راه روستايي - روکش"</f>
        <v>فروش داخلي تهران - وزارت راه - راه روستايي - روکش</v>
      </c>
      <c r="S1751" s="1" t="str">
        <f>"قرارداد فروش"</f>
        <v>قرارداد فروش</v>
      </c>
      <c r="T1751" s="1" t="str">
        <f>"ندارد"</f>
        <v>ندارد</v>
      </c>
      <c r="U1751" s="1" t="str">
        <f>"شيخي خيراله (1841012)"</f>
        <v>شيخي خيراله (1841012)</v>
      </c>
      <c r="V1751" s="1">
        <v>961700152</v>
      </c>
      <c r="W1751" s="1">
        <v>961700152</v>
      </c>
      <c r="X1751" s="1" t="str">
        <f>"1396521970"</f>
        <v>1396521970</v>
      </c>
      <c r="Y1751" s="1" t="str">
        <f>"96/08/07"</f>
        <v>96/08/07</v>
      </c>
      <c r="Z1751" s="1" t="str">
        <f>"38319/710"</f>
        <v>38319/710</v>
      </c>
      <c r="AA1751" s="1" t="str">
        <f>"راه روستائي -روكش"</f>
        <v>راه روستائي -روكش</v>
      </c>
      <c r="AB1751" s="1" t="str">
        <f>"96/08/01"</f>
        <v>96/08/01</v>
      </c>
      <c r="AC1751" s="1" t="str">
        <f>"كهكيلويه و بوير احمد"</f>
        <v>كهكيلويه و بوير احمد</v>
      </c>
      <c r="AD1751" s="1" t="str">
        <f>"96/08/07"</f>
        <v>96/08/07</v>
      </c>
      <c r="AE1751" s="1" t="str">
        <f>"اختتام"</f>
        <v>اختتام</v>
      </c>
      <c r="AF1751" s="1" t="str">
        <f>""</f>
        <v/>
      </c>
      <c r="AG1751" s="1" t="str">
        <f>""</f>
        <v/>
      </c>
      <c r="AH1751" s="1" t="str">
        <f>""</f>
        <v/>
      </c>
      <c r="AI1751" s="1" t="str">
        <f>""</f>
        <v/>
      </c>
      <c r="AJ1751" s="1" t="str">
        <f>""</f>
        <v/>
      </c>
      <c r="AK1751" s="1" t="str">
        <f>""</f>
        <v/>
      </c>
    </row>
    <row r="1752" spans="1:37">
      <c r="A1752" s="1">
        <v>26000</v>
      </c>
      <c r="B1752" s="1">
        <v>966200403</v>
      </c>
      <c r="C1752" s="1" t="str">
        <f>"تخليه خراسان جنوبي بيرجندكيلومتر15جاده بيرجند-خوسف جنب كويرتايرابتداي جاده كات كارخانه آسفالت مسيرياب بيرجند"</f>
        <v>تخليه خراسان جنوبي بيرجندكيلومتر15جاده بيرجند-خوسف جنب كويرتايرابتداي جاده كات كارخانه آسفالت مسيرياب بيرجند</v>
      </c>
      <c r="D1752" s="1">
        <v>15947</v>
      </c>
      <c r="E1752" s="1">
        <v>26000</v>
      </c>
      <c r="F1752" s="1">
        <v>96</v>
      </c>
      <c r="G1752" s="1">
        <v>0</v>
      </c>
      <c r="H1752" s="1" t="str">
        <f>"96/09/08"</f>
        <v>96/09/08</v>
      </c>
      <c r="I1752" s="1" t="str">
        <f>"كيلوگرم"</f>
        <v>كيلوگرم</v>
      </c>
      <c r="J1752" s="1" t="str">
        <f>"1000000003"</f>
        <v>1000000003</v>
      </c>
      <c r="K1752" s="1" t="str">
        <f>"قير MC250"</f>
        <v>قير MC250</v>
      </c>
      <c r="L1752" s="1">
        <v>100</v>
      </c>
      <c r="M1752" s="1" t="str">
        <f>"مخازن قير اصفهان"</f>
        <v>مخازن قير اصفهان</v>
      </c>
      <c r="N1752" s="1">
        <v>11109</v>
      </c>
      <c r="O1752" s="1">
        <v>50037367</v>
      </c>
      <c r="P1752" s="1" t="str">
        <f>"  راهسازي وساختمان مسيرياب بيرجند"</f>
        <v xml:space="preserve">  راهسازي وساختمان مسيرياب بيرجند</v>
      </c>
      <c r="Q1752" s="1">
        <v>62</v>
      </c>
      <c r="R1752" s="1" t="str">
        <f>"فروش داخلي - سازمان بنيادمسكن انقلاب اسلامي"</f>
        <v>فروش داخلي - سازمان بنيادمسكن انقلاب اسلامي</v>
      </c>
      <c r="S1752" s="1" t="str">
        <f>"قرارداد فروش"</f>
        <v>قرارداد فروش</v>
      </c>
      <c r="T1752" s="1" t="str">
        <f>"ندارد"</f>
        <v>ندارد</v>
      </c>
      <c r="U1752" s="1" t="str">
        <f>"كاردان اسپادان راه مصطفي  (1911100)"</f>
        <v>كاردان اسپادان راه مصطفي  (1911100)</v>
      </c>
      <c r="V1752" s="1">
        <v>966200403</v>
      </c>
      <c r="W1752" s="1">
        <v>966200403</v>
      </c>
      <c r="X1752" s="1" t="str">
        <f>"1396529174"</f>
        <v>1396529174</v>
      </c>
      <c r="Y1752" s="1" t="str">
        <f>"96/09/08"</f>
        <v>96/09/08</v>
      </c>
      <c r="Z1752" s="1" t="str">
        <f>"37680/د"</f>
        <v>37680/د</v>
      </c>
      <c r="AA1752" s="1" t="str">
        <f>"بنيادمسكن انقلاب اسلامي"</f>
        <v>بنيادمسكن انقلاب اسلامي</v>
      </c>
      <c r="AB1752" s="1" t="str">
        <f>"96/08/22"</f>
        <v>96/08/22</v>
      </c>
      <c r="AC1752" s="1" t="str">
        <f>"خراسان جنوبي"</f>
        <v>خراسان جنوبي</v>
      </c>
      <c r="AD1752" s="1" t="str">
        <f>"96/09/08"</f>
        <v>96/09/08</v>
      </c>
      <c r="AE1752" s="1" t="str">
        <f>"اختتام"</f>
        <v>اختتام</v>
      </c>
      <c r="AF1752" s="1" t="str">
        <f>""</f>
        <v/>
      </c>
      <c r="AG1752" s="1" t="str">
        <f>""</f>
        <v/>
      </c>
      <c r="AH1752" s="1" t="str">
        <f>""</f>
        <v/>
      </c>
      <c r="AI1752" s="1" t="str">
        <f>""</f>
        <v/>
      </c>
      <c r="AJ1752" s="1" t="str">
        <f>""</f>
        <v/>
      </c>
      <c r="AK1752" s="1" t="str">
        <f>""</f>
        <v/>
      </c>
    </row>
    <row r="1753" spans="1:37">
      <c r="A1753" s="1">
        <v>47000</v>
      </c>
      <c r="B1753" s="1">
        <v>966200320</v>
      </c>
      <c r="C1753" s="1" t="str">
        <f>"تخليه - سيستان و بلو چستان -شهرستان کنارک-زرآباد-روستاي دزک"</f>
        <v>تخليه - سيستان و بلو چستان -شهرستان کنارک-زرآباد-روستاي دزک</v>
      </c>
      <c r="D1753" s="1">
        <v>12777</v>
      </c>
      <c r="E1753" s="1">
        <v>46040</v>
      </c>
      <c r="F1753" s="1">
        <v>96</v>
      </c>
      <c r="G1753" s="1">
        <v>960</v>
      </c>
      <c r="H1753" s="1" t="str">
        <f>"96/07/24"</f>
        <v>96/07/24</v>
      </c>
      <c r="I1753" s="1" t="str">
        <f>"كيلوگرم"</f>
        <v>كيلوگرم</v>
      </c>
      <c r="J1753" s="1" t="str">
        <f>"1000000003"</f>
        <v>1000000003</v>
      </c>
      <c r="K1753" s="1" t="str">
        <f>"قير MC250"</f>
        <v>قير MC250</v>
      </c>
      <c r="L1753" s="1">
        <v>100</v>
      </c>
      <c r="M1753" s="1" t="str">
        <f>"مخازن قير اصفهان"</f>
        <v>مخازن قير اصفهان</v>
      </c>
      <c r="N1753" s="1">
        <v>11218</v>
      </c>
      <c r="O1753" s="1">
        <v>50036750</v>
      </c>
      <c r="P1753" s="1" t="str">
        <f>"  تفتان سازه گوهر کوه"</f>
        <v xml:space="preserve">  تفتان سازه گوهر کوه</v>
      </c>
      <c r="Q1753" s="1">
        <v>62</v>
      </c>
      <c r="R1753" s="1" t="str">
        <f>"فروش داخلي - سازمان بنيادمسكن انقلاب اسلامي"</f>
        <v>فروش داخلي - سازمان بنيادمسكن انقلاب اسلامي</v>
      </c>
      <c r="S1753" s="1" t="str">
        <f>"قرارداد فروش"</f>
        <v>قرارداد فروش</v>
      </c>
      <c r="T1753" s="1" t="str">
        <f>"ندارد"</f>
        <v>ندارد</v>
      </c>
      <c r="U1753" s="1" t="str">
        <f>"تاج سعيد هوشنگ (1031ج 89)"</f>
        <v>تاج سعيد هوشنگ (1031ج 89)</v>
      </c>
      <c r="V1753" s="1">
        <v>966200320</v>
      </c>
      <c r="W1753" s="1">
        <v>966200320</v>
      </c>
      <c r="X1753" s="1" t="str">
        <f>"1396518905"</f>
        <v>1396518905</v>
      </c>
      <c r="Y1753" s="1" t="str">
        <f>"96/07/24"</f>
        <v>96/07/24</v>
      </c>
      <c r="Z1753" s="1" t="str">
        <f>"32878/د"</f>
        <v>32878/د</v>
      </c>
      <c r="AA1753" s="1" t="str">
        <f>"بنيادمسكن انقلاب اسلامي"</f>
        <v>بنيادمسكن انقلاب اسلامي</v>
      </c>
      <c r="AB1753" s="1" t="str">
        <f>"96/07/24"</f>
        <v>96/07/24</v>
      </c>
      <c r="AC1753" s="1" t="str">
        <f>"استان سيستان بلوچستان"</f>
        <v>استان سيستان بلوچستان</v>
      </c>
      <c r="AD1753" s="1" t="str">
        <f>"96/07/24"</f>
        <v>96/07/24</v>
      </c>
      <c r="AE1753" s="1" t="str">
        <f>"اختتام"</f>
        <v>اختتام</v>
      </c>
      <c r="AF1753" s="1" t="str">
        <f>""</f>
        <v/>
      </c>
      <c r="AG1753" s="1" t="str">
        <f>""</f>
        <v/>
      </c>
      <c r="AH1753" s="1" t="str">
        <f>""</f>
        <v/>
      </c>
      <c r="AI1753" s="1" t="str">
        <f>""</f>
        <v/>
      </c>
      <c r="AJ1753" s="1" t="str">
        <f>""</f>
        <v/>
      </c>
      <c r="AK1753" s="1" t="str">
        <f>""</f>
        <v/>
      </c>
    </row>
    <row r="1754" spans="1:37">
      <c r="A1754" s="1">
        <v>32000</v>
      </c>
      <c r="B1754" s="1">
        <v>966200052</v>
      </c>
      <c r="C1754" s="1" t="str">
        <f>"تخليه - هرمزگان-بندرلنگه-8کيلومتري جاده بستک-روستاي بارچاه-کارخانه آسفالت شرکت عمران ابنيه هرمز"</f>
        <v>تخليه - هرمزگان-بندرلنگه-8کيلومتري جاده بستک-روستاي بارچاه-کارخانه آسفالت شرکت عمران ابنيه هرمز</v>
      </c>
      <c r="D1754" s="1">
        <v>12482</v>
      </c>
      <c r="E1754" s="1">
        <v>30380</v>
      </c>
      <c r="F1754" s="1">
        <v>96</v>
      </c>
      <c r="G1754" s="1">
        <v>1620</v>
      </c>
      <c r="H1754" s="1" t="str">
        <f>"96/02/06"</f>
        <v>96/02/06</v>
      </c>
      <c r="I1754" s="1" t="str">
        <f>"كيلوگرم"</f>
        <v>كيلوگرم</v>
      </c>
      <c r="J1754" s="1" t="str">
        <f>"1000000003"</f>
        <v>1000000003</v>
      </c>
      <c r="K1754" s="1" t="str">
        <f>"قير MC250"</f>
        <v>قير MC250</v>
      </c>
      <c r="L1754" s="1">
        <v>100</v>
      </c>
      <c r="M1754" s="1" t="str">
        <f>"مخازن قير اصفهان"</f>
        <v>مخازن قير اصفهان</v>
      </c>
      <c r="N1754" s="1">
        <v>11344</v>
      </c>
      <c r="O1754" s="1">
        <v>50034710</v>
      </c>
      <c r="P1754" s="1" t="str">
        <f>"  راه و ساختماني پيرنه"</f>
        <v xml:space="preserve">  راه و ساختماني پيرنه</v>
      </c>
      <c r="Q1754" s="1">
        <v>62</v>
      </c>
      <c r="R1754" s="1" t="str">
        <f>"فروش داخلي - سازمان بنيادمسكن انقلاب اسلامي"</f>
        <v>فروش داخلي - سازمان بنيادمسكن انقلاب اسلامي</v>
      </c>
      <c r="S1754" s="1" t="str">
        <f>"قرارداد فروش"</f>
        <v>قرارداد فروش</v>
      </c>
      <c r="T1754" s="1" t="str">
        <f>"ندارد"</f>
        <v>ندارد</v>
      </c>
      <c r="U1754" s="1" t="str">
        <f>"حاصليان ترابرجنوب مرتضي حاصلي (4844006)"</f>
        <v>حاصليان ترابرجنوب مرتضي حاصلي (4844006)</v>
      </c>
      <c r="V1754" s="1">
        <v>966200052</v>
      </c>
      <c r="W1754" s="1">
        <v>966200052</v>
      </c>
      <c r="X1754" s="1" t="str">
        <f>"1396477335"</f>
        <v>1396477335</v>
      </c>
      <c r="Y1754" s="1" t="str">
        <f>"96/02/06"</f>
        <v>96/02/06</v>
      </c>
      <c r="Z1754" s="1" t="str">
        <f>"3248/د"</f>
        <v>3248/د</v>
      </c>
      <c r="AA1754" s="1" t="str">
        <f>"بنيادمسكن انقلاب اسلامي"</f>
        <v>بنيادمسكن انقلاب اسلامي</v>
      </c>
      <c r="AB1754" s="1" t="str">
        <f>"96/02/03"</f>
        <v>96/02/03</v>
      </c>
      <c r="AC1754" s="1" t="str">
        <f>"استان هرمزگان"</f>
        <v>استان هرمزگان</v>
      </c>
      <c r="AD1754" s="1" t="str">
        <f>"96/02/06"</f>
        <v>96/02/06</v>
      </c>
      <c r="AE1754" s="1" t="str">
        <f>"اختتام"</f>
        <v>اختتام</v>
      </c>
      <c r="AF1754" s="1" t="str">
        <f>""</f>
        <v/>
      </c>
      <c r="AG1754" s="1" t="str">
        <f>""</f>
        <v/>
      </c>
      <c r="AH1754" s="1" t="str">
        <f>""</f>
        <v/>
      </c>
      <c r="AI1754" s="1" t="str">
        <f>""</f>
        <v/>
      </c>
      <c r="AJ1754" s="1" t="str">
        <f>""</f>
        <v/>
      </c>
      <c r="AK1754" s="1" t="str">
        <f>""</f>
        <v/>
      </c>
    </row>
    <row r="1755" spans="1:37">
      <c r="A1755" s="1">
        <v>40000</v>
      </c>
      <c r="B1755" s="1">
        <v>966200226</v>
      </c>
      <c r="C1755" s="1" t="str">
        <f>"تخليه - ايلام- ايوان - سه راهي سومار-کارخانه آسفالت شرکت پيمان پويا"</f>
        <v>تخليه - ايلام- ايوان - سه راهي سومار-کارخانه آسفالت شرکت پيمان پويا</v>
      </c>
      <c r="D1755" s="1">
        <v>12370</v>
      </c>
      <c r="E1755" s="1">
        <v>39660</v>
      </c>
      <c r="F1755" s="1">
        <v>96</v>
      </c>
      <c r="G1755" s="1">
        <v>340</v>
      </c>
      <c r="H1755" s="1" t="str">
        <f>"96/06/11"</f>
        <v>96/06/11</v>
      </c>
      <c r="I1755" s="1" t="str">
        <f>"كيلوگرم"</f>
        <v>كيلوگرم</v>
      </c>
      <c r="J1755" s="1" t="str">
        <f>"1000000003"</f>
        <v>1000000003</v>
      </c>
      <c r="K1755" s="1" t="str">
        <f>"قير MC250"</f>
        <v>قير MC250</v>
      </c>
      <c r="L1755" s="1">
        <v>100</v>
      </c>
      <c r="M1755" s="1" t="str">
        <f>"مخازن قير اصفهان"</f>
        <v>مخازن قير اصفهان</v>
      </c>
      <c r="N1755" s="1">
        <v>11401</v>
      </c>
      <c r="O1755" s="1">
        <v>50035891</v>
      </c>
      <c r="P1755" s="1" t="str">
        <f>"  کولاب سازه غرب"</f>
        <v xml:space="preserve">  کولاب سازه غرب</v>
      </c>
      <c r="Q1755" s="1">
        <v>62</v>
      </c>
      <c r="R1755" s="1" t="str">
        <f>"فروش داخلي - سازمان بنيادمسكن انقلاب اسلامي"</f>
        <v>فروش داخلي - سازمان بنيادمسكن انقلاب اسلامي</v>
      </c>
      <c r="S1755" s="1" t="str">
        <f>"قرارداد فروش"</f>
        <v>قرارداد فروش</v>
      </c>
      <c r="T1755" s="1" t="str">
        <f>"ندارد"</f>
        <v>ندارد</v>
      </c>
      <c r="U1755" s="1" t="str">
        <f>"عظيمي محمد(2842015)"</f>
        <v>عظيمي محمد(2842015)</v>
      </c>
      <c r="V1755" s="1">
        <v>966200226</v>
      </c>
      <c r="W1755" s="1">
        <v>966200226</v>
      </c>
      <c r="X1755" s="1" t="str">
        <f>"1396509608"</f>
        <v>1396509608</v>
      </c>
      <c r="Y1755" s="1" t="str">
        <f>"96/06/11"</f>
        <v>96/06/11</v>
      </c>
      <c r="Z1755" s="1" t="str">
        <f>"25119/د"</f>
        <v>25119/د</v>
      </c>
      <c r="AA1755" s="1" t="str">
        <f>"بنيادمسكن انقلاب اسلامي"</f>
        <v>بنيادمسكن انقلاب اسلامي</v>
      </c>
      <c r="AB1755" s="1" t="str">
        <f>"96/06/08"</f>
        <v>96/06/08</v>
      </c>
      <c r="AC1755" s="1" t="str">
        <f>"استان ايلام"</f>
        <v>استان ايلام</v>
      </c>
      <c r="AD1755" s="1" t="str">
        <f>"96/06/11"</f>
        <v>96/06/11</v>
      </c>
      <c r="AE1755" s="1" t="str">
        <f>"اختتام"</f>
        <v>اختتام</v>
      </c>
      <c r="AF1755" s="1" t="str">
        <f>""</f>
        <v/>
      </c>
      <c r="AG1755" s="1" t="str">
        <f>""</f>
        <v/>
      </c>
      <c r="AH1755" s="1" t="str">
        <f>""</f>
        <v/>
      </c>
      <c r="AI1755" s="1" t="str">
        <f>""</f>
        <v/>
      </c>
      <c r="AJ1755" s="1" t="str">
        <f>""</f>
        <v/>
      </c>
      <c r="AK1755" s="1" t="str">
        <f>""</f>
        <v/>
      </c>
    </row>
    <row r="1756" spans="1:37">
      <c r="A1756" s="1">
        <v>200000</v>
      </c>
      <c r="B1756" s="1">
        <v>961900105</v>
      </c>
      <c r="C1756" s="1" t="str">
        <f>"تخليه - يزد-محور اشکذر-همت آباد-کارخانه آسفالت شرکت زاويه ساز يزد"</f>
        <v>تخليه - يزد-محور اشکذر-همت آباد-کارخانه آسفالت شرکت زاويه ساز يزد</v>
      </c>
      <c r="D1756" s="1">
        <v>13600</v>
      </c>
      <c r="E1756" s="1">
        <v>199520</v>
      </c>
      <c r="F1756" s="1">
        <v>96</v>
      </c>
      <c r="G1756" s="1">
        <v>480</v>
      </c>
      <c r="H1756" s="1" t="str">
        <f>"96/05/10"</f>
        <v>96/05/10</v>
      </c>
      <c r="I1756" s="1" t="str">
        <f>"كيلوگرم"</f>
        <v>كيلوگرم</v>
      </c>
      <c r="J1756" s="1" t="str">
        <f>"0000000091"</f>
        <v>0000000091</v>
      </c>
      <c r="K1756" s="1" t="str">
        <f>"قير  PG64-22"</f>
        <v>قير  PG64-22</v>
      </c>
      <c r="L1756" s="1">
        <v>100</v>
      </c>
      <c r="M1756" s="1" t="str">
        <f>"مخازن قير اصفهان"</f>
        <v>مخازن قير اصفهان</v>
      </c>
      <c r="N1756" s="1">
        <v>11270</v>
      </c>
      <c r="O1756" s="1">
        <v>50035461</v>
      </c>
      <c r="P1756" s="1" t="str">
        <f>"  اداره كل راهداري وحمل ونقل جاده اي يزد"</f>
        <v xml:space="preserve">  اداره كل راهداري وحمل ونقل جاده اي يزد</v>
      </c>
      <c r="Q1756" s="1">
        <v>19</v>
      </c>
      <c r="R175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756" s="1" t="str">
        <f>"قرارداد فروش"</f>
        <v>قرارداد فروش</v>
      </c>
      <c r="T1756" s="1" t="str">
        <f>"ندارد"</f>
        <v>ندارد</v>
      </c>
      <c r="U1756" s="1" t="str">
        <f>"قانعي محمدرضا(1011ج89)"</f>
        <v>قانعي محمدرضا(1011ج89)</v>
      </c>
      <c r="V1756" s="1">
        <v>961900105</v>
      </c>
      <c r="W1756" s="1">
        <v>961900105</v>
      </c>
      <c r="X1756" s="1" t="str">
        <f>"1396501690"</f>
        <v>1396501690</v>
      </c>
      <c r="Y1756" s="1" t="str">
        <f>"96/05/10"</f>
        <v>96/05/10</v>
      </c>
      <c r="Z1756" s="1" t="str">
        <f>"22169/710"</f>
        <v>22169/710</v>
      </c>
      <c r="AA1756" s="1" t="str">
        <f>"سازمان راهداري وحمل نقل جاده اي"</f>
        <v>سازمان راهداري وحمل نقل جاده اي</v>
      </c>
      <c r="AB1756" s="1" t="str">
        <f>"96/05/09"</f>
        <v>96/05/09</v>
      </c>
      <c r="AC1756" s="1" t="str">
        <f>"استان يزد"</f>
        <v>استان يزد</v>
      </c>
      <c r="AD1756" s="1" t="str">
        <f>"96/05/10"</f>
        <v>96/05/10</v>
      </c>
      <c r="AE1756" s="1" t="str">
        <f>"اختتام"</f>
        <v>اختتام</v>
      </c>
      <c r="AF1756" s="1" t="str">
        <f>""</f>
        <v/>
      </c>
      <c r="AG1756" s="1" t="str">
        <f>""</f>
        <v/>
      </c>
      <c r="AH1756" s="1" t="str">
        <f>""</f>
        <v/>
      </c>
      <c r="AI1756" s="1" t="str">
        <f>""</f>
        <v/>
      </c>
      <c r="AJ1756" s="1" t="str">
        <f>""</f>
        <v/>
      </c>
      <c r="AK1756" s="1" t="str">
        <f>""</f>
        <v/>
      </c>
    </row>
    <row r="1757" spans="1:37">
      <c r="A1757" s="1">
        <v>500000</v>
      </c>
      <c r="B1757" s="1">
        <v>961900114</v>
      </c>
      <c r="C1757" s="1" t="str">
        <f>"تخليه يزد دهشيركيلومتر5جاده تفت كارخانه آسفالت شماره 2ناوديس راه"</f>
        <v>تخليه يزد دهشيركيلومتر5جاده تفت كارخانه آسفالت شماره 2ناوديس راه</v>
      </c>
      <c r="D1757" s="1">
        <v>16350</v>
      </c>
      <c r="E1757" s="1">
        <v>499300</v>
      </c>
      <c r="F1757" s="1">
        <v>96</v>
      </c>
      <c r="G1757" s="1">
        <v>700</v>
      </c>
      <c r="H1757" s="1" t="str">
        <f>"96/05/11"</f>
        <v>96/05/11</v>
      </c>
      <c r="I1757" s="1" t="str">
        <f>"كيلوگرم"</f>
        <v>كيلوگرم</v>
      </c>
      <c r="J1757" s="1" t="str">
        <f>"0000000091"</f>
        <v>0000000091</v>
      </c>
      <c r="K1757" s="1" t="str">
        <f>"قير  PG64-22"</f>
        <v>قير  PG64-22</v>
      </c>
      <c r="L1757" s="1">
        <v>100</v>
      </c>
      <c r="M1757" s="1" t="str">
        <f>"مخازن قير اصفهان"</f>
        <v>مخازن قير اصفهان</v>
      </c>
      <c r="N1757" s="1">
        <v>11270</v>
      </c>
      <c r="O1757" s="1">
        <v>50035491</v>
      </c>
      <c r="P1757" s="1" t="str">
        <f>"  اداره كل راهداري وحمل ونقل جاده اي يزد"</f>
        <v xml:space="preserve">  اداره كل راهداري وحمل ونقل جاده اي يزد</v>
      </c>
      <c r="Q1757" s="1">
        <v>19</v>
      </c>
      <c r="R175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757" s="1" t="str">
        <f>"قرارداد فروش"</f>
        <v>قرارداد فروش</v>
      </c>
      <c r="T1757" s="1" t="str">
        <f>"ندارد"</f>
        <v>ندارد</v>
      </c>
      <c r="U1757" s="1" t="str">
        <f>"قانعي محمدرضا(1011ج89)"</f>
        <v>قانعي محمدرضا(1011ج89)</v>
      </c>
      <c r="V1757" s="1">
        <v>961900114</v>
      </c>
      <c r="W1757" s="1">
        <v>961900114</v>
      </c>
      <c r="X1757" s="1" t="str">
        <f>"1396502558"</f>
        <v>1396502558</v>
      </c>
      <c r="Y1757" s="1" t="str">
        <f>"96/05/11"</f>
        <v>96/05/11</v>
      </c>
      <c r="Z1757" s="1" t="str">
        <f>"22356/710"</f>
        <v>22356/710</v>
      </c>
      <c r="AA1757" s="1" t="str">
        <f>"سازمان راهداري وحمل نقل جاده اي"</f>
        <v>سازمان راهداري وحمل نقل جاده اي</v>
      </c>
      <c r="AB1757" s="1" t="str">
        <f>"96/05/10"</f>
        <v>96/05/10</v>
      </c>
      <c r="AC1757" s="1" t="str">
        <f>"استان يزد"</f>
        <v>استان يزد</v>
      </c>
      <c r="AD1757" s="1" t="str">
        <f>"96/05/11"</f>
        <v>96/05/11</v>
      </c>
      <c r="AE1757" s="1" t="str">
        <f>"اختتام"</f>
        <v>اختتام</v>
      </c>
      <c r="AF1757" s="1" t="str">
        <f>""</f>
        <v/>
      </c>
      <c r="AG1757" s="1" t="str">
        <f>""</f>
        <v/>
      </c>
      <c r="AH1757" s="1" t="str">
        <f>""</f>
        <v/>
      </c>
      <c r="AI1757" s="1" t="str">
        <f>""</f>
        <v/>
      </c>
      <c r="AJ1757" s="1" t="str">
        <f>""</f>
        <v/>
      </c>
      <c r="AK1757" s="1" t="str">
        <f>""</f>
        <v/>
      </c>
    </row>
    <row r="1758" spans="1:37">
      <c r="A1758" s="1">
        <v>350000</v>
      </c>
      <c r="B1758" s="1">
        <v>961900117</v>
      </c>
      <c r="C1758" s="1" t="str">
        <f>"تخليه يزدشهرستان خاتم كارخانه آسفالت شركت عمراني بسترسازان كوير"</f>
        <v>تخليه يزدشهرستان خاتم كارخانه آسفالت شركت عمراني بسترسازان كوير</v>
      </c>
      <c r="D1758" s="1">
        <v>13600</v>
      </c>
      <c r="E1758" s="1">
        <v>350000</v>
      </c>
      <c r="F1758" s="1">
        <v>96</v>
      </c>
      <c r="G1758" s="1">
        <v>0</v>
      </c>
      <c r="H1758" s="1" t="str">
        <f>"96/05/11"</f>
        <v>96/05/11</v>
      </c>
      <c r="I1758" s="1" t="str">
        <f>"كيلوگرم"</f>
        <v>كيلوگرم</v>
      </c>
      <c r="J1758" s="1" t="str">
        <f>"0000000091"</f>
        <v>0000000091</v>
      </c>
      <c r="K1758" s="1" t="str">
        <f>"قير  PG64-22"</f>
        <v>قير  PG64-22</v>
      </c>
      <c r="L1758" s="1">
        <v>100</v>
      </c>
      <c r="M1758" s="1" t="str">
        <f>"مخازن قير اصفهان"</f>
        <v>مخازن قير اصفهان</v>
      </c>
      <c r="N1758" s="1">
        <v>11270</v>
      </c>
      <c r="O1758" s="1">
        <v>50035499</v>
      </c>
      <c r="P1758" s="1" t="str">
        <f>"  اداره كل راهداري وحمل ونقل جاده اي يزد"</f>
        <v xml:space="preserve">  اداره كل راهداري وحمل ونقل جاده اي يزد</v>
      </c>
      <c r="Q1758" s="1">
        <v>19</v>
      </c>
      <c r="R175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758" s="1" t="str">
        <f>"قرارداد فروش"</f>
        <v>قرارداد فروش</v>
      </c>
      <c r="T1758" s="1" t="str">
        <f>"ندارد"</f>
        <v>ندارد</v>
      </c>
      <c r="U1758" s="1" t="str">
        <f>"قانعي محمدرضا(1011ج89)"</f>
        <v>قانعي محمدرضا(1011ج89)</v>
      </c>
      <c r="V1758" s="1">
        <v>961900117</v>
      </c>
      <c r="W1758" s="1">
        <v>961900117</v>
      </c>
      <c r="X1758" s="1" t="str">
        <f>"1396502538"</f>
        <v>1396502538</v>
      </c>
      <c r="Y1758" s="1" t="str">
        <f>"96/05/11"</f>
        <v>96/05/11</v>
      </c>
      <c r="Z1758" s="1" t="str">
        <f>"22349/710"</f>
        <v>22349/710</v>
      </c>
      <c r="AA1758" s="1" t="str">
        <f>"سازمان راهداري وحمل نقل جاده اي"</f>
        <v>سازمان راهداري وحمل نقل جاده اي</v>
      </c>
      <c r="AB1758" s="1" t="str">
        <f>"96/05/10"</f>
        <v>96/05/10</v>
      </c>
      <c r="AC1758" s="1" t="str">
        <f>"استان يزد"</f>
        <v>استان يزد</v>
      </c>
      <c r="AD1758" s="1" t="str">
        <f>"96/05/11"</f>
        <v>96/05/11</v>
      </c>
      <c r="AE1758" s="1" t="str">
        <f>"اختتام"</f>
        <v>اختتام</v>
      </c>
      <c r="AF1758" s="1" t="str">
        <f>""</f>
        <v/>
      </c>
      <c r="AG1758" s="1" t="str">
        <f>""</f>
        <v/>
      </c>
      <c r="AH1758" s="1" t="str">
        <f>""</f>
        <v/>
      </c>
      <c r="AI1758" s="1" t="str">
        <f>""</f>
        <v/>
      </c>
      <c r="AJ1758" s="1" t="str">
        <f>""</f>
        <v/>
      </c>
      <c r="AK1758" s="1" t="str">
        <f>""</f>
        <v/>
      </c>
    </row>
    <row r="1759" spans="1:37">
      <c r="A1759" s="1">
        <v>300000</v>
      </c>
      <c r="B1759" s="1">
        <v>961900119</v>
      </c>
      <c r="C1759" s="1" t="str">
        <f>"تخليه يزد كارخانه آسفالت شركت زاويه ساز يزد"</f>
        <v>تخليه يزد كارخانه آسفالت شركت زاويه ساز يزد</v>
      </c>
      <c r="D1759" s="1">
        <v>16350</v>
      </c>
      <c r="E1759" s="1">
        <v>299120</v>
      </c>
      <c r="F1759" s="1">
        <v>96</v>
      </c>
      <c r="G1759" s="1">
        <v>880</v>
      </c>
      <c r="H1759" s="1" t="str">
        <f>"96/05/11"</f>
        <v>96/05/11</v>
      </c>
      <c r="I1759" s="1" t="str">
        <f>"كيلوگرم"</f>
        <v>كيلوگرم</v>
      </c>
      <c r="J1759" s="1" t="str">
        <f>"0000000091"</f>
        <v>0000000091</v>
      </c>
      <c r="K1759" s="1" t="str">
        <f>"قير  PG64-22"</f>
        <v>قير  PG64-22</v>
      </c>
      <c r="L1759" s="1">
        <v>100</v>
      </c>
      <c r="M1759" s="1" t="str">
        <f>"مخازن قير اصفهان"</f>
        <v>مخازن قير اصفهان</v>
      </c>
      <c r="N1759" s="1">
        <v>11270</v>
      </c>
      <c r="O1759" s="1">
        <v>50035502</v>
      </c>
      <c r="P1759" s="1" t="str">
        <f>"  اداره كل راهداري وحمل ونقل جاده اي يزد"</f>
        <v xml:space="preserve">  اداره كل راهداري وحمل ونقل جاده اي يزد</v>
      </c>
      <c r="Q1759" s="1">
        <v>19</v>
      </c>
      <c r="R175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759" s="1" t="str">
        <f>"قرارداد فروش"</f>
        <v>قرارداد فروش</v>
      </c>
      <c r="T1759" s="1" t="str">
        <f>"ندارد"</f>
        <v>ندارد</v>
      </c>
      <c r="U1759" s="1" t="str">
        <f>"قانعي محمدرضا(1011ج89)"</f>
        <v>قانعي محمدرضا(1011ج89)</v>
      </c>
      <c r="V1759" s="1">
        <v>961900119</v>
      </c>
      <c r="W1759" s="1">
        <v>961900119</v>
      </c>
      <c r="X1759" s="1" t="str">
        <f>"1396502538"</f>
        <v>1396502538</v>
      </c>
      <c r="Y1759" s="1" t="str">
        <f>"96/05/11"</f>
        <v>96/05/11</v>
      </c>
      <c r="Z1759" s="1" t="str">
        <f>"22354/710"</f>
        <v>22354/710</v>
      </c>
      <c r="AA1759" s="1" t="str">
        <f>"سازمان راهداري وحمل نقل جاده اي"</f>
        <v>سازمان راهداري وحمل نقل جاده اي</v>
      </c>
      <c r="AB1759" s="1" t="str">
        <f>"96/05/10"</f>
        <v>96/05/10</v>
      </c>
      <c r="AC1759" s="1" t="str">
        <f>"استان يزد"</f>
        <v>استان يزد</v>
      </c>
      <c r="AD1759" s="1" t="str">
        <f>"96/05/11"</f>
        <v>96/05/11</v>
      </c>
      <c r="AE1759" s="1" t="str">
        <f>"اختتام"</f>
        <v>اختتام</v>
      </c>
      <c r="AF1759" s="1" t="str">
        <f>""</f>
        <v/>
      </c>
      <c r="AG1759" s="1" t="str">
        <f>""</f>
        <v/>
      </c>
      <c r="AH1759" s="1" t="str">
        <f>""</f>
        <v/>
      </c>
      <c r="AI1759" s="1" t="str">
        <f>""</f>
        <v/>
      </c>
      <c r="AJ1759" s="1" t="str">
        <f>""</f>
        <v/>
      </c>
      <c r="AK1759" s="1" t="str">
        <f>""</f>
        <v/>
      </c>
    </row>
    <row r="1760" spans="1:37">
      <c r="A1760" s="1">
        <v>211000</v>
      </c>
      <c r="B1760" s="1">
        <v>966300021</v>
      </c>
      <c r="C1760" s="1" t="str">
        <f>"تخليه يزدكيلومتر15محوريزدمهريزشركت راهسازي فرش راه يزد"</f>
        <v>تخليه يزدكيلومتر15محوريزدمهريزشركت راهسازي فرش راه يزد</v>
      </c>
      <c r="D1760" s="1">
        <v>12970</v>
      </c>
      <c r="E1760" s="1">
        <v>209360</v>
      </c>
      <c r="F1760" s="1">
        <v>96</v>
      </c>
      <c r="G1760" s="1">
        <v>1640</v>
      </c>
      <c r="H1760" s="1" t="str">
        <f>"96/09/08"</f>
        <v>96/09/08</v>
      </c>
      <c r="I1760" s="1" t="str">
        <f>"كيلوگرم"</f>
        <v>كيلوگرم</v>
      </c>
      <c r="J1760" s="1" t="str">
        <f>"0000000091"</f>
        <v>0000000091</v>
      </c>
      <c r="K1760" s="1" t="str">
        <f>"قير  PG64-22"</f>
        <v>قير  PG64-22</v>
      </c>
      <c r="L1760" s="1">
        <v>100</v>
      </c>
      <c r="M1760" s="1" t="str">
        <f>"مخازن قير اصفهان"</f>
        <v>مخازن قير اصفهان</v>
      </c>
      <c r="N1760" s="1">
        <v>11275</v>
      </c>
      <c r="O1760" s="1">
        <v>50037332</v>
      </c>
      <c r="P1760" s="1" t="str">
        <f>"  اداره كل نوسازي توسعه وتجهيزمدارس يزد"</f>
        <v xml:space="preserve">  اداره كل نوسازي توسعه وتجهيزمدارس يزد</v>
      </c>
      <c r="Q1760" s="1">
        <v>63</v>
      </c>
      <c r="R1760" s="1" t="str">
        <f>"سازمان نوسازي،توسعه و تجهيز مدارس كشور"</f>
        <v>سازمان نوسازي،توسعه و تجهيز مدارس كشور</v>
      </c>
      <c r="S1760" s="1" t="str">
        <f>"قرارداد فروش"</f>
        <v>قرارداد فروش</v>
      </c>
      <c r="T1760" s="1" t="str">
        <f>"ندارد"</f>
        <v>ندارد</v>
      </c>
      <c r="U1760" s="1" t="str">
        <f>"قانعي محمدرضا(1011ج89)"</f>
        <v>قانعي محمدرضا(1011ج89)</v>
      </c>
      <c r="V1760" s="1">
        <v>966300021</v>
      </c>
      <c r="W1760" s="1">
        <v>966300021</v>
      </c>
      <c r="X1760" s="1" t="str">
        <f>"1396529169"</f>
        <v>1396529169</v>
      </c>
      <c r="Y1760" s="1" t="str">
        <f>"96/09/08"</f>
        <v>96/09/08</v>
      </c>
      <c r="Z1760" s="1" t="str">
        <f>"7697/2"</f>
        <v>7697/2</v>
      </c>
      <c r="AA1760" s="1" t="str">
        <f>"سازمان نوسازي توسعه وتجهيزمدارس كشور"</f>
        <v>سازمان نوسازي توسعه وتجهيزمدارس كشور</v>
      </c>
      <c r="AB1760" s="1" t="str">
        <f>"96/08/29"</f>
        <v>96/08/29</v>
      </c>
      <c r="AC1760" s="1" t="str">
        <f>"استان يزد"</f>
        <v>استان يزد</v>
      </c>
      <c r="AD1760" s="1" t="str">
        <f>"96/09/08"</f>
        <v>96/09/08</v>
      </c>
      <c r="AE1760" s="1" t="str">
        <f>"اختتام"</f>
        <v>اختتام</v>
      </c>
      <c r="AF1760" s="1" t="str">
        <f>""</f>
        <v/>
      </c>
      <c r="AG1760" s="1" t="str">
        <f>""</f>
        <v/>
      </c>
      <c r="AH1760" s="1" t="str">
        <f>""</f>
        <v/>
      </c>
      <c r="AI1760" s="1" t="str">
        <f>""</f>
        <v/>
      </c>
      <c r="AJ1760" s="1" t="str">
        <f>""</f>
        <v/>
      </c>
      <c r="AK1760" s="1" t="str">
        <f>""</f>
        <v/>
      </c>
    </row>
    <row r="1761" spans="1:37">
      <c r="A1761" s="1">
        <v>250000</v>
      </c>
      <c r="B1761" s="1">
        <v>961900165</v>
      </c>
      <c r="C1761" s="1" t="str">
        <f>"تخليه - لرستان-کارخانه آسفالت آبادراهان پارس"</f>
        <v>تخليه - لرستان-کارخانه آسفالت آبادراهان پارس</v>
      </c>
      <c r="D1761" s="1">
        <v>9716</v>
      </c>
      <c r="E1761" s="1">
        <v>249340</v>
      </c>
      <c r="F1761" s="1">
        <v>96</v>
      </c>
      <c r="G1761" s="1">
        <v>660</v>
      </c>
      <c r="H1761" s="1" t="str">
        <f>"96/07/11"</f>
        <v>96/07/11</v>
      </c>
      <c r="I1761" s="1" t="str">
        <f>"كيلوگرم"</f>
        <v>كيلوگرم</v>
      </c>
      <c r="J1761" s="1" t="str">
        <f>"0000000091"</f>
        <v>0000000091</v>
      </c>
      <c r="K1761" s="1" t="str">
        <f>"قير  PG64-22"</f>
        <v>قير  PG64-22</v>
      </c>
      <c r="L1761" s="1">
        <v>100</v>
      </c>
      <c r="M1761" s="1" t="str">
        <f>"مخازن قير اصفهان"</f>
        <v>مخازن قير اصفهان</v>
      </c>
      <c r="N1761" s="1">
        <v>11295</v>
      </c>
      <c r="O1761" s="1">
        <v>50036525</v>
      </c>
      <c r="P1761" s="1" t="str">
        <f>"  اداره كل راهداري وحمل ونقل جاده اي لرستان"</f>
        <v xml:space="preserve">  اداره كل راهداري وحمل ونقل جاده اي لرستان</v>
      </c>
      <c r="Q1761" s="1">
        <v>19</v>
      </c>
      <c r="R176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761" s="1" t="str">
        <f>"قرارداد فروش"</f>
        <v>قرارداد فروش</v>
      </c>
      <c r="T1761" s="1" t="str">
        <f>"ندارد"</f>
        <v>ندارد</v>
      </c>
      <c r="U1761" s="1" t="str">
        <f>"ريسماني حسن(1007ج89)"</f>
        <v>ريسماني حسن(1007ج89)</v>
      </c>
      <c r="V1761" s="1">
        <v>961900165</v>
      </c>
      <c r="W1761" s="1">
        <v>961900165</v>
      </c>
      <c r="X1761" s="1" t="str">
        <f>"1396515916"</f>
        <v>1396515916</v>
      </c>
      <c r="Y1761" s="1" t="str">
        <f>"96/07/11"</f>
        <v>96/07/11</v>
      </c>
      <c r="Z1761" s="1" t="str">
        <f>"33352/710"</f>
        <v>33352/710</v>
      </c>
      <c r="AA1761" s="1" t="str">
        <f>"سازمان راهداري وحمل نقل جاده اي"</f>
        <v>سازمان راهداري وحمل نقل جاده اي</v>
      </c>
      <c r="AB1761" s="1" t="str">
        <f>"96/07/04"</f>
        <v>96/07/04</v>
      </c>
      <c r="AC1761" s="1" t="str">
        <f>"لرستان"</f>
        <v>لرستان</v>
      </c>
      <c r="AD1761" s="1" t="str">
        <f>"96/07/11"</f>
        <v>96/07/11</v>
      </c>
      <c r="AE1761" s="1" t="str">
        <f>"اختتام"</f>
        <v>اختتام</v>
      </c>
      <c r="AF1761" s="1" t="str">
        <f>""</f>
        <v/>
      </c>
      <c r="AG1761" s="1" t="str">
        <f>""</f>
        <v/>
      </c>
      <c r="AH1761" s="1" t="str">
        <f>""</f>
        <v/>
      </c>
      <c r="AI1761" s="1" t="str">
        <f>""</f>
        <v/>
      </c>
      <c r="AJ1761" s="1" t="str">
        <f>""</f>
        <v/>
      </c>
      <c r="AK1761" s="1" t="str">
        <f>""</f>
        <v/>
      </c>
    </row>
    <row r="1762" spans="1:37">
      <c r="A1762" s="1">
        <v>500000</v>
      </c>
      <c r="B1762" s="1">
        <v>961900013</v>
      </c>
      <c r="C1762" s="1" t="str">
        <f>"تخليه خراسان رضوي شهرستان احمدآبادكارخانه آسفالت سنگ بست"</f>
        <v>تخليه خراسان رضوي شهرستان احمدآبادكارخانه آسفالت سنگ بست</v>
      </c>
      <c r="D1762" s="1">
        <v>9354</v>
      </c>
      <c r="E1762" s="1">
        <v>497760</v>
      </c>
      <c r="F1762" s="1">
        <v>96</v>
      </c>
      <c r="G1762" s="1">
        <v>2240</v>
      </c>
      <c r="H1762" s="1" t="str">
        <f>"96/01/16"</f>
        <v>96/01/16</v>
      </c>
      <c r="I1762" s="1" t="str">
        <f>"كيلوگرم"</f>
        <v>كيلوگرم</v>
      </c>
      <c r="J1762" s="1" t="str">
        <f>"0000000091"</f>
        <v>0000000091</v>
      </c>
      <c r="K1762" s="1" t="str">
        <f>"قير  PG64-22"</f>
        <v>قير  PG64-22</v>
      </c>
      <c r="L1762" s="1">
        <v>100</v>
      </c>
      <c r="M1762" s="1" t="str">
        <f>"مخازن قير اصفهان"</f>
        <v>مخازن قير اصفهان</v>
      </c>
      <c r="N1762" s="1">
        <v>11305</v>
      </c>
      <c r="O1762" s="1">
        <v>50034370</v>
      </c>
      <c r="P1762" s="1" t="str">
        <f>"  اداره كل راهداري وحمل ونقل جاده اي خراسان رضوي"</f>
        <v xml:space="preserve">  اداره كل راهداري وحمل ونقل جاده اي خراسان رضوي</v>
      </c>
      <c r="Q1762" s="1">
        <v>19</v>
      </c>
      <c r="R176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762" s="1" t="str">
        <f>"قرارداد فروش"</f>
        <v>قرارداد فروش</v>
      </c>
      <c r="T1762" s="1" t="str">
        <f>"ندارد"</f>
        <v>ندارد</v>
      </c>
      <c r="U1762" s="1" t="str">
        <f>"نظام دوست امين (1911102)"</f>
        <v>نظام دوست امين (1911102)</v>
      </c>
      <c r="V1762" s="1">
        <v>961900013</v>
      </c>
      <c r="W1762" s="1">
        <v>961900013</v>
      </c>
      <c r="X1762" s="1" t="str">
        <f>"1395470874"</f>
        <v>1395470874</v>
      </c>
      <c r="Y1762" s="1" t="str">
        <f>"96/01/16"</f>
        <v>96/01/16</v>
      </c>
      <c r="Z1762" s="1" t="str">
        <f>"65451/710"</f>
        <v>65451/710</v>
      </c>
      <c r="AA1762" s="1" t="str">
        <f>"سازمان راهداري وحمل نقل جاده اي"</f>
        <v>سازمان راهداري وحمل نقل جاده اي</v>
      </c>
      <c r="AB1762" s="1" t="str">
        <f>"95/12/21"</f>
        <v>95/12/21</v>
      </c>
      <c r="AC1762" s="1" t="str">
        <f>"خراسان رضوي"</f>
        <v>خراسان رضوي</v>
      </c>
      <c r="AD1762" s="1" t="str">
        <f>"95/12/23"</f>
        <v>95/12/23</v>
      </c>
      <c r="AE1762" s="1" t="str">
        <f>"اختتام"</f>
        <v>اختتام</v>
      </c>
      <c r="AF1762" s="1" t="str">
        <f>""</f>
        <v/>
      </c>
      <c r="AG1762" s="1" t="str">
        <f>""</f>
        <v/>
      </c>
      <c r="AH1762" s="1" t="str">
        <f>""</f>
        <v/>
      </c>
      <c r="AI1762" s="1" t="str">
        <f>""</f>
        <v/>
      </c>
      <c r="AJ1762" s="1" t="str">
        <f>""</f>
        <v/>
      </c>
      <c r="AK1762" s="1" t="str">
        <f>""</f>
        <v/>
      </c>
    </row>
    <row r="1763" spans="1:37">
      <c r="A1763" s="1">
        <v>700000</v>
      </c>
      <c r="B1763" s="1">
        <v>961900015</v>
      </c>
      <c r="C1763" s="1" t="str">
        <f>"تخليه خراسان رضوي شهرستان فريمان شركت فراز راه بجنورد"</f>
        <v>تخليه خراسان رضوي شهرستان فريمان شركت فراز راه بجنورد</v>
      </c>
      <c r="D1763" s="1">
        <v>9354</v>
      </c>
      <c r="E1763" s="1">
        <v>700000</v>
      </c>
      <c r="F1763" s="1">
        <v>96</v>
      </c>
      <c r="G1763" s="1">
        <v>0</v>
      </c>
      <c r="H1763" s="1" t="str">
        <f>"96/01/16"</f>
        <v>96/01/16</v>
      </c>
      <c r="I1763" s="1" t="str">
        <f>"كيلوگرم"</f>
        <v>كيلوگرم</v>
      </c>
      <c r="J1763" s="1" t="str">
        <f>"0000000091"</f>
        <v>0000000091</v>
      </c>
      <c r="K1763" s="1" t="str">
        <f>"قير  PG64-22"</f>
        <v>قير  PG64-22</v>
      </c>
      <c r="L1763" s="1">
        <v>100</v>
      </c>
      <c r="M1763" s="1" t="str">
        <f>"مخازن قير اصفهان"</f>
        <v>مخازن قير اصفهان</v>
      </c>
      <c r="N1763" s="1">
        <v>11305</v>
      </c>
      <c r="O1763" s="1">
        <v>50034372</v>
      </c>
      <c r="P1763" s="1" t="str">
        <f>"  اداره كل راهداري وحمل ونقل جاده اي خراسان رضوي"</f>
        <v xml:space="preserve">  اداره كل راهداري وحمل ونقل جاده اي خراسان رضوي</v>
      </c>
      <c r="Q1763" s="1">
        <v>19</v>
      </c>
      <c r="R176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763" s="1" t="str">
        <f>"قرارداد فروش"</f>
        <v>قرارداد فروش</v>
      </c>
      <c r="T1763" s="1" t="str">
        <f>"ندارد"</f>
        <v>ندارد</v>
      </c>
      <c r="U1763" s="1" t="str">
        <f>"حسيني سيدجواد(1841076)"</f>
        <v>حسيني سيدجواد(1841076)</v>
      </c>
      <c r="V1763" s="1">
        <v>961900015</v>
      </c>
      <c r="W1763" s="1">
        <v>961900015</v>
      </c>
      <c r="X1763" s="1" t="str">
        <f>"1395470874"</f>
        <v>1395470874</v>
      </c>
      <c r="Y1763" s="1" t="str">
        <f>"96/01/16"</f>
        <v>96/01/16</v>
      </c>
      <c r="Z1763" s="1" t="str">
        <f>"65466/710"</f>
        <v>65466/710</v>
      </c>
      <c r="AA1763" s="1" t="str">
        <f>"سازمان راهداري وحمل نقل جاده اي"</f>
        <v>سازمان راهداري وحمل نقل جاده اي</v>
      </c>
      <c r="AB1763" s="1" t="str">
        <f>"95/12/21"</f>
        <v>95/12/21</v>
      </c>
      <c r="AC1763" s="1" t="str">
        <f>"خراسان رضوي"</f>
        <v>خراسان رضوي</v>
      </c>
      <c r="AD1763" s="1" t="str">
        <f>"95/12/23"</f>
        <v>95/12/23</v>
      </c>
      <c r="AE1763" s="1" t="str">
        <f>"اختتام"</f>
        <v>اختتام</v>
      </c>
      <c r="AF1763" s="1" t="str">
        <f>""</f>
        <v/>
      </c>
      <c r="AG1763" s="1" t="str">
        <f>""</f>
        <v/>
      </c>
      <c r="AH1763" s="1" t="str">
        <f>""</f>
        <v/>
      </c>
      <c r="AI1763" s="1" t="str">
        <f>""</f>
        <v/>
      </c>
      <c r="AJ1763" s="1" t="str">
        <f>""</f>
        <v/>
      </c>
      <c r="AK1763" s="1" t="str">
        <f>""</f>
        <v/>
      </c>
    </row>
    <row r="1764" spans="1:37">
      <c r="A1764" s="1">
        <v>300000</v>
      </c>
      <c r="B1764" s="1">
        <v>961900020</v>
      </c>
      <c r="C1764" s="1" t="str">
        <f>"تخليه خراسان رضوي شهرستان كلات كارخانه آسفالت ثامن الائمه"</f>
        <v>تخليه خراسان رضوي شهرستان كلات كارخانه آسفالت ثامن الائمه</v>
      </c>
      <c r="D1764" s="1">
        <v>9354</v>
      </c>
      <c r="E1764" s="1">
        <v>294840</v>
      </c>
      <c r="F1764" s="1">
        <v>96</v>
      </c>
      <c r="G1764" s="1">
        <v>5160</v>
      </c>
      <c r="H1764" s="1" t="str">
        <f>"96/01/16"</f>
        <v>96/01/16</v>
      </c>
      <c r="I1764" s="1" t="str">
        <f>"كيلوگرم"</f>
        <v>كيلوگرم</v>
      </c>
      <c r="J1764" s="1" t="str">
        <f>"0000000091"</f>
        <v>0000000091</v>
      </c>
      <c r="K1764" s="1" t="str">
        <f>"قير  PG64-22"</f>
        <v>قير  PG64-22</v>
      </c>
      <c r="L1764" s="1">
        <v>100</v>
      </c>
      <c r="M1764" s="1" t="str">
        <f>"مخازن قير اصفهان"</f>
        <v>مخازن قير اصفهان</v>
      </c>
      <c r="N1764" s="1">
        <v>11305</v>
      </c>
      <c r="O1764" s="1">
        <v>50034377</v>
      </c>
      <c r="P1764" s="1" t="str">
        <f>"  اداره كل راهداري وحمل ونقل جاده اي خراسان رضوي"</f>
        <v xml:space="preserve">  اداره كل راهداري وحمل ونقل جاده اي خراسان رضوي</v>
      </c>
      <c r="Q1764" s="1">
        <v>19</v>
      </c>
      <c r="R176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764" s="1" t="str">
        <f>"قرارداد فروش"</f>
        <v>قرارداد فروش</v>
      </c>
      <c r="T1764" s="1" t="str">
        <f>"ندارد"</f>
        <v>ندارد</v>
      </c>
      <c r="U1764" s="1" t="str">
        <f>"بابامحمدي عنايت اله(4844000)"</f>
        <v>بابامحمدي عنايت اله(4844000)</v>
      </c>
      <c r="V1764" s="1">
        <v>961900020</v>
      </c>
      <c r="W1764" s="1">
        <v>961900020</v>
      </c>
      <c r="X1764" s="1" t="str">
        <f>"1395470874"</f>
        <v>1395470874</v>
      </c>
      <c r="Y1764" s="1" t="str">
        <f>"96/01/16"</f>
        <v>96/01/16</v>
      </c>
      <c r="Z1764" s="1" t="str">
        <f>"65465/710"</f>
        <v>65465/710</v>
      </c>
      <c r="AA1764" s="1" t="str">
        <f>"سازمان راهداري وحمل نقل جاده اي"</f>
        <v>سازمان راهداري وحمل نقل جاده اي</v>
      </c>
      <c r="AB1764" s="1" t="str">
        <f>"95/12/21"</f>
        <v>95/12/21</v>
      </c>
      <c r="AC1764" s="1" t="str">
        <f>"خراسان رضوي"</f>
        <v>خراسان رضوي</v>
      </c>
      <c r="AD1764" s="1" t="str">
        <f>"95/12/23"</f>
        <v>95/12/23</v>
      </c>
      <c r="AE1764" s="1" t="str">
        <f>"اختتام"</f>
        <v>اختتام</v>
      </c>
      <c r="AF1764" s="1" t="str">
        <f>""</f>
        <v/>
      </c>
      <c r="AG1764" s="1" t="str">
        <f>""</f>
        <v/>
      </c>
      <c r="AH1764" s="1" t="str">
        <f>""</f>
        <v/>
      </c>
      <c r="AI1764" s="1" t="str">
        <f>""</f>
        <v/>
      </c>
      <c r="AJ1764" s="1" t="str">
        <f>""</f>
        <v/>
      </c>
      <c r="AK1764" s="1" t="str">
        <f>""</f>
        <v/>
      </c>
    </row>
    <row r="1765" spans="1:37">
      <c r="A1765" s="1">
        <v>400000</v>
      </c>
      <c r="B1765" s="1">
        <v>961900051</v>
      </c>
      <c r="C1765" s="1" t="str">
        <f>"تخليه خراسان رضوي شهرستان گنابادكارخانه آسفالت كيهان راه شرق"</f>
        <v>تخليه خراسان رضوي شهرستان گنابادكارخانه آسفالت كيهان راه شرق</v>
      </c>
      <c r="D1765" s="1">
        <v>8854</v>
      </c>
      <c r="E1765" s="1">
        <v>400000</v>
      </c>
      <c r="F1765" s="1">
        <v>96</v>
      </c>
      <c r="G1765" s="1">
        <v>0</v>
      </c>
      <c r="H1765" s="1" t="str">
        <f>"96/03/10"</f>
        <v>96/03/10</v>
      </c>
      <c r="I1765" s="1" t="str">
        <f>"كيلوگرم"</f>
        <v>كيلوگرم</v>
      </c>
      <c r="J1765" s="1" t="str">
        <f>"0000000091"</f>
        <v>0000000091</v>
      </c>
      <c r="K1765" s="1" t="str">
        <f>"قير  PG64-22"</f>
        <v>قير  PG64-22</v>
      </c>
      <c r="L1765" s="1">
        <v>100</v>
      </c>
      <c r="M1765" s="1" t="str">
        <f>"مخازن قير اصفهان"</f>
        <v>مخازن قير اصفهان</v>
      </c>
      <c r="N1765" s="1">
        <v>11305</v>
      </c>
      <c r="O1765" s="1">
        <v>50034937</v>
      </c>
      <c r="P1765" s="1" t="str">
        <f>"  اداره كل راهداري وحمل ونقل جاده اي خراسان رضوي"</f>
        <v xml:space="preserve">  اداره كل راهداري وحمل ونقل جاده اي خراسان رضوي</v>
      </c>
      <c r="Q1765" s="1">
        <v>19</v>
      </c>
      <c r="R176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765" s="1" t="str">
        <f>"قرارداد فروش"</f>
        <v>قرارداد فروش</v>
      </c>
      <c r="T1765" s="1" t="str">
        <f>"ندارد"</f>
        <v>ندارد</v>
      </c>
      <c r="U1765" s="1" t="str">
        <f>"نظام دوست امين (1911102)"</f>
        <v>نظام دوست امين (1911102)</v>
      </c>
      <c r="V1765" s="1">
        <v>961900051</v>
      </c>
      <c r="W1765" s="1">
        <v>961900051</v>
      </c>
      <c r="X1765" s="1" t="str">
        <f>"1396485061"</f>
        <v>1396485061</v>
      </c>
      <c r="Y1765" s="1" t="str">
        <f>"96/03/10"</f>
        <v>96/03/10</v>
      </c>
      <c r="Z1765" s="1" t="str">
        <f>"10863/710"</f>
        <v>10863/710</v>
      </c>
      <c r="AA1765" s="1" t="str">
        <f>"سازمان راهداري وحمل نقل جاده اي"</f>
        <v>سازمان راهداري وحمل نقل جاده اي</v>
      </c>
      <c r="AB1765" s="1" t="str">
        <f>"96/03/09"</f>
        <v>96/03/09</v>
      </c>
      <c r="AC1765" s="1" t="str">
        <f>"خراسان رضوي"</f>
        <v>خراسان رضوي</v>
      </c>
      <c r="AD1765" s="1" t="str">
        <f>"96/03/10"</f>
        <v>96/03/10</v>
      </c>
      <c r="AE1765" s="1" t="str">
        <f>"اختتام"</f>
        <v>اختتام</v>
      </c>
      <c r="AF1765" s="1" t="str">
        <f>""</f>
        <v/>
      </c>
      <c r="AG1765" s="1" t="str">
        <f>""</f>
        <v/>
      </c>
      <c r="AH1765" s="1" t="str">
        <f>""</f>
        <v/>
      </c>
      <c r="AI1765" s="1" t="str">
        <f>""</f>
        <v/>
      </c>
      <c r="AJ1765" s="1" t="str">
        <f>""</f>
        <v/>
      </c>
      <c r="AK1765" s="1" t="str">
        <f>""</f>
        <v/>
      </c>
    </row>
    <row r="1766" spans="1:37">
      <c r="A1766" s="1">
        <v>400000</v>
      </c>
      <c r="B1766" s="1">
        <v>961900052</v>
      </c>
      <c r="C1766" s="1" t="str">
        <f>"تخليه خراسان رضوي شهرستان گنابادكارخانه آسفالت كيهان راه شرق"</f>
        <v>تخليه خراسان رضوي شهرستان گنابادكارخانه آسفالت كيهان راه شرق</v>
      </c>
      <c r="D1766" s="1">
        <v>8854</v>
      </c>
      <c r="E1766" s="1">
        <v>398560</v>
      </c>
      <c r="F1766" s="1">
        <v>96</v>
      </c>
      <c r="G1766" s="1">
        <v>1440</v>
      </c>
      <c r="H1766" s="1" t="str">
        <f>"96/03/10"</f>
        <v>96/03/10</v>
      </c>
      <c r="I1766" s="1" t="str">
        <f>"كيلوگرم"</f>
        <v>كيلوگرم</v>
      </c>
      <c r="J1766" s="1" t="str">
        <f>"0000000091"</f>
        <v>0000000091</v>
      </c>
      <c r="K1766" s="1" t="str">
        <f>"قير  PG64-22"</f>
        <v>قير  PG64-22</v>
      </c>
      <c r="L1766" s="1">
        <v>100</v>
      </c>
      <c r="M1766" s="1" t="str">
        <f>"مخازن قير اصفهان"</f>
        <v>مخازن قير اصفهان</v>
      </c>
      <c r="N1766" s="1">
        <v>11305</v>
      </c>
      <c r="O1766" s="1">
        <v>50034938</v>
      </c>
      <c r="P1766" s="1" t="str">
        <f>"  اداره كل راهداري وحمل ونقل جاده اي خراسان رضوي"</f>
        <v xml:space="preserve">  اداره كل راهداري وحمل ونقل جاده اي خراسان رضوي</v>
      </c>
      <c r="Q1766" s="1">
        <v>19</v>
      </c>
      <c r="R176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766" s="1" t="str">
        <f>"قرارداد فروش"</f>
        <v>قرارداد فروش</v>
      </c>
      <c r="T1766" s="1" t="str">
        <f>"ندارد"</f>
        <v>ندارد</v>
      </c>
      <c r="U1766" s="1" t="str">
        <f>"نظام دوست امين (1911102)"</f>
        <v>نظام دوست امين (1911102)</v>
      </c>
      <c r="V1766" s="1">
        <v>961900052</v>
      </c>
      <c r="W1766" s="1">
        <v>961900052</v>
      </c>
      <c r="X1766" s="1" t="str">
        <f>"1396485061"</f>
        <v>1396485061</v>
      </c>
      <c r="Y1766" s="1" t="str">
        <f>"96/03/10"</f>
        <v>96/03/10</v>
      </c>
      <c r="Z1766" s="1" t="str">
        <f>"10858/710"</f>
        <v>10858/710</v>
      </c>
      <c r="AA1766" s="1" t="str">
        <f>"سازمان راهداري وحمل نقل جاده اي"</f>
        <v>سازمان راهداري وحمل نقل جاده اي</v>
      </c>
      <c r="AB1766" s="1" t="str">
        <f>"96/03/09"</f>
        <v>96/03/09</v>
      </c>
      <c r="AC1766" s="1" t="str">
        <f>"خراسان رضوي"</f>
        <v>خراسان رضوي</v>
      </c>
      <c r="AD1766" s="1" t="str">
        <f>"96/03/10"</f>
        <v>96/03/10</v>
      </c>
      <c r="AE1766" s="1" t="str">
        <f>"اختتام"</f>
        <v>اختتام</v>
      </c>
      <c r="AF1766" s="1" t="str">
        <f>""</f>
        <v/>
      </c>
      <c r="AG1766" s="1" t="str">
        <f>""</f>
        <v/>
      </c>
      <c r="AH1766" s="1" t="str">
        <f>""</f>
        <v/>
      </c>
      <c r="AI1766" s="1" t="str">
        <f>""</f>
        <v/>
      </c>
      <c r="AJ1766" s="1" t="str">
        <f>""</f>
        <v/>
      </c>
      <c r="AK1766" s="1" t="str">
        <f>""</f>
        <v/>
      </c>
    </row>
    <row r="1767" spans="1:37">
      <c r="A1767" s="1">
        <v>350000</v>
      </c>
      <c r="B1767" s="1">
        <v>961900097</v>
      </c>
      <c r="C1767" s="1" t="str">
        <f>"تخليه - خراسان رضوي-پروژه محور خواف-تربت حيدريه -شرکت نيکچه"</f>
        <v>تخليه - خراسان رضوي-پروژه محور خواف-تربت حيدريه -شرکت نيکچه</v>
      </c>
      <c r="D1767" s="1">
        <v>9716</v>
      </c>
      <c r="E1767" s="1">
        <v>349080</v>
      </c>
      <c r="F1767" s="1">
        <v>96</v>
      </c>
      <c r="G1767" s="1">
        <v>920</v>
      </c>
      <c r="H1767" s="1" t="str">
        <f>"96/05/10"</f>
        <v>96/05/10</v>
      </c>
      <c r="I1767" s="1" t="str">
        <f>"كيلوگرم"</f>
        <v>كيلوگرم</v>
      </c>
      <c r="J1767" s="1" t="str">
        <f>"0000000091"</f>
        <v>0000000091</v>
      </c>
      <c r="K1767" s="1" t="str">
        <f>"قير  PG64-22"</f>
        <v>قير  PG64-22</v>
      </c>
      <c r="L1767" s="1">
        <v>100</v>
      </c>
      <c r="M1767" s="1" t="str">
        <f>"مخازن قير اصفهان"</f>
        <v>مخازن قير اصفهان</v>
      </c>
      <c r="N1767" s="1">
        <v>11305</v>
      </c>
      <c r="O1767" s="1">
        <v>50035445</v>
      </c>
      <c r="P1767" s="1" t="str">
        <f>"  اداره كل راهداري وحمل ونقل جاده اي خراسان رضوي"</f>
        <v xml:space="preserve">  اداره كل راهداري وحمل ونقل جاده اي خراسان رضوي</v>
      </c>
      <c r="Q1767" s="1">
        <v>19</v>
      </c>
      <c r="R176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767" s="1" t="str">
        <f>"قرارداد فروش"</f>
        <v>قرارداد فروش</v>
      </c>
      <c r="T1767" s="1" t="str">
        <f>"ندارد"</f>
        <v>ندارد</v>
      </c>
      <c r="U1767" s="1" t="str">
        <f>"نظام دوست امين (1911102)"</f>
        <v>نظام دوست امين (1911102)</v>
      </c>
      <c r="V1767" s="1">
        <v>961900097</v>
      </c>
      <c r="W1767" s="1">
        <v>961900097</v>
      </c>
      <c r="X1767" s="1" t="str">
        <f>"1396501691"</f>
        <v>1396501691</v>
      </c>
      <c r="Y1767" s="1" t="str">
        <f>"96/05/10"</f>
        <v>96/05/10</v>
      </c>
      <c r="Z1767" s="1" t="str">
        <f>"22031/710"</f>
        <v>22031/710</v>
      </c>
      <c r="AA1767" s="1" t="str">
        <f>"سازمان راهداري وحمل نقل جاده اي"</f>
        <v>سازمان راهداري وحمل نقل جاده اي</v>
      </c>
      <c r="AB1767" s="1" t="str">
        <f>"96/05/09"</f>
        <v>96/05/09</v>
      </c>
      <c r="AC1767" s="1" t="str">
        <f>"خراسان رضوي"</f>
        <v>خراسان رضوي</v>
      </c>
      <c r="AD1767" s="1" t="str">
        <f>"96/05/10"</f>
        <v>96/05/10</v>
      </c>
      <c r="AE1767" s="1" t="str">
        <f>"اختتام"</f>
        <v>اختتام</v>
      </c>
      <c r="AF1767" s="1" t="str">
        <f>""</f>
        <v/>
      </c>
      <c r="AG1767" s="1" t="str">
        <f>""</f>
        <v/>
      </c>
      <c r="AH1767" s="1" t="str">
        <f>""</f>
        <v/>
      </c>
      <c r="AI1767" s="1" t="str">
        <f>""</f>
        <v/>
      </c>
      <c r="AJ1767" s="1" t="str">
        <f>""</f>
        <v/>
      </c>
      <c r="AK1767" s="1" t="str">
        <f>""</f>
        <v/>
      </c>
    </row>
    <row r="1768" spans="1:37">
      <c r="A1768" s="1">
        <v>250000</v>
      </c>
      <c r="B1768" s="1">
        <v>961900099</v>
      </c>
      <c r="C1768" s="1" t="str">
        <f>"تخليه خراسان رضوي شهرستان باخرزكارخانه آسفالت شهرداري باخرز"</f>
        <v>تخليه خراسان رضوي شهرستان باخرزكارخانه آسفالت شهرداري باخرز</v>
      </c>
      <c r="D1768" s="1">
        <v>12970</v>
      </c>
      <c r="E1768" s="1">
        <v>249000</v>
      </c>
      <c r="F1768" s="1">
        <v>96</v>
      </c>
      <c r="G1768" s="1">
        <v>1000</v>
      </c>
      <c r="H1768" s="1" t="str">
        <f>"96/05/10"</f>
        <v>96/05/10</v>
      </c>
      <c r="I1768" s="1" t="str">
        <f>"كيلوگرم"</f>
        <v>كيلوگرم</v>
      </c>
      <c r="J1768" s="1" t="str">
        <f>"0000000091"</f>
        <v>0000000091</v>
      </c>
      <c r="K1768" s="1" t="str">
        <f>"قير  PG64-22"</f>
        <v>قير  PG64-22</v>
      </c>
      <c r="L1768" s="1">
        <v>100</v>
      </c>
      <c r="M1768" s="1" t="str">
        <f>"مخازن قير اصفهان"</f>
        <v>مخازن قير اصفهان</v>
      </c>
      <c r="N1768" s="1">
        <v>11305</v>
      </c>
      <c r="O1768" s="1">
        <v>50035447</v>
      </c>
      <c r="P1768" s="1" t="str">
        <f>"  اداره كل راهداري وحمل ونقل جاده اي خراسان رضوي"</f>
        <v xml:space="preserve">  اداره كل راهداري وحمل ونقل جاده اي خراسان رضوي</v>
      </c>
      <c r="Q1768" s="1">
        <v>19</v>
      </c>
      <c r="R176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768" s="1" t="str">
        <f>"قرارداد فروش"</f>
        <v>قرارداد فروش</v>
      </c>
      <c r="T1768" s="1" t="str">
        <f>"ندارد"</f>
        <v>ندارد</v>
      </c>
      <c r="U1768" s="1" t="str">
        <f>"نظام دوست امين (1911102)"</f>
        <v>نظام دوست امين (1911102)</v>
      </c>
      <c r="V1768" s="1">
        <v>961900099</v>
      </c>
      <c r="W1768" s="1">
        <v>961900099</v>
      </c>
      <c r="X1768" s="1" t="str">
        <f>"1396501691"</f>
        <v>1396501691</v>
      </c>
      <c r="Y1768" s="1" t="str">
        <f>"96/05/10"</f>
        <v>96/05/10</v>
      </c>
      <c r="Z1768" s="1" t="str">
        <f>"22030/710"</f>
        <v>22030/710</v>
      </c>
      <c r="AA1768" s="1" t="str">
        <f>"سازمان راهداري وحمل نقل جاده اي"</f>
        <v>سازمان راهداري وحمل نقل جاده اي</v>
      </c>
      <c r="AB1768" s="1" t="str">
        <f>"96/05/09"</f>
        <v>96/05/09</v>
      </c>
      <c r="AC1768" s="1" t="str">
        <f>"خراسان رضوي"</f>
        <v>خراسان رضوي</v>
      </c>
      <c r="AD1768" s="1" t="str">
        <f>"96/05/10"</f>
        <v>96/05/10</v>
      </c>
      <c r="AE1768" s="1" t="str">
        <f>"اختتام"</f>
        <v>اختتام</v>
      </c>
      <c r="AF1768" s="1" t="str">
        <f>""</f>
        <v/>
      </c>
      <c r="AG1768" s="1" t="str">
        <f>""</f>
        <v/>
      </c>
      <c r="AH1768" s="1" t="str">
        <f>""</f>
        <v/>
      </c>
      <c r="AI1768" s="1" t="str">
        <f>""</f>
        <v/>
      </c>
      <c r="AJ1768" s="1" t="str">
        <f>""</f>
        <v/>
      </c>
      <c r="AK1768" s="1" t="str">
        <f>""</f>
        <v/>
      </c>
    </row>
    <row r="1769" spans="1:37">
      <c r="A1769" s="1">
        <v>400000</v>
      </c>
      <c r="B1769" s="1">
        <v>961900207</v>
      </c>
      <c r="C1769" s="1" t="str">
        <f>"تخليه خراسان رضوي شهرستان سرخس كارخانه شهرداري سرخس"</f>
        <v>تخليه خراسان رضوي شهرستان سرخس كارخانه شهرداري سرخس</v>
      </c>
      <c r="D1769" s="1">
        <v>15810</v>
      </c>
      <c r="E1769" s="1">
        <v>398460</v>
      </c>
      <c r="F1769" s="1">
        <v>96</v>
      </c>
      <c r="G1769" s="1">
        <v>1540</v>
      </c>
      <c r="H1769" s="1" t="str">
        <f>"96/12/26"</f>
        <v>96/12/26</v>
      </c>
      <c r="I1769" s="1" t="str">
        <f>"كيلوگرم"</f>
        <v>كيلوگرم</v>
      </c>
      <c r="J1769" s="1" t="str">
        <f>"0000000091"</f>
        <v>0000000091</v>
      </c>
      <c r="K1769" s="1" t="str">
        <f>"قير  PG64-22"</f>
        <v>قير  PG64-22</v>
      </c>
      <c r="L1769" s="1">
        <v>100</v>
      </c>
      <c r="M1769" s="1" t="str">
        <f>"مخازن قير اصفهان"</f>
        <v>مخازن قير اصفهان</v>
      </c>
      <c r="N1769" s="1">
        <v>11305</v>
      </c>
      <c r="O1769" s="1">
        <v>50039071</v>
      </c>
      <c r="P1769" s="1" t="str">
        <f>"  اداره كل راهداري وحمل ونقل جاده اي خراسان رضوي"</f>
        <v xml:space="preserve">  اداره كل راهداري وحمل ونقل جاده اي خراسان رضوي</v>
      </c>
      <c r="Q1769" s="1">
        <v>19</v>
      </c>
      <c r="R176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769" s="1" t="str">
        <f>"قرارداد فروش"</f>
        <v>قرارداد فروش</v>
      </c>
      <c r="T1769" s="1" t="str">
        <f>"ندارد"</f>
        <v>ندارد</v>
      </c>
      <c r="U1769" s="1" t="str">
        <f>"نظام دوست امين (1911102)"</f>
        <v>نظام دوست امين (1911102)</v>
      </c>
      <c r="V1769" s="1">
        <v>961900207</v>
      </c>
      <c r="W1769" s="1">
        <v>961900207</v>
      </c>
      <c r="X1769" s="1" t="str">
        <f>"1396553915"</f>
        <v>1396553915</v>
      </c>
      <c r="Y1769" s="1" t="str">
        <f>"96/12/26"</f>
        <v>96/12/26</v>
      </c>
      <c r="Z1769" s="1" t="str">
        <f>"51197/710"</f>
        <v>51197/710</v>
      </c>
      <c r="AA1769" s="1" t="str">
        <f>"سازمان راهداري وحمل نقل جاده اي"</f>
        <v>سازمان راهداري وحمل نقل جاده اي</v>
      </c>
      <c r="AB1769" s="1" t="str">
        <f>"96/10/04"</f>
        <v>96/10/04</v>
      </c>
      <c r="AC1769" s="1" t="str">
        <f>"خراسان رضوي"</f>
        <v>خراسان رضوي</v>
      </c>
      <c r="AD1769" s="1" t="str">
        <f>"96/12/20"</f>
        <v>96/12/20</v>
      </c>
      <c r="AE1769" s="1" t="str">
        <f>"اختتام"</f>
        <v>اختتام</v>
      </c>
      <c r="AF1769" s="1" t="str">
        <f>""</f>
        <v/>
      </c>
      <c r="AG1769" s="1" t="str">
        <f>""</f>
        <v/>
      </c>
      <c r="AH1769" s="1" t="str">
        <f>""</f>
        <v/>
      </c>
      <c r="AI1769" s="1" t="str">
        <f>""</f>
        <v/>
      </c>
      <c r="AJ1769" s="1" t="str">
        <f>""</f>
        <v/>
      </c>
      <c r="AK1769" s="1" t="str">
        <f>""</f>
        <v/>
      </c>
    </row>
    <row r="1770" spans="1:37">
      <c r="A1770" s="1">
        <v>5000000</v>
      </c>
      <c r="B1770" s="1">
        <v>961800002</v>
      </c>
      <c r="C1770" s="1" t="str">
        <f>"تخليه - اصفهان- قطعه 1 آزاد راه کنارگذر شرق سپاهان-کارخانه آسفالت شرکت اسکان ده"</f>
        <v>تخليه - اصفهان- قطعه 1 آزاد راه کنارگذر شرق سپاهان-کارخانه آسفالت شرکت اسکان ده</v>
      </c>
      <c r="D1770" s="1">
        <v>8904</v>
      </c>
      <c r="E1770" s="1">
        <v>5000000</v>
      </c>
      <c r="F1770" s="1">
        <v>96</v>
      </c>
      <c r="G1770" s="1">
        <v>0</v>
      </c>
      <c r="H1770" s="1" t="str">
        <f>"96/03/16"</f>
        <v>96/03/16</v>
      </c>
      <c r="I1770" s="1" t="str">
        <f>"كيلوگرم"</f>
        <v>كيلوگرم</v>
      </c>
      <c r="J1770" s="1" t="str">
        <f>"0000000091"</f>
        <v>0000000091</v>
      </c>
      <c r="K1770" s="1" t="str">
        <f>"قير  PG64-22"</f>
        <v>قير  PG64-22</v>
      </c>
      <c r="L1770" s="1">
        <v>100</v>
      </c>
      <c r="M1770" s="1" t="str">
        <f>"مخازن قير اصفهان"</f>
        <v>مخازن قير اصفهان</v>
      </c>
      <c r="N1770" s="1">
        <v>11368</v>
      </c>
      <c r="O1770" s="1">
        <v>50034966</v>
      </c>
      <c r="P1770" s="1" t="str">
        <f>"  احداث نگهداري و بهره برداري آزاد راه شرق سپاهان"</f>
        <v xml:space="preserve">  احداث نگهداري و بهره برداري آزاد راه شرق سپاهان</v>
      </c>
      <c r="Q1770" s="1">
        <v>18</v>
      </c>
      <c r="R1770" s="1" t="str">
        <f>"فروش داخلي تهران - وزارت راه - شرکت ساخت و توسعه راهها"</f>
        <v>فروش داخلي تهران - وزارت راه - شرکت ساخت و توسعه راهها</v>
      </c>
      <c r="S1770" s="1" t="str">
        <f>"قرارداد فروش"</f>
        <v>قرارداد فروش</v>
      </c>
      <c r="T1770" s="1" t="str">
        <f>"ندارد"</f>
        <v>ندارد</v>
      </c>
      <c r="U1770" s="1" t="str">
        <f>"شهبازي محمدرضا(1029ج89)"</f>
        <v>شهبازي محمدرضا(1029ج89)</v>
      </c>
      <c r="V1770" s="1">
        <v>961800002</v>
      </c>
      <c r="W1770" s="1">
        <v>961800002</v>
      </c>
      <c r="X1770" s="1" t="str">
        <f>"1396485275"</f>
        <v>1396485275</v>
      </c>
      <c r="Y1770" s="1" t="str">
        <f>"96/03/16"</f>
        <v>96/03/16</v>
      </c>
      <c r="Z1770" s="1" t="str">
        <f>"10874/710"</f>
        <v>10874/710</v>
      </c>
      <c r="AA1770" s="1" t="str">
        <f>"شركت  ساخت وتوسعه راهها"</f>
        <v>شركت  ساخت وتوسعه راهها</v>
      </c>
      <c r="AB1770" s="1" t="str">
        <f>"96/03/09"</f>
        <v>96/03/09</v>
      </c>
      <c r="AC1770" s="1" t="str">
        <f>"استان اصفهان"</f>
        <v>استان اصفهان</v>
      </c>
      <c r="AD1770" s="1" t="str">
        <f>"96/03/13"</f>
        <v>96/03/13</v>
      </c>
      <c r="AE1770" s="1" t="str">
        <f>"اختتام"</f>
        <v>اختتام</v>
      </c>
      <c r="AF1770" s="1" t="str">
        <f>""</f>
        <v/>
      </c>
      <c r="AG1770" s="1" t="str">
        <f>""</f>
        <v/>
      </c>
      <c r="AH1770" s="1" t="str">
        <f>""</f>
        <v/>
      </c>
      <c r="AI1770" s="1" t="str">
        <f>""</f>
        <v/>
      </c>
      <c r="AJ1770" s="1" t="str">
        <f>""</f>
        <v/>
      </c>
      <c r="AK1770" s="1" t="str">
        <f>""</f>
        <v/>
      </c>
    </row>
    <row r="1771" spans="1:37">
      <c r="A1771" s="1">
        <v>570000</v>
      </c>
      <c r="B1771" s="1">
        <v>961700045</v>
      </c>
      <c r="C1771" s="1" t="str">
        <f>"تخليه كهگيلويه وبويراحمدشهرستان ياسوج كارخانه آسفالت جوكار"</f>
        <v>تخليه كهگيلويه وبويراحمدشهرستان ياسوج كارخانه آسفالت جوكار</v>
      </c>
      <c r="D1771" s="1">
        <v>16350</v>
      </c>
      <c r="E1771" s="1">
        <v>568040</v>
      </c>
      <c r="F1771" s="1">
        <v>96</v>
      </c>
      <c r="G1771" s="1">
        <v>1960</v>
      </c>
      <c r="H1771" s="1" t="str">
        <f>"96/05/15"</f>
        <v>96/05/15</v>
      </c>
      <c r="I1771" s="1" t="str">
        <f>"كيلوگرم"</f>
        <v>كيلوگرم</v>
      </c>
      <c r="J1771" s="1" t="str">
        <f>"0000000091"</f>
        <v>0000000091</v>
      </c>
      <c r="K1771" s="1" t="str">
        <f>"قير  PG64-22"</f>
        <v>قير  PG64-22</v>
      </c>
      <c r="L1771" s="1">
        <v>100</v>
      </c>
      <c r="M1771" s="1" t="str">
        <f>"مخازن قير اصفهان"</f>
        <v>مخازن قير اصفهان</v>
      </c>
      <c r="N1771" s="1">
        <v>11386</v>
      </c>
      <c r="O1771" s="1">
        <v>50035534</v>
      </c>
      <c r="P1771" s="1" t="str">
        <f>"  شاهين بناي دژ دشتروم"</f>
        <v xml:space="preserve">  شاهين بناي دژ دشتروم</v>
      </c>
      <c r="Q1771" s="1">
        <v>17</v>
      </c>
      <c r="R1771" s="1" t="str">
        <f>"فروش داخلي تهران - وزارت راه - راه روستايي - روکش"</f>
        <v>فروش داخلي تهران - وزارت راه - راه روستايي - روکش</v>
      </c>
      <c r="S1771" s="1" t="str">
        <f>"قرارداد فروش"</f>
        <v>قرارداد فروش</v>
      </c>
      <c r="T1771" s="1" t="str">
        <f>"ندارد"</f>
        <v>ندارد</v>
      </c>
      <c r="U1771" s="1" t="str">
        <f>"غلام نجفي سيامك‌‌‌‌‌‌(1881082)"</f>
        <v>غلام نجفي سيامك‌‌‌‌‌‌(1881082)</v>
      </c>
      <c r="V1771" s="1">
        <v>961700045</v>
      </c>
      <c r="W1771" s="1">
        <v>961700045</v>
      </c>
      <c r="X1771" s="1" t="str">
        <f>"1396502843"</f>
        <v>1396502843</v>
      </c>
      <c r="Y1771" s="1" t="str">
        <f>"96/05/15"</f>
        <v>96/05/15</v>
      </c>
      <c r="Z1771" s="1" t="str">
        <f>"22448/710"</f>
        <v>22448/710</v>
      </c>
      <c r="AA1771" s="1" t="str">
        <f>"راه روستائي -روكش"</f>
        <v>راه روستائي -روكش</v>
      </c>
      <c r="AB1771" s="1" t="str">
        <f>"96/05/11"</f>
        <v>96/05/11</v>
      </c>
      <c r="AC1771" s="1" t="str">
        <f>"كهكيلويه و بوير احمد"</f>
        <v>كهكيلويه و بوير احمد</v>
      </c>
      <c r="AD1771" s="1" t="str">
        <f>"96/05/15"</f>
        <v>96/05/15</v>
      </c>
      <c r="AE1771" s="1" t="str">
        <f>"اختتام"</f>
        <v>اختتام</v>
      </c>
      <c r="AF1771" s="1" t="str">
        <f>""</f>
        <v/>
      </c>
      <c r="AG1771" s="1" t="str">
        <f>""</f>
        <v/>
      </c>
      <c r="AH1771" s="1" t="str">
        <f>""</f>
        <v/>
      </c>
      <c r="AI1771" s="1" t="str">
        <f>""</f>
        <v/>
      </c>
      <c r="AJ1771" s="1" t="str">
        <f>""</f>
        <v/>
      </c>
      <c r="AK1771" s="1" t="str">
        <f>""</f>
        <v/>
      </c>
    </row>
    <row r="1772" spans="1:37">
      <c r="A1772" s="1">
        <v>1000000</v>
      </c>
      <c r="B1772" s="1">
        <v>961800037</v>
      </c>
      <c r="C1772" s="1" t="str">
        <f>"تخليه -يزدجاده فهرج -كارخانه آسفالت گسترنصريزد"</f>
        <v>تخليه -يزدجاده فهرج -كارخانه آسفالت گسترنصريزد</v>
      </c>
      <c r="D1772" s="1">
        <v>16350</v>
      </c>
      <c r="E1772" s="1">
        <v>999520</v>
      </c>
      <c r="F1772" s="1">
        <v>96</v>
      </c>
      <c r="G1772" s="1">
        <v>480</v>
      </c>
      <c r="H1772" s="1" t="str">
        <f>"96/06/21"</f>
        <v>96/06/21</v>
      </c>
      <c r="I1772" s="1" t="str">
        <f>"كيلوگرم"</f>
        <v>كيلوگرم</v>
      </c>
      <c r="J1772" s="1" t="str">
        <f>"0000000092"</f>
        <v>0000000092</v>
      </c>
      <c r="K1772" s="1" t="str">
        <f>"قير  PG64-16"</f>
        <v>قير  PG64-16</v>
      </c>
      <c r="L1772" s="1">
        <v>100</v>
      </c>
      <c r="M1772" s="1" t="str">
        <f>"مخازن قير اصفهان"</f>
        <v>مخازن قير اصفهان</v>
      </c>
      <c r="N1772" s="1">
        <v>1665</v>
      </c>
      <c r="O1772" s="1">
        <v>50035981</v>
      </c>
      <c r="P1772" s="1" t="str">
        <f>"  جهاد نصر يزد"</f>
        <v xml:space="preserve">  جهاد نصر يزد</v>
      </c>
      <c r="Q1772" s="1">
        <v>18</v>
      </c>
      <c r="R1772" s="1" t="str">
        <f>"فروش داخلي تهران - وزارت راه - شرکت ساخت و توسعه راهها"</f>
        <v>فروش داخلي تهران - وزارت راه - شرکت ساخت و توسعه راهها</v>
      </c>
      <c r="S1772" s="1" t="str">
        <f>"قرارداد فروش"</f>
        <v>قرارداد فروش</v>
      </c>
      <c r="T1772" s="1" t="str">
        <f>"ندارد"</f>
        <v>ندارد</v>
      </c>
      <c r="U1772" s="1" t="str">
        <f>"غلام نجفي سيامك‌‌‌‌‌‌(1881082)"</f>
        <v>غلام نجفي سيامك‌‌‌‌‌‌(1881082)</v>
      </c>
      <c r="V1772" s="1">
        <v>961800037</v>
      </c>
      <c r="W1772" s="1">
        <v>961800037</v>
      </c>
      <c r="X1772" s="1" t="str">
        <f>"1396511614"</f>
        <v>1396511614</v>
      </c>
      <c r="Y1772" s="1" t="str">
        <f>"96/06/21"</f>
        <v>96/06/21</v>
      </c>
      <c r="Z1772" s="1" t="str">
        <f>"29619/710"</f>
        <v>29619/710</v>
      </c>
      <c r="AA1772" s="1" t="str">
        <f>"شركت  ساخت وتوسعه راهها"</f>
        <v>شركت  ساخت وتوسعه راهها</v>
      </c>
      <c r="AB1772" s="1" t="str">
        <f>"96/06/15"</f>
        <v>96/06/15</v>
      </c>
      <c r="AC1772" s="1" t="str">
        <f>"استان يزد"</f>
        <v>استان يزد</v>
      </c>
      <c r="AD1772" s="1" t="str">
        <f>"96/06/21"</f>
        <v>96/06/21</v>
      </c>
      <c r="AE1772" s="1" t="str">
        <f>"اختتام"</f>
        <v>اختتام</v>
      </c>
      <c r="AF1772" s="1" t="str">
        <f>""</f>
        <v/>
      </c>
      <c r="AG1772" s="1" t="str">
        <f>""</f>
        <v/>
      </c>
      <c r="AH1772" s="1" t="str">
        <f>""</f>
        <v/>
      </c>
      <c r="AI1772" s="1" t="str">
        <f>""</f>
        <v/>
      </c>
      <c r="AJ1772" s="1" t="str">
        <f>""</f>
        <v/>
      </c>
      <c r="AK1772" s="1" t="str">
        <f>""</f>
        <v/>
      </c>
    </row>
    <row r="1773" spans="1:37">
      <c r="A1773" s="1">
        <v>43000</v>
      </c>
      <c r="B1773" s="1">
        <v>961700076</v>
      </c>
      <c r="C1773" s="1" t="str">
        <f>"تخليه -خراسان رضوي -كيلومتر15محورگناباد-فردوس -كارخانه آسفالت كيهان راه شرق"</f>
        <v>تخليه -خراسان رضوي -كيلومتر15محورگناباد-فردوس -كارخانه آسفالت كيهان راه شرق</v>
      </c>
      <c r="D1773" s="1">
        <v>9204</v>
      </c>
      <c r="E1773" s="1">
        <v>42420</v>
      </c>
      <c r="F1773" s="1">
        <v>96</v>
      </c>
      <c r="G1773" s="1">
        <v>580</v>
      </c>
      <c r="H1773" s="1" t="str">
        <f>"96/05/29"</f>
        <v>96/05/29</v>
      </c>
      <c r="I1773" s="1" t="str">
        <f>"كيلوگرم"</f>
        <v>كيلوگرم</v>
      </c>
      <c r="J1773" s="1" t="str">
        <f>"0000000092"</f>
        <v>0000000092</v>
      </c>
      <c r="K1773" s="1" t="str">
        <f>"قير  PG64-16"</f>
        <v>قير  PG64-16</v>
      </c>
      <c r="L1773" s="1">
        <v>100</v>
      </c>
      <c r="M1773" s="1" t="str">
        <f>"مخازن قير اصفهان"</f>
        <v>مخازن قير اصفهان</v>
      </c>
      <c r="N1773" s="1">
        <v>4026</v>
      </c>
      <c r="O1773" s="1">
        <v>50035755</v>
      </c>
      <c r="P1773" s="1" t="str">
        <f>"  اداره كل راه و شهرسازي خراسان رضوي"</f>
        <v xml:space="preserve">  اداره كل راه و شهرسازي خراسان رضوي</v>
      </c>
      <c r="Q1773" s="1">
        <v>17</v>
      </c>
      <c r="R1773" s="1" t="str">
        <f>"فروش داخلي تهران - وزارت راه - راه روستايي - روکش"</f>
        <v>فروش داخلي تهران - وزارت راه - راه روستايي - روکش</v>
      </c>
      <c r="S1773" s="1" t="str">
        <f>"قرارداد فروش"</f>
        <v>قرارداد فروش</v>
      </c>
      <c r="T1773" s="1" t="str">
        <f>"ندارد"</f>
        <v>ندارد</v>
      </c>
      <c r="U1773" s="1" t="str">
        <f>"نظام دوست امين (1911102)"</f>
        <v>نظام دوست امين (1911102)</v>
      </c>
      <c r="V1773" s="1">
        <v>961700076</v>
      </c>
      <c r="W1773" s="1">
        <v>961700076</v>
      </c>
      <c r="X1773" s="1" t="str">
        <f>"1396506626"</f>
        <v>1396506626</v>
      </c>
      <c r="Y1773" s="1" t="str">
        <f>"96/05/29"</f>
        <v>96/05/29</v>
      </c>
      <c r="Z1773" s="1" t="str">
        <f>"25524/710"</f>
        <v>25524/710</v>
      </c>
      <c r="AA1773" s="1" t="str">
        <f>"راه روستائي -روكش"</f>
        <v>راه روستائي -روكش</v>
      </c>
      <c r="AB1773" s="1" t="str">
        <f>"96/05/25"</f>
        <v>96/05/25</v>
      </c>
      <c r="AC1773" s="1" t="str">
        <f>"خراسان رضوي"</f>
        <v>خراسان رضوي</v>
      </c>
      <c r="AD1773" s="1" t="str">
        <f>"96/05/29"</f>
        <v>96/05/29</v>
      </c>
      <c r="AE1773" s="1" t="str">
        <f>"اختتام"</f>
        <v>اختتام</v>
      </c>
      <c r="AF1773" s="1" t="str">
        <f>""</f>
        <v/>
      </c>
      <c r="AG1773" s="1" t="str">
        <f>""</f>
        <v/>
      </c>
      <c r="AH1773" s="1" t="str">
        <f>""</f>
        <v/>
      </c>
      <c r="AI1773" s="1" t="str">
        <f>""</f>
        <v/>
      </c>
      <c r="AJ1773" s="1" t="str">
        <f>""</f>
        <v/>
      </c>
      <c r="AK1773" s="1" t="str">
        <f>""</f>
        <v/>
      </c>
    </row>
    <row r="1774" spans="1:37">
      <c r="A1774" s="1">
        <v>65000</v>
      </c>
      <c r="B1774" s="1">
        <v>961700084</v>
      </c>
      <c r="C1774" s="1" t="str">
        <f>"تخليه -خراسان رضوي -كيلومتر15محورگناباد-فردوس -كارخانه آسفالت كيهان راه شرق"</f>
        <v>تخليه -خراسان رضوي -كيلومتر15محورگناباد-فردوس -كارخانه آسفالت كيهان راه شرق</v>
      </c>
      <c r="D1774" s="1">
        <v>9716</v>
      </c>
      <c r="E1774" s="1">
        <v>64220</v>
      </c>
      <c r="F1774" s="1">
        <v>96</v>
      </c>
      <c r="G1774" s="1">
        <v>780</v>
      </c>
      <c r="H1774" s="1" t="str">
        <f>"96/06/05"</f>
        <v>96/06/05</v>
      </c>
      <c r="I1774" s="1" t="str">
        <f>"كيلوگرم"</f>
        <v>كيلوگرم</v>
      </c>
      <c r="J1774" s="1" t="str">
        <f>"0000000092"</f>
        <v>0000000092</v>
      </c>
      <c r="K1774" s="1" t="str">
        <f>"قير  PG64-16"</f>
        <v>قير  PG64-16</v>
      </c>
      <c r="L1774" s="1">
        <v>100</v>
      </c>
      <c r="M1774" s="1" t="str">
        <f>"مخازن قير اصفهان"</f>
        <v>مخازن قير اصفهان</v>
      </c>
      <c r="N1774" s="1">
        <v>4026</v>
      </c>
      <c r="O1774" s="1">
        <v>50035822</v>
      </c>
      <c r="P1774" s="1" t="str">
        <f>"  اداره كل راه و شهرسازي خراسان رضوي"</f>
        <v xml:space="preserve">  اداره كل راه و شهرسازي خراسان رضوي</v>
      </c>
      <c r="Q1774" s="1">
        <v>17</v>
      </c>
      <c r="R1774" s="1" t="str">
        <f>"فروش داخلي تهران - وزارت راه - راه روستايي - روکش"</f>
        <v>فروش داخلي تهران - وزارت راه - راه روستايي - روکش</v>
      </c>
      <c r="S1774" s="1" t="str">
        <f>"قرارداد فروش"</f>
        <v>قرارداد فروش</v>
      </c>
      <c r="T1774" s="1" t="str">
        <f>"ندارد"</f>
        <v>ندارد</v>
      </c>
      <c r="U1774" s="1" t="str">
        <f>"نظام دوست امين (1911102)"</f>
        <v>نظام دوست امين (1911102)</v>
      </c>
      <c r="V1774" s="1">
        <v>961700084</v>
      </c>
      <c r="W1774" s="1">
        <v>961700084</v>
      </c>
      <c r="X1774" s="1" t="str">
        <f>"1396508158"</f>
        <v>1396508158</v>
      </c>
      <c r="Y1774" s="1" t="str">
        <f>"96/06/05"</f>
        <v>96/06/05</v>
      </c>
      <c r="Z1774" s="1" t="str">
        <f>"26382/710"</f>
        <v>26382/710</v>
      </c>
      <c r="AA1774" s="1" t="str">
        <f>"راه روستائي -روكش"</f>
        <v>راه روستائي -روكش</v>
      </c>
      <c r="AB1774" s="1" t="str">
        <f>"96/05/30"</f>
        <v>96/05/30</v>
      </c>
      <c r="AC1774" s="1" t="str">
        <f>"خراسان رضوي"</f>
        <v>خراسان رضوي</v>
      </c>
      <c r="AD1774" s="1" t="str">
        <f>"96/06/05"</f>
        <v>96/06/05</v>
      </c>
      <c r="AE1774" s="1" t="str">
        <f>"اختتام"</f>
        <v>اختتام</v>
      </c>
      <c r="AF1774" s="1" t="str">
        <f>""</f>
        <v/>
      </c>
      <c r="AG1774" s="1" t="str">
        <f>""</f>
        <v/>
      </c>
      <c r="AH1774" s="1" t="str">
        <f>""</f>
        <v/>
      </c>
      <c r="AI1774" s="1" t="str">
        <f>""</f>
        <v/>
      </c>
      <c r="AJ1774" s="1" t="str">
        <f>""</f>
        <v/>
      </c>
      <c r="AK1774" s="1" t="str">
        <f>""</f>
        <v/>
      </c>
    </row>
    <row r="1775" spans="1:37">
      <c r="A1775" s="1">
        <v>110000</v>
      </c>
      <c r="B1775" s="1">
        <v>961700262</v>
      </c>
      <c r="C1775" s="1" t="str">
        <f>"تخليه -خراسان رضوي -شهرستان باخرز-كارخانه آسفالت شهرداري باخرز"</f>
        <v>تخليه -خراسان رضوي -شهرستان باخرز-كارخانه آسفالت شهرداري باخرز</v>
      </c>
      <c r="D1775" s="1">
        <v>13100</v>
      </c>
      <c r="E1775" s="1">
        <v>109280</v>
      </c>
      <c r="F1775" s="1">
        <v>96</v>
      </c>
      <c r="G1775" s="1">
        <v>720</v>
      </c>
      <c r="H1775" s="1" t="str">
        <f>"96/12/27"</f>
        <v>96/12/27</v>
      </c>
      <c r="I1775" s="1" t="str">
        <f>"كيلوگرم"</f>
        <v>كيلوگرم</v>
      </c>
      <c r="J1775" s="1" t="str">
        <f>"0000000092"</f>
        <v>0000000092</v>
      </c>
      <c r="K1775" s="1" t="str">
        <f>"قير  PG64-16"</f>
        <v>قير  PG64-16</v>
      </c>
      <c r="L1775" s="1">
        <v>100</v>
      </c>
      <c r="M1775" s="1" t="str">
        <f>"مخازن قير اصفهان"</f>
        <v>مخازن قير اصفهان</v>
      </c>
      <c r="N1775" s="1">
        <v>4026</v>
      </c>
      <c r="O1775" s="1">
        <v>50039144</v>
      </c>
      <c r="P1775" s="1" t="str">
        <f>"  اداره كل راه و شهرسازي خراسان رضوي"</f>
        <v xml:space="preserve">  اداره كل راه و شهرسازي خراسان رضوي</v>
      </c>
      <c r="Q1775" s="1">
        <v>17</v>
      </c>
      <c r="R1775" s="1" t="str">
        <f>"فروش داخلي تهران - وزارت راه - راه روستايي - روکش"</f>
        <v>فروش داخلي تهران - وزارت راه - راه روستايي - روکش</v>
      </c>
      <c r="S1775" s="1" t="str">
        <f>"قرارداد فروش"</f>
        <v>قرارداد فروش</v>
      </c>
      <c r="T1775" s="1" t="str">
        <f>"ندارد"</f>
        <v>ندارد</v>
      </c>
      <c r="U1775" s="1" t="str">
        <f>"نظام دوست امين (1911102)"</f>
        <v>نظام دوست امين (1911102)</v>
      </c>
      <c r="V1775" s="1">
        <v>961700262</v>
      </c>
      <c r="W1775" s="1">
        <v>961700262</v>
      </c>
      <c r="X1775" s="1" t="str">
        <f>"1396555472"</f>
        <v>1396555472</v>
      </c>
      <c r="Y1775" s="1" t="str">
        <f>"96/12/27"</f>
        <v>96/12/27</v>
      </c>
      <c r="Z1775" s="1" t="str">
        <f>"300886/870"</f>
        <v>300886/870</v>
      </c>
      <c r="AA1775" s="1" t="str">
        <f>"راه روستائي -روكش"</f>
        <v>راه روستائي -روكش</v>
      </c>
      <c r="AB1775" s="1" t="str">
        <f>"96/12/26"</f>
        <v>96/12/26</v>
      </c>
      <c r="AC1775" s="1" t="str">
        <f>"خراسان رضوي"</f>
        <v>خراسان رضوي</v>
      </c>
      <c r="AD1775" s="1" t="str">
        <f>"96/12/27"</f>
        <v>96/12/27</v>
      </c>
      <c r="AE1775" s="1" t="str">
        <f>"اختتام"</f>
        <v>اختتام</v>
      </c>
      <c r="AF1775" s="1" t="str">
        <f>""</f>
        <v/>
      </c>
      <c r="AG1775" s="1" t="str">
        <f>""</f>
        <v/>
      </c>
      <c r="AH1775" s="1" t="str">
        <f>""</f>
        <v/>
      </c>
      <c r="AI1775" s="1" t="str">
        <f>""</f>
        <v/>
      </c>
      <c r="AJ1775" s="1" t="str">
        <f>""</f>
        <v/>
      </c>
      <c r="AK1775" s="1" t="str">
        <f>""</f>
        <v/>
      </c>
    </row>
    <row r="1776" spans="1:37">
      <c r="A1776" s="1">
        <v>2000000</v>
      </c>
      <c r="B1776" s="1">
        <v>961900138</v>
      </c>
      <c r="C1776" s="1" t="str">
        <f>"تخليه - مرکزي-بهسازي وروكش آسفالت آزاده راه ساوه -سلفچگان کارخانه آسفالت شرکت شالوده"</f>
        <v>تخليه - مرکزي-بهسازي وروكش آسفالت آزاده راه ساوه -سلفچگان کارخانه آسفالت شرکت شالوده</v>
      </c>
      <c r="D1776" s="1">
        <v>13600</v>
      </c>
      <c r="E1776" s="1">
        <v>1998920</v>
      </c>
      <c r="F1776" s="1">
        <v>96</v>
      </c>
      <c r="G1776" s="1">
        <v>1080</v>
      </c>
      <c r="H1776" s="1" t="str">
        <f>"96/06/19"</f>
        <v>96/06/19</v>
      </c>
      <c r="I1776" s="1" t="str">
        <f>"كيلوگرم"</f>
        <v>كيلوگرم</v>
      </c>
      <c r="J1776" s="1" t="str">
        <f>"0000000092"</f>
        <v>0000000092</v>
      </c>
      <c r="K1776" s="1" t="str">
        <f>"قير  PG64-16"</f>
        <v>قير  PG64-16</v>
      </c>
      <c r="L1776" s="1">
        <v>100</v>
      </c>
      <c r="M1776" s="1" t="str">
        <f>"مخازن قير اصفهان"</f>
        <v>مخازن قير اصفهان</v>
      </c>
      <c r="N1776" s="1">
        <v>8079</v>
      </c>
      <c r="O1776" s="1">
        <v>50035941</v>
      </c>
      <c r="P1776" s="1" t="str">
        <f>"  سازمان راهداري وحمل و نقل جاده اي"</f>
        <v xml:space="preserve">  سازمان راهداري وحمل و نقل جاده اي</v>
      </c>
      <c r="Q1776" s="1">
        <v>19</v>
      </c>
      <c r="R177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776" s="1" t="str">
        <f>"قرارداد فروش"</f>
        <v>قرارداد فروش</v>
      </c>
      <c r="T1776" s="1" t="str">
        <f>"ندارد"</f>
        <v>ندارد</v>
      </c>
      <c r="U1776" s="1" t="str">
        <f>"فتاح زاده سيداحمد(3843011)"</f>
        <v>فتاح زاده سيداحمد(3843011)</v>
      </c>
      <c r="V1776" s="1">
        <v>961900138</v>
      </c>
      <c r="W1776" s="1">
        <v>961900138</v>
      </c>
      <c r="X1776" s="1" t="str">
        <f>"1396511138"</f>
        <v>1396511138</v>
      </c>
      <c r="Y1776" s="1" t="str">
        <f>"96/06/19"</f>
        <v>96/06/19</v>
      </c>
      <c r="Z1776" s="1" t="str">
        <f>"29396/710"</f>
        <v>29396/710</v>
      </c>
      <c r="AA1776" s="1" t="str">
        <f>"سازمان راهداري وحمل نقل جاده اي"</f>
        <v>سازمان راهداري وحمل نقل جاده اي</v>
      </c>
      <c r="AB1776" s="1" t="str">
        <f>"96/06/14"</f>
        <v>96/06/14</v>
      </c>
      <c r="AC1776" s="1" t="str">
        <f>"استان تهران"</f>
        <v>استان تهران</v>
      </c>
      <c r="AD1776" s="1" t="str">
        <f>"96/06/19"</f>
        <v>96/06/19</v>
      </c>
      <c r="AE1776" s="1" t="str">
        <f>"اختتام"</f>
        <v>اختتام</v>
      </c>
      <c r="AF1776" s="1" t="str">
        <f>""</f>
        <v/>
      </c>
      <c r="AG1776" s="1" t="str">
        <f>""</f>
        <v/>
      </c>
      <c r="AH1776" s="1" t="str">
        <f>""</f>
        <v/>
      </c>
      <c r="AI1776" s="1" t="str">
        <f>""</f>
        <v/>
      </c>
      <c r="AJ1776" s="1" t="str">
        <f>""</f>
        <v/>
      </c>
      <c r="AK1776" s="1" t="str">
        <f>""</f>
        <v/>
      </c>
    </row>
    <row r="1777" spans="1:37">
      <c r="A1777" s="1">
        <v>350000</v>
      </c>
      <c r="B1777" s="1">
        <v>966100011</v>
      </c>
      <c r="C1777" s="1" t="str">
        <f>"تخليه - اصفهان -کارخانه شرکت گل راه نقش جهان"</f>
        <v>تخليه - اصفهان -کارخانه شرکت گل راه نقش جهان</v>
      </c>
      <c r="D1777" s="1">
        <v>9204</v>
      </c>
      <c r="E1777" s="1">
        <v>350000</v>
      </c>
      <c r="F1777" s="1">
        <v>96</v>
      </c>
      <c r="G1777" s="1">
        <v>0</v>
      </c>
      <c r="H1777" s="1" t="str">
        <f>"96/06/07"</f>
        <v>96/06/07</v>
      </c>
      <c r="I1777" s="1" t="str">
        <f>"كيلوگرم"</f>
        <v>كيلوگرم</v>
      </c>
      <c r="J1777" s="1" t="str">
        <f>"0000000092"</f>
        <v>0000000092</v>
      </c>
      <c r="K1777" s="1" t="str">
        <f>"قير  PG64-16"</f>
        <v>قير  PG64-16</v>
      </c>
      <c r="L1777" s="1">
        <v>100</v>
      </c>
      <c r="M1777" s="1" t="str">
        <f>"مخازن قير اصفهان"</f>
        <v>مخازن قير اصفهان</v>
      </c>
      <c r="N1777" s="1">
        <v>8091</v>
      </c>
      <c r="O1777" s="1">
        <v>50035860</v>
      </c>
      <c r="P1777" s="1" t="str">
        <f>"  اداره كل راه وشهرسازي اصفهان"</f>
        <v xml:space="preserve">  اداره كل راه وشهرسازي اصفهان</v>
      </c>
      <c r="Q1777" s="1">
        <v>61</v>
      </c>
      <c r="R1777" s="1" t="str">
        <f>"فروش داخلي - وزارت راه - مسكن مهر"</f>
        <v>فروش داخلي - وزارت راه - مسكن مهر</v>
      </c>
      <c r="S1777" s="1" t="str">
        <f>"قرارداد فروش"</f>
        <v>قرارداد فروش</v>
      </c>
      <c r="T1777" s="1" t="str">
        <f>"ندارد"</f>
        <v>ندارد</v>
      </c>
      <c r="U1777" s="1" t="str">
        <f>"علي عابدي ابوالقاسم(1003ج89)"</f>
        <v>علي عابدي ابوالقاسم(1003ج89)</v>
      </c>
      <c r="V1777" s="1">
        <v>966100011</v>
      </c>
      <c r="W1777" s="1">
        <v>966100011</v>
      </c>
      <c r="X1777" s="1" t="str">
        <f>"1396508614"</f>
        <v>1396508614</v>
      </c>
      <c r="Y1777" s="1" t="str">
        <f>"96/06/07"</f>
        <v>96/06/07</v>
      </c>
      <c r="Z1777" s="1" t="str">
        <f>"27655/710"</f>
        <v>27655/710</v>
      </c>
      <c r="AA1777" s="1" t="str">
        <f>"مسكن مهر-وزارت راه"</f>
        <v>مسكن مهر-وزارت راه</v>
      </c>
      <c r="AB1777" s="1" t="str">
        <f>"96/06/06"</f>
        <v>96/06/06</v>
      </c>
      <c r="AC1777" s="1" t="str">
        <f>"استان اصفهان"</f>
        <v>استان اصفهان</v>
      </c>
      <c r="AD1777" s="1" t="str">
        <f>"96/06/07"</f>
        <v>96/06/07</v>
      </c>
      <c r="AE1777" s="1" t="str">
        <f>"اختتام"</f>
        <v>اختتام</v>
      </c>
      <c r="AF1777" s="1" t="str">
        <f>""</f>
        <v/>
      </c>
      <c r="AG1777" s="1" t="str">
        <f>""</f>
        <v/>
      </c>
      <c r="AH1777" s="1" t="str">
        <f>""</f>
        <v/>
      </c>
      <c r="AI1777" s="1" t="str">
        <f>""</f>
        <v/>
      </c>
      <c r="AJ1777" s="1" t="str">
        <f>""</f>
        <v/>
      </c>
      <c r="AK1777" s="1" t="str">
        <f>""</f>
        <v/>
      </c>
    </row>
    <row r="1778" spans="1:37">
      <c r="A1778" s="1">
        <v>39000</v>
      </c>
      <c r="B1778" s="1">
        <v>961700182</v>
      </c>
      <c r="C1778" s="1" t="str">
        <f>"تخليه -پروژه ايمن سازي محورعبوري امامزاده شهربادرودكيلومتر5جاده گلاب آباد-كارخانه آسفالت ايران مترو"</f>
        <v>تخليه -پروژه ايمن سازي محورعبوري امامزاده شهربادرودكيلومتر5جاده گلاب آباد-كارخانه آسفالت ايران مترو</v>
      </c>
      <c r="D1778" s="1">
        <v>14000</v>
      </c>
      <c r="E1778" s="1">
        <v>36600</v>
      </c>
      <c r="F1778" s="1">
        <v>96</v>
      </c>
      <c r="G1778" s="1">
        <v>2400</v>
      </c>
      <c r="H1778" s="1" t="str">
        <f>"96/12/21"</f>
        <v>96/12/21</v>
      </c>
      <c r="I1778" s="1" t="str">
        <f>"كيلوگرم"</f>
        <v>كيلوگرم</v>
      </c>
      <c r="J1778" s="1" t="str">
        <f>"0000000092"</f>
        <v>0000000092</v>
      </c>
      <c r="K1778" s="1" t="str">
        <f>"قير  PG64-16"</f>
        <v>قير  PG64-16</v>
      </c>
      <c r="L1778" s="1">
        <v>100</v>
      </c>
      <c r="M1778" s="1" t="str">
        <f>"مخازن قير اصفهان"</f>
        <v>مخازن قير اصفهان</v>
      </c>
      <c r="N1778" s="1">
        <v>8091</v>
      </c>
      <c r="O1778" s="1">
        <v>50038895</v>
      </c>
      <c r="P1778" s="1" t="str">
        <f>"  اداره كل راه وشهرسازي اصفهان"</f>
        <v xml:space="preserve">  اداره كل راه وشهرسازي اصفهان</v>
      </c>
      <c r="Q1778" s="1">
        <v>17</v>
      </c>
      <c r="R1778" s="1" t="str">
        <f>"فروش داخلي تهران - وزارت راه - راه روستايي - روکش"</f>
        <v>فروش داخلي تهران - وزارت راه - راه روستايي - روکش</v>
      </c>
      <c r="S1778" s="1" t="str">
        <f>"قرارداد فروش"</f>
        <v>قرارداد فروش</v>
      </c>
      <c r="T1778" s="1" t="str">
        <f>"ندارد"</f>
        <v>ندارد</v>
      </c>
      <c r="U1778" s="1" t="str">
        <f>"عزيزي صفر(1006ج 89)"</f>
        <v>عزيزي صفر(1006ج 89)</v>
      </c>
      <c r="V1778" s="1">
        <v>961700182</v>
      </c>
      <c r="W1778" s="1">
        <v>961700182</v>
      </c>
      <c r="X1778" s="1" t="str">
        <f>"1396553913"</f>
        <v>1396553913</v>
      </c>
      <c r="Y1778" s="1" t="str">
        <f>"96/12/21"</f>
        <v>96/12/21</v>
      </c>
      <c r="Z1778" s="1" t="str">
        <f>"284693/710"</f>
        <v>284693/710</v>
      </c>
      <c r="AA1778" s="1" t="str">
        <f>"راه روستائي -روكش"</f>
        <v>راه روستائي -روكش</v>
      </c>
      <c r="AB1778" s="1" t="str">
        <f>"96/11/18"</f>
        <v>96/11/18</v>
      </c>
      <c r="AC1778" s="1" t="str">
        <f>"استان اصفهان"</f>
        <v>استان اصفهان</v>
      </c>
      <c r="AD1778" s="1" t="str">
        <f>"96/12/21"</f>
        <v>96/12/21</v>
      </c>
      <c r="AE1778" s="1" t="str">
        <f>"اختتام"</f>
        <v>اختتام</v>
      </c>
      <c r="AF1778" s="1" t="str">
        <f>""</f>
        <v/>
      </c>
      <c r="AG1778" s="1" t="str">
        <f>""</f>
        <v/>
      </c>
      <c r="AH1778" s="1" t="str">
        <f>""</f>
        <v/>
      </c>
      <c r="AI1778" s="1" t="str">
        <f>""</f>
        <v/>
      </c>
      <c r="AJ1778" s="1" t="str">
        <f>""</f>
        <v/>
      </c>
      <c r="AK1778" s="1" t="str">
        <f>""</f>
        <v/>
      </c>
    </row>
    <row r="1779" spans="1:37">
      <c r="A1779" s="1">
        <v>145000</v>
      </c>
      <c r="B1779" s="1">
        <v>961700189</v>
      </c>
      <c r="C1779" s="1" t="str">
        <f>"تخليه - اصفهان -کارخانه شرکت گل راه نقش جهان"</f>
        <v>تخليه - اصفهان -کارخانه شرکت گل راه نقش جهان</v>
      </c>
      <c r="D1779" s="1">
        <v>14000</v>
      </c>
      <c r="E1779" s="1">
        <v>145000</v>
      </c>
      <c r="F1779" s="1">
        <v>96</v>
      </c>
      <c r="G1779" s="1">
        <v>0</v>
      </c>
      <c r="H1779" s="1" t="str">
        <f>"96/12/22"</f>
        <v>96/12/22</v>
      </c>
      <c r="I1779" s="1" t="str">
        <f>"كيلوگرم"</f>
        <v>كيلوگرم</v>
      </c>
      <c r="J1779" s="1" t="str">
        <f>"0000000092"</f>
        <v>0000000092</v>
      </c>
      <c r="K1779" s="1" t="str">
        <f>"قير  PG64-16"</f>
        <v>قير  PG64-16</v>
      </c>
      <c r="L1779" s="1">
        <v>100</v>
      </c>
      <c r="M1779" s="1" t="str">
        <f>"مخازن قير اصفهان"</f>
        <v>مخازن قير اصفهان</v>
      </c>
      <c r="N1779" s="1">
        <v>8091</v>
      </c>
      <c r="O1779" s="1">
        <v>50038914</v>
      </c>
      <c r="P1779" s="1" t="str">
        <f>"  اداره كل راه وشهرسازي اصفهان"</f>
        <v xml:space="preserve">  اداره كل راه وشهرسازي اصفهان</v>
      </c>
      <c r="Q1779" s="1">
        <v>17</v>
      </c>
      <c r="R1779" s="1" t="str">
        <f>"فروش داخلي تهران - وزارت راه - راه روستايي - روکش"</f>
        <v>فروش داخلي تهران - وزارت راه - راه روستايي - روکش</v>
      </c>
      <c r="S1779" s="1" t="str">
        <f>"قرارداد فروش"</f>
        <v>قرارداد فروش</v>
      </c>
      <c r="T1779" s="1" t="str">
        <f>"ندارد"</f>
        <v>ندارد</v>
      </c>
      <c r="U1779" s="1" t="str">
        <f>"علي عابدي ابوالقاسم(1003ج89)"</f>
        <v>علي عابدي ابوالقاسم(1003ج89)</v>
      </c>
      <c r="V1779" s="1">
        <v>961700189</v>
      </c>
      <c r="W1779" s="1">
        <v>961700189</v>
      </c>
      <c r="X1779" s="1" t="str">
        <f>"1396553913"</f>
        <v>1396553913</v>
      </c>
      <c r="Y1779" s="1" t="str">
        <f>"96/12/22"</f>
        <v>96/12/22</v>
      </c>
      <c r="Z1779" s="1" t="str">
        <f>"284095/710"</f>
        <v>284095/710</v>
      </c>
      <c r="AA1779" s="1" t="str">
        <f>"راه روستائي -روكش"</f>
        <v>راه روستائي -روكش</v>
      </c>
      <c r="AB1779" s="1" t="str">
        <f>"96/11/17"</f>
        <v>96/11/17</v>
      </c>
      <c r="AC1779" s="1" t="str">
        <f>"استان اصفهان"</f>
        <v>استان اصفهان</v>
      </c>
      <c r="AD1779" s="1" t="str">
        <f>"96/12/20"</f>
        <v>96/12/20</v>
      </c>
      <c r="AE1779" s="1" t="str">
        <f>"اختتام"</f>
        <v>اختتام</v>
      </c>
      <c r="AF1779" s="1" t="str">
        <f>""</f>
        <v/>
      </c>
      <c r="AG1779" s="1" t="str">
        <f>""</f>
        <v/>
      </c>
      <c r="AH1779" s="1" t="str">
        <f>""</f>
        <v/>
      </c>
      <c r="AI1779" s="1" t="str">
        <f>""</f>
        <v/>
      </c>
      <c r="AJ1779" s="1" t="str">
        <f>""</f>
        <v/>
      </c>
      <c r="AK1779" s="1" t="str">
        <f>""</f>
        <v/>
      </c>
    </row>
    <row r="1780" spans="1:37">
      <c r="A1780" s="1">
        <v>67000</v>
      </c>
      <c r="B1780" s="1">
        <v>961700197</v>
      </c>
      <c r="C1780" s="1" t="str">
        <f>"تخليه - اصفهان -کارخانه شرکت گل راه نقش جهان"</f>
        <v>تخليه - اصفهان -کارخانه شرکت گل راه نقش جهان</v>
      </c>
      <c r="D1780" s="1">
        <v>13100</v>
      </c>
      <c r="E1780" s="1">
        <v>67000</v>
      </c>
      <c r="F1780" s="1">
        <v>96</v>
      </c>
      <c r="G1780" s="1">
        <v>0</v>
      </c>
      <c r="H1780" s="1" t="str">
        <f>"96/12/23"</f>
        <v>96/12/23</v>
      </c>
      <c r="I1780" s="1" t="str">
        <f>"كيلوگرم"</f>
        <v>كيلوگرم</v>
      </c>
      <c r="J1780" s="1" t="str">
        <f>"0000000092"</f>
        <v>0000000092</v>
      </c>
      <c r="K1780" s="1" t="str">
        <f>"قير  PG64-16"</f>
        <v>قير  PG64-16</v>
      </c>
      <c r="L1780" s="1">
        <v>100</v>
      </c>
      <c r="M1780" s="1" t="str">
        <f>"مخازن قير اصفهان"</f>
        <v>مخازن قير اصفهان</v>
      </c>
      <c r="N1780" s="1">
        <v>8091</v>
      </c>
      <c r="O1780" s="1">
        <v>50038932</v>
      </c>
      <c r="P1780" s="1" t="str">
        <f>"  اداره كل راه وشهرسازي اصفهان"</f>
        <v xml:space="preserve">  اداره كل راه وشهرسازي اصفهان</v>
      </c>
      <c r="Q1780" s="1">
        <v>17</v>
      </c>
      <c r="R1780" s="1" t="str">
        <f>"فروش داخلي تهران - وزارت راه - راه روستايي - روکش"</f>
        <v>فروش داخلي تهران - وزارت راه - راه روستايي - روکش</v>
      </c>
      <c r="S1780" s="1" t="str">
        <f>"قرارداد فروش"</f>
        <v>قرارداد فروش</v>
      </c>
      <c r="T1780" s="1" t="str">
        <f>"ندارد"</f>
        <v>ندارد</v>
      </c>
      <c r="U1780" s="1" t="str">
        <f>"علي عابدي ابوالقاسم(1003ج89)"</f>
        <v>علي عابدي ابوالقاسم(1003ج89)</v>
      </c>
      <c r="V1780" s="1">
        <v>961700197</v>
      </c>
      <c r="W1780" s="1">
        <v>961700197</v>
      </c>
      <c r="X1780" s="1" t="str">
        <f>"1396553913"</f>
        <v>1396553913</v>
      </c>
      <c r="Y1780" s="1" t="str">
        <f>"96/12/23"</f>
        <v>96/12/23</v>
      </c>
      <c r="Z1780" s="1" t="str">
        <f>"28697910/710"</f>
        <v>28697910/710</v>
      </c>
      <c r="AA1780" s="1" t="str">
        <f>"راه روستائي -روكش"</f>
        <v>راه روستائي -روكش</v>
      </c>
      <c r="AB1780" s="1" t="str">
        <f>"96/11/25"</f>
        <v>96/11/25</v>
      </c>
      <c r="AC1780" s="1" t="str">
        <f>"استان اصفهان"</f>
        <v>استان اصفهان</v>
      </c>
      <c r="AD1780" s="1" t="str">
        <f>"96/12/20"</f>
        <v>96/12/20</v>
      </c>
      <c r="AE1780" s="1" t="str">
        <f>"اختتام"</f>
        <v>اختتام</v>
      </c>
      <c r="AF1780" s="1" t="str">
        <f>""</f>
        <v/>
      </c>
      <c r="AG1780" s="1" t="str">
        <f>""</f>
        <v/>
      </c>
      <c r="AH1780" s="1" t="str">
        <f>""</f>
        <v/>
      </c>
      <c r="AI1780" s="1" t="str">
        <f>""</f>
        <v/>
      </c>
      <c r="AJ1780" s="1" t="str">
        <f>""</f>
        <v/>
      </c>
      <c r="AK1780" s="1" t="str">
        <f>""</f>
        <v/>
      </c>
    </row>
    <row r="1781" spans="1:37">
      <c r="A1781" s="1">
        <v>158000</v>
      </c>
      <c r="B1781" s="1">
        <v>961700256</v>
      </c>
      <c r="C1781" s="1" t="str">
        <f>"تخليه -اصفهان -كيلومتر30اصفهان -زرين شهر-كارخانه آسفالت زرين سپاهان"</f>
        <v>تخليه -اصفهان -كيلومتر30اصفهان -زرين شهر-كارخانه آسفالت زرين سپاهان</v>
      </c>
      <c r="D1781" s="1">
        <v>13100</v>
      </c>
      <c r="E1781" s="1">
        <v>156200</v>
      </c>
      <c r="F1781" s="1">
        <v>96</v>
      </c>
      <c r="G1781" s="1">
        <v>1800</v>
      </c>
      <c r="H1781" s="1" t="str">
        <f>"96/12/26"</f>
        <v>96/12/26</v>
      </c>
      <c r="I1781" s="1" t="str">
        <f>"كيلوگرم"</f>
        <v>كيلوگرم</v>
      </c>
      <c r="J1781" s="1" t="str">
        <f>"0000000092"</f>
        <v>0000000092</v>
      </c>
      <c r="K1781" s="1" t="str">
        <f>"قير  PG64-16"</f>
        <v>قير  PG64-16</v>
      </c>
      <c r="L1781" s="1">
        <v>100</v>
      </c>
      <c r="M1781" s="1" t="str">
        <f>"مخازن قير اصفهان"</f>
        <v>مخازن قير اصفهان</v>
      </c>
      <c r="N1781" s="1">
        <v>8091</v>
      </c>
      <c r="O1781" s="1">
        <v>50039057</v>
      </c>
      <c r="P1781" s="1" t="str">
        <f>"  اداره كل راه وشهرسازي اصفهان"</f>
        <v xml:space="preserve">  اداره كل راه وشهرسازي اصفهان</v>
      </c>
      <c r="Q1781" s="1">
        <v>17</v>
      </c>
      <c r="R1781" s="1" t="str">
        <f>"فروش داخلي تهران - وزارت راه - راه روستايي - روکش"</f>
        <v>فروش داخلي تهران - وزارت راه - راه روستايي - روکش</v>
      </c>
      <c r="S1781" s="1" t="str">
        <f>"قرارداد فروش"</f>
        <v>قرارداد فروش</v>
      </c>
      <c r="T1781" s="1" t="str">
        <f>"ندارد"</f>
        <v>ندارد</v>
      </c>
      <c r="U1781" s="1" t="str">
        <f>"مرادي نجاتعلي(1020ج89)"</f>
        <v>مرادي نجاتعلي(1020ج89)</v>
      </c>
      <c r="V1781" s="1">
        <v>961700256</v>
      </c>
      <c r="W1781" s="1">
        <v>961700256</v>
      </c>
      <c r="X1781" s="1" t="str">
        <f>"1396553913"</f>
        <v>1396553913</v>
      </c>
      <c r="Y1781" s="1" t="str">
        <f>"96/12/26"</f>
        <v>96/12/26</v>
      </c>
      <c r="Z1781" s="1" t="str">
        <f>"286640/710"</f>
        <v>286640/710</v>
      </c>
      <c r="AA1781" s="1" t="str">
        <f>"راه روستائي -روكش"</f>
        <v>راه روستائي -روكش</v>
      </c>
      <c r="AB1781" s="1" t="str">
        <f>"96/11/25"</f>
        <v>96/11/25</v>
      </c>
      <c r="AC1781" s="1" t="str">
        <f>"استان اصفهان"</f>
        <v>استان اصفهان</v>
      </c>
      <c r="AD1781" s="1" t="str">
        <f>"96/12/20"</f>
        <v>96/12/20</v>
      </c>
      <c r="AE1781" s="1" t="str">
        <f>"اختتام"</f>
        <v>اختتام</v>
      </c>
      <c r="AF1781" s="1" t="str">
        <f>""</f>
        <v/>
      </c>
      <c r="AG1781" s="1" t="str">
        <f>""</f>
        <v/>
      </c>
      <c r="AH1781" s="1" t="str">
        <f>""</f>
        <v/>
      </c>
      <c r="AI1781" s="1" t="str">
        <f>""</f>
        <v/>
      </c>
      <c r="AJ1781" s="1" t="str">
        <f>""</f>
        <v/>
      </c>
      <c r="AK1781" s="1" t="str">
        <f>""</f>
        <v/>
      </c>
    </row>
    <row r="1782" spans="1:37">
      <c r="A1782" s="1">
        <v>1341000</v>
      </c>
      <c r="B1782" s="1">
        <v>966100003</v>
      </c>
      <c r="C1782" s="1" t="str">
        <f>"تخليه - ايلام-مخازن سازمان همياري شهرداريهاي استان ايلام"</f>
        <v>تخليه - ايلام-مخازن سازمان همياري شهرداريهاي استان ايلام</v>
      </c>
      <c r="D1782" s="1">
        <v>9354</v>
      </c>
      <c r="E1782" s="1">
        <v>1338940</v>
      </c>
      <c r="F1782" s="1">
        <v>96</v>
      </c>
      <c r="G1782" s="1">
        <v>2060</v>
      </c>
      <c r="H1782" s="1" t="str">
        <f>"96/02/12"</f>
        <v>96/02/12</v>
      </c>
      <c r="I1782" s="1" t="str">
        <f>"كيلوگرم"</f>
        <v>كيلوگرم</v>
      </c>
      <c r="J1782" s="1" t="str">
        <f>"0000000092"</f>
        <v>0000000092</v>
      </c>
      <c r="K1782" s="1" t="str">
        <f>"قير  PG64-16"</f>
        <v>قير  PG64-16</v>
      </c>
      <c r="L1782" s="1">
        <v>100</v>
      </c>
      <c r="M1782" s="1" t="str">
        <f>"مخازن قير اصفهان"</f>
        <v>مخازن قير اصفهان</v>
      </c>
      <c r="N1782" s="1">
        <v>8353</v>
      </c>
      <c r="O1782" s="1">
        <v>50034744</v>
      </c>
      <c r="P1782" s="1" t="str">
        <f>"  اداره كل راه و شهرسازي  ايلام"</f>
        <v xml:space="preserve">  اداره كل راه و شهرسازي  ايلام</v>
      </c>
      <c r="Q1782" s="1">
        <v>61</v>
      </c>
      <c r="R1782" s="1" t="str">
        <f>"فروش داخلي - وزارت راه - مسكن مهر"</f>
        <v>فروش داخلي - وزارت راه - مسكن مهر</v>
      </c>
      <c r="S1782" s="1" t="str">
        <f>"قرارداد فروش"</f>
        <v>قرارداد فروش</v>
      </c>
      <c r="T1782" s="1" t="str">
        <f>"ندارد"</f>
        <v>ندارد</v>
      </c>
      <c r="U1782" s="1" t="str">
        <f>"دشت بشي پودنگ وبرادران رضا(4844014)"</f>
        <v>دشت بشي پودنگ وبرادران رضا(4844014)</v>
      </c>
      <c r="V1782" s="1">
        <v>966100003</v>
      </c>
      <c r="W1782" s="1">
        <v>966100003</v>
      </c>
      <c r="X1782" s="1" t="str">
        <f>"1396477690"</f>
        <v>1396477690</v>
      </c>
      <c r="Y1782" s="1" t="str">
        <f>"96/02/12"</f>
        <v>96/02/12</v>
      </c>
      <c r="Z1782" s="1" t="str">
        <f>"67374/710"</f>
        <v>67374/710</v>
      </c>
      <c r="AA1782" s="1" t="str">
        <f>"مسكن مهر-وزارت راه"</f>
        <v>مسكن مهر-وزارت راه</v>
      </c>
      <c r="AB1782" s="1" t="str">
        <f>"95/12/28"</f>
        <v>95/12/28</v>
      </c>
      <c r="AC1782" s="1" t="str">
        <f>"استان ايلام"</f>
        <v>استان ايلام</v>
      </c>
      <c r="AD1782" s="1" t="str">
        <f>"96/02/10"</f>
        <v>96/02/10</v>
      </c>
      <c r="AE1782" s="1" t="str">
        <f>"اختتام"</f>
        <v>اختتام</v>
      </c>
      <c r="AF1782" s="1" t="str">
        <f>""</f>
        <v/>
      </c>
      <c r="AG1782" s="1" t="str">
        <f>""</f>
        <v/>
      </c>
      <c r="AH1782" s="1" t="str">
        <f>""</f>
        <v/>
      </c>
      <c r="AI1782" s="1" t="str">
        <f>""</f>
        <v/>
      </c>
      <c r="AJ1782" s="1" t="str">
        <f>""</f>
        <v/>
      </c>
      <c r="AK1782" s="1" t="str">
        <f>""</f>
        <v/>
      </c>
    </row>
    <row r="1783" spans="1:37">
      <c r="A1783" s="1">
        <v>343000</v>
      </c>
      <c r="B1783" s="1">
        <v>961700086</v>
      </c>
      <c r="C1783" s="1" t="str">
        <f>"تخليه -لرستان -كيلومتر30جاده خرم آباد-بروجرد-روستاي ريگ سفيد-کارخانه آسفالت آفاق سپهرخرم"</f>
        <v>تخليه -لرستان -كيلومتر30جاده خرم آباد-بروجرد-روستاي ريگ سفيد-کارخانه آسفالت آفاق سپهرخرم</v>
      </c>
      <c r="D1783" s="1">
        <v>9363</v>
      </c>
      <c r="E1783" s="1">
        <v>341080</v>
      </c>
      <c r="F1783" s="1">
        <v>96</v>
      </c>
      <c r="G1783" s="1">
        <v>1920</v>
      </c>
      <c r="H1783" s="1" t="str">
        <f>"96/06/07"</f>
        <v>96/06/07</v>
      </c>
      <c r="I1783" s="1" t="str">
        <f>"كيلوگرم"</f>
        <v>كيلوگرم</v>
      </c>
      <c r="J1783" s="1" t="str">
        <f>"0000000092"</f>
        <v>0000000092</v>
      </c>
      <c r="K1783" s="1" t="str">
        <f>"قير  PG64-16"</f>
        <v>قير  PG64-16</v>
      </c>
      <c r="L1783" s="1">
        <v>100</v>
      </c>
      <c r="M1783" s="1" t="str">
        <f>"مخازن قير اصفهان"</f>
        <v>مخازن قير اصفهان</v>
      </c>
      <c r="N1783" s="1">
        <v>8561</v>
      </c>
      <c r="O1783" s="1">
        <v>50035844</v>
      </c>
      <c r="P1783" s="1" t="str">
        <f>"  آفاق سپهرخرم"</f>
        <v xml:space="preserve">  آفاق سپهرخرم</v>
      </c>
      <c r="Q1783" s="1">
        <v>17</v>
      </c>
      <c r="R1783" s="1" t="str">
        <f>"فروش داخلي تهران - وزارت راه - راه روستايي - روکش"</f>
        <v>فروش داخلي تهران - وزارت راه - راه روستايي - روکش</v>
      </c>
      <c r="S1783" s="1" t="str">
        <f>"قرارداد فروش"</f>
        <v>قرارداد فروش</v>
      </c>
      <c r="T1783" s="1" t="str">
        <f>"ندارد"</f>
        <v>ندارد</v>
      </c>
      <c r="U1783" s="1" t="str">
        <f>"ريسماني حسن(1007ج89)"</f>
        <v>ريسماني حسن(1007ج89)</v>
      </c>
      <c r="V1783" s="1">
        <v>961700086</v>
      </c>
      <c r="W1783" s="1">
        <v>961700086</v>
      </c>
      <c r="X1783" s="1" t="str">
        <f>"1396508615"</f>
        <v>1396508615</v>
      </c>
      <c r="Y1783" s="1" t="str">
        <f>"96/06/07"</f>
        <v>96/06/07</v>
      </c>
      <c r="Z1783" s="1" t="str">
        <f>"27351/710"</f>
        <v>27351/710</v>
      </c>
      <c r="AA1783" s="1" t="str">
        <f>"راه روستائي -روكش"</f>
        <v>راه روستائي -روكش</v>
      </c>
      <c r="AB1783" s="1" t="str">
        <f>"96/06/05"</f>
        <v>96/06/05</v>
      </c>
      <c r="AC1783" s="1" t="str">
        <f>"لرستان"</f>
        <v>لرستان</v>
      </c>
      <c r="AD1783" s="1" t="str">
        <f>"96/06/07"</f>
        <v>96/06/07</v>
      </c>
      <c r="AE1783" s="1" t="str">
        <f>"اختتام"</f>
        <v>اختتام</v>
      </c>
      <c r="AF1783" s="1" t="str">
        <f>""</f>
        <v/>
      </c>
      <c r="AG1783" s="1" t="str">
        <f>""</f>
        <v/>
      </c>
      <c r="AH1783" s="1" t="str">
        <f>""</f>
        <v/>
      </c>
      <c r="AI1783" s="1" t="str">
        <f>""</f>
        <v/>
      </c>
      <c r="AJ1783" s="1" t="str">
        <f>""</f>
        <v/>
      </c>
      <c r="AK1783" s="1" t="str">
        <f>""</f>
        <v/>
      </c>
    </row>
    <row r="1784" spans="1:37">
      <c r="A1784" s="1">
        <v>180000</v>
      </c>
      <c r="B1784" s="1">
        <v>961700047</v>
      </c>
      <c r="C1784" s="1" t="str">
        <f>"تخليه -ايلام شهرستان مهران -صالح آباد-شركت ماداكتو"</f>
        <v>تخليه -ايلام شهرستان مهران -صالح آباد-شركت ماداكتو</v>
      </c>
      <c r="D1784" s="1">
        <v>8904</v>
      </c>
      <c r="E1784" s="1">
        <v>172360</v>
      </c>
      <c r="F1784" s="1">
        <v>96</v>
      </c>
      <c r="G1784" s="1">
        <v>7640</v>
      </c>
      <c r="H1784" s="1" t="str">
        <f>"96/05/17"</f>
        <v>96/05/17</v>
      </c>
      <c r="I1784" s="1" t="str">
        <f>"كيلوگرم"</f>
        <v>كيلوگرم</v>
      </c>
      <c r="J1784" s="1" t="str">
        <f>"0000000092"</f>
        <v>0000000092</v>
      </c>
      <c r="K1784" s="1" t="str">
        <f>"قير  PG64-16"</f>
        <v>قير  PG64-16</v>
      </c>
      <c r="L1784" s="1">
        <v>100</v>
      </c>
      <c r="M1784" s="1" t="str">
        <f>"مخازن قير اصفهان"</f>
        <v>مخازن قير اصفهان</v>
      </c>
      <c r="N1784" s="1">
        <v>9237</v>
      </c>
      <c r="O1784" s="1">
        <v>50035565</v>
      </c>
      <c r="P1784" s="1" t="str">
        <f>"  ماداكتو"</f>
        <v xml:space="preserve">  ماداكتو</v>
      </c>
      <c r="Q1784" s="1">
        <v>17</v>
      </c>
      <c r="R1784" s="1" t="str">
        <f>"فروش داخلي تهران - وزارت راه - راه روستايي - روکش"</f>
        <v>فروش داخلي تهران - وزارت راه - راه روستايي - روکش</v>
      </c>
      <c r="S1784" s="1" t="str">
        <f>"قرارداد فروش"</f>
        <v>قرارداد فروش</v>
      </c>
      <c r="T1784" s="1" t="str">
        <f>"ندارد"</f>
        <v>ندارد</v>
      </c>
      <c r="U1784" s="1" t="str">
        <f>"عظيمي محمد(2842015)"</f>
        <v>عظيمي محمد(2842015)</v>
      </c>
      <c r="V1784" s="1">
        <v>961700047</v>
      </c>
      <c r="W1784" s="1">
        <v>961700047</v>
      </c>
      <c r="X1784" s="1" t="str">
        <f>"1396503549"</f>
        <v>1396503549</v>
      </c>
      <c r="Y1784" s="1" t="str">
        <f>"96/05/17"</f>
        <v>96/05/17</v>
      </c>
      <c r="Z1784" s="1" t="str">
        <f>"22149/710"</f>
        <v>22149/710</v>
      </c>
      <c r="AA1784" s="1" t="str">
        <f>"راه روستائي -روكش"</f>
        <v>راه روستائي -روكش</v>
      </c>
      <c r="AB1784" s="1" t="str">
        <f>"96/05/09"</f>
        <v>96/05/09</v>
      </c>
      <c r="AC1784" s="1" t="str">
        <f>"استان ايلام"</f>
        <v>استان ايلام</v>
      </c>
      <c r="AD1784" s="1" t="str">
        <f>"96/05/17"</f>
        <v>96/05/17</v>
      </c>
      <c r="AE1784" s="1" t="str">
        <f>"اختتام"</f>
        <v>اختتام</v>
      </c>
      <c r="AF1784" s="1" t="str">
        <f>""</f>
        <v/>
      </c>
      <c r="AG1784" s="1" t="str">
        <f>""</f>
        <v/>
      </c>
      <c r="AH1784" s="1" t="str">
        <f>""</f>
        <v/>
      </c>
      <c r="AI1784" s="1" t="str">
        <f>""</f>
        <v/>
      </c>
      <c r="AJ1784" s="1" t="str">
        <f>""</f>
        <v/>
      </c>
      <c r="AK1784" s="1" t="str">
        <f>""</f>
        <v/>
      </c>
    </row>
    <row r="1785" spans="1:37">
      <c r="A1785" s="1">
        <v>70000</v>
      </c>
      <c r="B1785" s="1">
        <v>961800012</v>
      </c>
      <c r="C1785" s="1" t="str">
        <f>"تخليه -ايلام -كيلومتر60محورايلام -دره شهرمخازن قيرشركت ايلام راه بان"</f>
        <v>تخليه -ايلام -كيلومتر60محورايلام -دره شهرمخازن قيرشركت ايلام راه بان</v>
      </c>
      <c r="D1785" s="1">
        <v>8904</v>
      </c>
      <c r="E1785" s="1">
        <v>69780</v>
      </c>
      <c r="F1785" s="1">
        <v>96</v>
      </c>
      <c r="G1785" s="1">
        <v>220</v>
      </c>
      <c r="H1785" s="1" t="str">
        <f>"96/04/20"</f>
        <v>96/04/20</v>
      </c>
      <c r="I1785" s="1" t="str">
        <f>"كيلوگرم"</f>
        <v>كيلوگرم</v>
      </c>
      <c r="J1785" s="1" t="str">
        <f>"0000000092"</f>
        <v>0000000092</v>
      </c>
      <c r="K1785" s="1" t="str">
        <f>"قير  PG64-16"</f>
        <v>قير  PG64-16</v>
      </c>
      <c r="L1785" s="1">
        <v>100</v>
      </c>
      <c r="M1785" s="1" t="str">
        <f>"مخازن قير اصفهان"</f>
        <v>مخازن قير اصفهان</v>
      </c>
      <c r="N1785" s="1">
        <v>9296</v>
      </c>
      <c r="O1785" s="1">
        <v>50035172</v>
      </c>
      <c r="P1785" s="1" t="str">
        <f>"  ايلام راه بان"</f>
        <v xml:space="preserve">  ايلام راه بان</v>
      </c>
      <c r="Q1785" s="1">
        <v>18</v>
      </c>
      <c r="R1785" s="1" t="str">
        <f>"فروش داخلي تهران - وزارت راه - شرکت ساخت و توسعه راهها"</f>
        <v>فروش داخلي تهران - وزارت راه - شرکت ساخت و توسعه راهها</v>
      </c>
      <c r="S1785" s="1" t="str">
        <f>"قرارداد فروش"</f>
        <v>قرارداد فروش</v>
      </c>
      <c r="T1785" s="1" t="str">
        <f>"ندارد"</f>
        <v>ندارد</v>
      </c>
      <c r="U1785" s="1" t="str">
        <f>"عظيمي محمد(2842015)"</f>
        <v>عظيمي محمد(2842015)</v>
      </c>
      <c r="V1785" s="1">
        <v>961800012</v>
      </c>
      <c r="W1785" s="1">
        <v>961800012</v>
      </c>
      <c r="X1785" s="1" t="str">
        <f>"1396495476"</f>
        <v>1396495476</v>
      </c>
      <c r="Y1785" s="1" t="str">
        <f>"96/04/20"</f>
        <v>96/04/20</v>
      </c>
      <c r="Z1785" s="1" t="str">
        <f>"16958/710"</f>
        <v>16958/710</v>
      </c>
      <c r="AA1785" s="1" t="str">
        <f>"شركت  ساخت وتوسعه راهها"</f>
        <v>شركت  ساخت وتوسعه راهها</v>
      </c>
      <c r="AB1785" s="1" t="str">
        <f>"96/04/17"</f>
        <v>96/04/17</v>
      </c>
      <c r="AC1785" s="1" t="str">
        <f>"استان ايلام"</f>
        <v>استان ايلام</v>
      </c>
      <c r="AD1785" s="1" t="str">
        <f>"96/04/20"</f>
        <v>96/04/20</v>
      </c>
      <c r="AE1785" s="1" t="str">
        <f>"اختتام"</f>
        <v>اختتام</v>
      </c>
      <c r="AF1785" s="1" t="str">
        <f>""</f>
        <v/>
      </c>
      <c r="AG1785" s="1" t="str">
        <f>""</f>
        <v/>
      </c>
      <c r="AH1785" s="1" t="str">
        <f>""</f>
        <v/>
      </c>
      <c r="AI1785" s="1" t="str">
        <f>""</f>
        <v/>
      </c>
      <c r="AJ1785" s="1" t="str">
        <f>""</f>
        <v/>
      </c>
      <c r="AK1785" s="1" t="str">
        <f>""</f>
        <v/>
      </c>
    </row>
    <row r="1786" spans="1:37">
      <c r="A1786" s="1">
        <v>490000</v>
      </c>
      <c r="B1786" s="1">
        <v>961600025</v>
      </c>
      <c r="C1786" s="1" t="str">
        <f>"تخليه -اصفهان -كيلومتر5جاده اصفهان -جرقويه -شركت ثمين راه صفاهان"</f>
        <v>تخليه -اصفهان -كيلومتر5جاده اصفهان -جرقويه -شركت ثمين راه صفاهان</v>
      </c>
      <c r="D1786" s="1">
        <v>14000</v>
      </c>
      <c r="E1786" s="1">
        <v>490000</v>
      </c>
      <c r="F1786" s="1">
        <v>96</v>
      </c>
      <c r="G1786" s="1">
        <v>0</v>
      </c>
      <c r="H1786" s="1" t="str">
        <f>"96/12/14"</f>
        <v>96/12/14</v>
      </c>
      <c r="I1786" s="1" t="str">
        <f>"كيلوگرم"</f>
        <v>كيلوگرم</v>
      </c>
      <c r="J1786" s="1" t="str">
        <f>"0000000092"</f>
        <v>0000000092</v>
      </c>
      <c r="K1786" s="1" t="str">
        <f>"قير  PG64-16"</f>
        <v>قير  PG64-16</v>
      </c>
      <c r="L1786" s="1">
        <v>100</v>
      </c>
      <c r="M1786" s="1" t="str">
        <f>"مخازن قير اصفهان"</f>
        <v>مخازن قير اصفهان</v>
      </c>
      <c r="N1786" s="1">
        <v>9345</v>
      </c>
      <c r="O1786" s="1">
        <v>50038752</v>
      </c>
      <c r="P1786" s="1" t="str">
        <f>"  ثمين راه صفاهان"</f>
        <v xml:space="preserve">  ثمين راه صفاهان</v>
      </c>
      <c r="Q1786" s="1">
        <v>16</v>
      </c>
      <c r="R1786" s="1" t="str">
        <f>"فروش داخلي تهران - وزارت راه - معاونت اقتصاد"</f>
        <v>فروش داخلي تهران - وزارت راه - معاونت اقتصاد</v>
      </c>
      <c r="S1786" s="1" t="str">
        <f>"قرارداد فروش"</f>
        <v>قرارداد فروش</v>
      </c>
      <c r="T1786" s="1" t="str">
        <f>"ندارد"</f>
        <v>ندارد</v>
      </c>
      <c r="U1786" s="1" t="str">
        <f>"شهبازي محمدرضا(1029ج89)"</f>
        <v>شهبازي محمدرضا(1029ج89)</v>
      </c>
      <c r="V1786" s="1">
        <v>961600025</v>
      </c>
      <c r="W1786" s="1">
        <v>961600025</v>
      </c>
      <c r="X1786" s="1" t="str">
        <f>"1396552265"</f>
        <v>1396552265</v>
      </c>
      <c r="Y1786" s="1" t="str">
        <f>"96/12/14"</f>
        <v>96/12/14</v>
      </c>
      <c r="Z1786" s="1" t="str">
        <f>"49010/710"</f>
        <v>49010/710</v>
      </c>
      <c r="AA1786" s="1" t="str">
        <f>"معاونت اقتصادوزارت راه وشهرسازي"</f>
        <v>معاونت اقتصادوزارت راه وشهرسازي</v>
      </c>
      <c r="AB1786" s="1" t="str">
        <f>"96/09/25"</f>
        <v>96/09/25</v>
      </c>
      <c r="AC1786" s="1" t="str">
        <f>"استان اصفهان"</f>
        <v>استان اصفهان</v>
      </c>
      <c r="AD1786" s="1" t="str">
        <f>"96/12/14"</f>
        <v>96/12/14</v>
      </c>
      <c r="AE1786" s="1" t="str">
        <f>"اختتام"</f>
        <v>اختتام</v>
      </c>
      <c r="AF1786" s="1" t="str">
        <f>""</f>
        <v/>
      </c>
      <c r="AG1786" s="1" t="str">
        <f>""</f>
        <v/>
      </c>
      <c r="AH1786" s="1" t="str">
        <f>""</f>
        <v/>
      </c>
      <c r="AI1786" s="1" t="str">
        <f>""</f>
        <v/>
      </c>
      <c r="AJ1786" s="1" t="str">
        <f>""</f>
        <v/>
      </c>
      <c r="AK1786" s="1" t="str">
        <f>""</f>
        <v/>
      </c>
    </row>
    <row r="1787" spans="1:37">
      <c r="A1787" s="1">
        <v>305000</v>
      </c>
      <c r="B1787" s="1">
        <v>961900155</v>
      </c>
      <c r="C1787" s="1" t="str">
        <f>"تخليه -لرستان -كوهدشت -كارخانه آسفالت آبادگران راه خرم"</f>
        <v>تخليه -لرستان -كوهدشت -كارخانه آسفالت آبادگران راه خرم</v>
      </c>
      <c r="D1787" s="1">
        <v>9363</v>
      </c>
      <c r="E1787" s="1">
        <v>304760</v>
      </c>
      <c r="F1787" s="1">
        <v>96</v>
      </c>
      <c r="G1787" s="1">
        <v>240</v>
      </c>
      <c r="H1787" s="1" t="str">
        <f>"96/07/06"</f>
        <v>96/07/06</v>
      </c>
      <c r="I1787" s="1" t="str">
        <f>"كيلوگرم"</f>
        <v>كيلوگرم</v>
      </c>
      <c r="J1787" s="1" t="str">
        <f>"0000000092"</f>
        <v>0000000092</v>
      </c>
      <c r="K1787" s="1" t="str">
        <f>"قير  PG64-16"</f>
        <v>قير  PG64-16</v>
      </c>
      <c r="L1787" s="1">
        <v>100</v>
      </c>
      <c r="M1787" s="1" t="str">
        <f>"مخازن قير اصفهان"</f>
        <v>مخازن قير اصفهان</v>
      </c>
      <c r="N1787" s="1">
        <v>9527</v>
      </c>
      <c r="O1787" s="1">
        <v>50036411</v>
      </c>
      <c r="P1787" s="1" t="str">
        <f>"  آبادگران راه خرم"</f>
        <v xml:space="preserve">  آبادگران راه خرم</v>
      </c>
      <c r="Q1787" s="1">
        <v>19</v>
      </c>
      <c r="R178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787" s="1" t="str">
        <f>"قرارداد فروش"</f>
        <v>قرارداد فروش</v>
      </c>
      <c r="T1787" s="1" t="str">
        <f>"ندارد"</f>
        <v>ندارد</v>
      </c>
      <c r="U1787" s="1" t="str">
        <f>"ريسماني حسن(1007ج89)"</f>
        <v>ريسماني حسن(1007ج89)</v>
      </c>
      <c r="V1787" s="1">
        <v>961900155</v>
      </c>
      <c r="W1787" s="1">
        <v>961900155</v>
      </c>
      <c r="X1787" s="1" t="str">
        <f>"1396514729"</f>
        <v>1396514729</v>
      </c>
      <c r="Y1787" s="1" t="str">
        <f>"96/07/06"</f>
        <v>96/07/06</v>
      </c>
      <c r="Z1787" s="1" t="str">
        <f>"31974/710"</f>
        <v>31974/710</v>
      </c>
      <c r="AA1787" s="1" t="str">
        <f>"سازمان راهداري وحمل نقل جاده اي"</f>
        <v>سازمان راهداري وحمل نقل جاده اي</v>
      </c>
      <c r="AB1787" s="1" t="str">
        <f>"96/06/28"</f>
        <v>96/06/28</v>
      </c>
      <c r="AC1787" s="1" t="str">
        <f>"لرستان"</f>
        <v>لرستان</v>
      </c>
      <c r="AD1787" s="1" t="str">
        <f>"96/07/04"</f>
        <v>96/07/04</v>
      </c>
      <c r="AE1787" s="1" t="str">
        <f>"اختتام"</f>
        <v>اختتام</v>
      </c>
      <c r="AF1787" s="1" t="str">
        <f>""</f>
        <v/>
      </c>
      <c r="AG1787" s="1" t="str">
        <f>""</f>
        <v/>
      </c>
      <c r="AH1787" s="1" t="str">
        <f>""</f>
        <v/>
      </c>
      <c r="AI1787" s="1" t="str">
        <f>""</f>
        <v/>
      </c>
      <c r="AJ1787" s="1" t="str">
        <f>""</f>
        <v/>
      </c>
      <c r="AK1787" s="1" t="str">
        <f>""</f>
        <v/>
      </c>
    </row>
    <row r="1788" spans="1:37">
      <c r="A1788" s="1">
        <v>30000</v>
      </c>
      <c r="B1788" s="1">
        <v>961700116</v>
      </c>
      <c r="C1788" s="1" t="str">
        <f>"تخليه -جنوب كرمان -محوررودان -كهنوج -كارخانه آسفالت شركت پي وپل جنوب"</f>
        <v>تخليه -جنوب كرمان -محوررودان -كهنوج -كارخانه آسفالت شركت پي وپل جنوب</v>
      </c>
      <c r="D1788" s="1">
        <v>9363</v>
      </c>
      <c r="E1788" s="1">
        <v>30000</v>
      </c>
      <c r="F1788" s="1">
        <v>96</v>
      </c>
      <c r="G1788" s="1">
        <v>0</v>
      </c>
      <c r="H1788" s="1" t="str">
        <f>"96/07/17"</f>
        <v>96/07/17</v>
      </c>
      <c r="I1788" s="1" t="str">
        <f>"كيلوگرم"</f>
        <v>كيلوگرم</v>
      </c>
      <c r="J1788" s="1" t="str">
        <f>"0000000092"</f>
        <v>0000000092</v>
      </c>
      <c r="K1788" s="1" t="str">
        <f>"قير  PG64-16"</f>
        <v>قير  PG64-16</v>
      </c>
      <c r="L1788" s="1">
        <v>100</v>
      </c>
      <c r="M1788" s="1" t="str">
        <f>"مخازن قير اصفهان"</f>
        <v>مخازن قير اصفهان</v>
      </c>
      <c r="N1788" s="1">
        <v>10547</v>
      </c>
      <c r="O1788" s="1">
        <v>50036623</v>
      </c>
      <c r="P1788" s="1" t="str">
        <f>"  پي و پل جنوب"</f>
        <v xml:space="preserve">  پي و پل جنوب</v>
      </c>
      <c r="Q1788" s="1">
        <v>17</v>
      </c>
      <c r="R1788" s="1" t="str">
        <f>"فروش داخلي تهران - وزارت راه - راه روستايي - روکش"</f>
        <v>فروش داخلي تهران - وزارت راه - راه روستايي - روکش</v>
      </c>
      <c r="S1788" s="1" t="str">
        <f>"قرارداد فروش"</f>
        <v>قرارداد فروش</v>
      </c>
      <c r="T1788" s="1" t="str">
        <f>"ندارد"</f>
        <v>ندارد</v>
      </c>
      <c r="U1788" s="1" t="str">
        <f>"قره باغي مجيد(1871065)"</f>
        <v>قره باغي مجيد(1871065)</v>
      </c>
      <c r="V1788" s="1">
        <v>961700116</v>
      </c>
      <c r="W1788" s="1">
        <v>961700116</v>
      </c>
      <c r="X1788" s="1" t="str">
        <f>"1396517387"</f>
        <v>1396517387</v>
      </c>
      <c r="Y1788" s="1" t="str">
        <f>"96/07/17"</f>
        <v>96/07/17</v>
      </c>
      <c r="Z1788" s="1" t="str">
        <f>"34613/710"</f>
        <v>34613/710</v>
      </c>
      <c r="AA1788" s="1" t="str">
        <f>"راه روستائي -روكش"</f>
        <v>راه روستائي -روكش</v>
      </c>
      <c r="AB1788" s="1" t="str">
        <f>"96/07/15"</f>
        <v>96/07/15</v>
      </c>
      <c r="AC1788" s="1" t="str">
        <f>"جنوب کرمان"</f>
        <v>جنوب کرمان</v>
      </c>
      <c r="AD1788" s="1" t="str">
        <f>"96/07/17"</f>
        <v>96/07/17</v>
      </c>
      <c r="AE1788" s="1" t="str">
        <f>"اختتام"</f>
        <v>اختتام</v>
      </c>
      <c r="AF1788" s="1" t="str">
        <f>""</f>
        <v/>
      </c>
      <c r="AG1788" s="1" t="str">
        <f>""</f>
        <v/>
      </c>
      <c r="AH1788" s="1" t="str">
        <f>""</f>
        <v/>
      </c>
      <c r="AI1788" s="1" t="str">
        <f>""</f>
        <v/>
      </c>
      <c r="AJ1788" s="1" t="str">
        <f>""</f>
        <v/>
      </c>
      <c r="AK1788" s="1" t="str">
        <f>""</f>
        <v/>
      </c>
    </row>
    <row r="1789" spans="1:37">
      <c r="A1789" s="1">
        <v>279000</v>
      </c>
      <c r="B1789" s="1">
        <v>961700126</v>
      </c>
      <c r="C1789" s="1" t="str">
        <f>"تخليه -هرمزگان -محوررودان -كهنوج -كارخانه آسفالت شركت پي وپل جنوب"</f>
        <v>تخليه -هرمزگان -محوررودان -كهنوج -كارخانه آسفالت شركت پي وپل جنوب</v>
      </c>
      <c r="D1789" s="1">
        <v>9363</v>
      </c>
      <c r="E1789" s="1">
        <v>279000</v>
      </c>
      <c r="F1789" s="1">
        <v>96</v>
      </c>
      <c r="G1789" s="1">
        <v>0</v>
      </c>
      <c r="H1789" s="1" t="str">
        <f>"96/07/17"</f>
        <v>96/07/17</v>
      </c>
      <c r="I1789" s="1" t="str">
        <f>"كيلوگرم"</f>
        <v>كيلوگرم</v>
      </c>
      <c r="J1789" s="1" t="str">
        <f>"0000000092"</f>
        <v>0000000092</v>
      </c>
      <c r="K1789" s="1" t="str">
        <f>"قير  PG64-16"</f>
        <v>قير  PG64-16</v>
      </c>
      <c r="L1789" s="1">
        <v>100</v>
      </c>
      <c r="M1789" s="1" t="str">
        <f>"مخازن قير اصفهان"</f>
        <v>مخازن قير اصفهان</v>
      </c>
      <c r="N1789" s="1">
        <v>10547</v>
      </c>
      <c r="O1789" s="1">
        <v>50036635</v>
      </c>
      <c r="P1789" s="1" t="str">
        <f>"  پي و پل جنوب"</f>
        <v xml:space="preserve">  پي و پل جنوب</v>
      </c>
      <c r="Q1789" s="1">
        <v>17</v>
      </c>
      <c r="R1789" s="1" t="str">
        <f>"فروش داخلي تهران - وزارت راه - راه روستايي - روکش"</f>
        <v>فروش داخلي تهران - وزارت راه - راه روستايي - روکش</v>
      </c>
      <c r="S1789" s="1" t="str">
        <f>"قرارداد فروش"</f>
        <v>قرارداد فروش</v>
      </c>
      <c r="T1789" s="1" t="str">
        <f>"ندارد"</f>
        <v>ندارد</v>
      </c>
      <c r="U1789" s="1" t="str">
        <f>"قره باغي مجيد(1871065)"</f>
        <v>قره باغي مجيد(1871065)</v>
      </c>
      <c r="V1789" s="1">
        <v>961700126</v>
      </c>
      <c r="W1789" s="1">
        <v>961700126</v>
      </c>
      <c r="X1789" s="1" t="str">
        <f>"1396517387"</f>
        <v>1396517387</v>
      </c>
      <c r="Y1789" s="1" t="str">
        <f>"96/07/17"</f>
        <v>96/07/17</v>
      </c>
      <c r="Z1789" s="1" t="str">
        <f>"34623/710"</f>
        <v>34623/710</v>
      </c>
      <c r="AA1789" s="1" t="str">
        <f>"راه روستائي -روكش"</f>
        <v>راه روستائي -روكش</v>
      </c>
      <c r="AB1789" s="1" t="str">
        <f>"96/07/15"</f>
        <v>96/07/15</v>
      </c>
      <c r="AC1789" s="1" t="str">
        <f>"جنوب کرمان"</f>
        <v>جنوب کرمان</v>
      </c>
      <c r="AD1789" s="1" t="str">
        <f>"96/07/17"</f>
        <v>96/07/17</v>
      </c>
      <c r="AE1789" s="1" t="str">
        <f>"اختتام"</f>
        <v>اختتام</v>
      </c>
      <c r="AF1789" s="1" t="str">
        <f>""</f>
        <v/>
      </c>
      <c r="AG1789" s="1" t="str">
        <f>""</f>
        <v/>
      </c>
      <c r="AH1789" s="1" t="str">
        <f>""</f>
        <v/>
      </c>
      <c r="AI1789" s="1" t="str">
        <f>""</f>
        <v/>
      </c>
      <c r="AJ1789" s="1" t="str">
        <f>""</f>
        <v/>
      </c>
      <c r="AK1789" s="1" t="str">
        <f>""</f>
        <v/>
      </c>
    </row>
    <row r="1790" spans="1:37">
      <c r="A1790" s="1">
        <v>92000</v>
      </c>
      <c r="B1790" s="1">
        <v>966200573</v>
      </c>
      <c r="C1790" s="1" t="str">
        <f>"تخليه - ايلام-مهران-کيلومتر 15 مهران دهلران-کارخانه آسفالت سيار مستقر در سنگ شکن رحيمي(تعاوني144)"</f>
        <v>تخليه - ايلام-مهران-کيلومتر 15 مهران دهلران-کارخانه آسفالت سيار مستقر در سنگ شکن رحيمي(تعاوني144)</v>
      </c>
      <c r="D1790" s="1">
        <v>13450</v>
      </c>
      <c r="E1790" s="1">
        <v>88940</v>
      </c>
      <c r="F1790" s="1">
        <v>96</v>
      </c>
      <c r="G1790" s="1">
        <v>3060</v>
      </c>
      <c r="H1790" s="1" t="str">
        <f>"96/11/24"</f>
        <v>96/11/24</v>
      </c>
      <c r="I1790" s="1" t="str">
        <f>"كيلوگرم"</f>
        <v>كيلوگرم</v>
      </c>
      <c r="J1790" s="1" t="str">
        <f>"0000000092"</f>
        <v>0000000092</v>
      </c>
      <c r="K1790" s="1" t="str">
        <f>"قير  PG64-16"</f>
        <v>قير  PG64-16</v>
      </c>
      <c r="L1790" s="1">
        <v>100</v>
      </c>
      <c r="M1790" s="1" t="str">
        <f>"مخازن قير اصفهان"</f>
        <v>مخازن قير اصفهان</v>
      </c>
      <c r="N1790" s="1">
        <v>10624</v>
      </c>
      <c r="O1790" s="1">
        <v>50038498</v>
      </c>
      <c r="P1790" s="1" t="str">
        <f>"  آژين دژ غرب"</f>
        <v xml:space="preserve">  آژين دژ غرب</v>
      </c>
      <c r="Q1790" s="1">
        <v>62</v>
      </c>
      <c r="R1790" s="1" t="str">
        <f>"فروش داخلي - سازمان بنيادمسكن انقلاب اسلامي"</f>
        <v>فروش داخلي - سازمان بنيادمسكن انقلاب اسلامي</v>
      </c>
      <c r="S1790" s="1" t="str">
        <f>"قرارداد فروش"</f>
        <v>قرارداد فروش</v>
      </c>
      <c r="T1790" s="1" t="str">
        <f>"ندارد"</f>
        <v>ندارد</v>
      </c>
      <c r="U1790" s="1" t="str">
        <f>"ميهن دوست عبداله(2842010)"</f>
        <v>ميهن دوست عبداله(2842010)</v>
      </c>
      <c r="V1790" s="1">
        <v>966200573</v>
      </c>
      <c r="W1790" s="1">
        <v>966200573</v>
      </c>
      <c r="X1790" s="1" t="str">
        <f>"1396547684"</f>
        <v>1396547684</v>
      </c>
      <c r="Y1790" s="1" t="str">
        <f>"96/11/24"</f>
        <v>96/11/24</v>
      </c>
      <c r="Z1790" s="1" t="str">
        <f>"52795/د"</f>
        <v>52795/د</v>
      </c>
      <c r="AA1790" s="1" t="str">
        <f>"بنيادمسكن انقلاب اسلامي"</f>
        <v>بنيادمسكن انقلاب اسلامي</v>
      </c>
      <c r="AB1790" s="1" t="str">
        <f>"96/11/23"</f>
        <v>96/11/23</v>
      </c>
      <c r="AC1790" s="1" t="str">
        <f>"استان ايلام"</f>
        <v>استان ايلام</v>
      </c>
      <c r="AD1790" s="1" t="str">
        <f>"96/11/24"</f>
        <v>96/11/24</v>
      </c>
      <c r="AE1790" s="1" t="str">
        <f>"اختتام"</f>
        <v>اختتام</v>
      </c>
      <c r="AF1790" s="1" t="str">
        <f>""</f>
        <v/>
      </c>
      <c r="AG1790" s="1" t="str">
        <f>""</f>
        <v/>
      </c>
      <c r="AH1790" s="1" t="str">
        <f>""</f>
        <v/>
      </c>
      <c r="AI1790" s="1" t="str">
        <f>""</f>
        <v/>
      </c>
      <c r="AJ1790" s="1" t="str">
        <f>""</f>
        <v/>
      </c>
      <c r="AK1790" s="1" t="str">
        <f>""</f>
        <v/>
      </c>
    </row>
    <row r="1791" spans="1:37">
      <c r="A1791" s="1">
        <v>500000</v>
      </c>
      <c r="B1791" s="1">
        <v>961900042</v>
      </c>
      <c r="C1791" s="1" t="str">
        <f>"تخليه -هرمزگان بستك دوراهي جناح -خلوص كارخانه آسفالت شركت راه سازگوده"</f>
        <v>تخليه -هرمزگان بستك دوراهي جناح -خلوص كارخانه آسفالت شركت راه سازگوده</v>
      </c>
      <c r="D1791" s="1">
        <v>9068</v>
      </c>
      <c r="E1791" s="1">
        <v>488720</v>
      </c>
      <c r="F1791" s="1">
        <v>96</v>
      </c>
      <c r="G1791" s="1">
        <v>11280</v>
      </c>
      <c r="H1791" s="1" t="str">
        <f>"96/01/20"</f>
        <v>96/01/20</v>
      </c>
      <c r="I1791" s="1" t="str">
        <f>"كيلوگرم"</f>
        <v>كيلوگرم</v>
      </c>
      <c r="J1791" s="1" t="str">
        <f>"0000000092"</f>
        <v>0000000092</v>
      </c>
      <c r="K1791" s="1" t="str">
        <f>"قير  PG64-16"</f>
        <v>قير  PG64-16</v>
      </c>
      <c r="L1791" s="1">
        <v>100</v>
      </c>
      <c r="M1791" s="1" t="str">
        <f>"مخازن قير اصفهان"</f>
        <v>مخازن قير اصفهان</v>
      </c>
      <c r="N1791" s="1">
        <v>11012</v>
      </c>
      <c r="O1791" s="1">
        <v>50034445</v>
      </c>
      <c r="P1791" s="1" t="str">
        <f>"  راه سازگوده"</f>
        <v xml:space="preserve">  راه سازگوده</v>
      </c>
      <c r="Q1791" s="1">
        <v>19</v>
      </c>
      <c r="R179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791" s="1" t="str">
        <f>"قرارداد فروش"</f>
        <v>قرارداد فروش</v>
      </c>
      <c r="T1791" s="1" t="str">
        <f>"ندارد"</f>
        <v>ندارد</v>
      </c>
      <c r="U1791" s="1" t="str">
        <f>"حاصليان ترابرجنوب مرتضي حاصلي (4844006)"</f>
        <v>حاصليان ترابرجنوب مرتضي حاصلي (4844006)</v>
      </c>
      <c r="V1791" s="1">
        <v>961900042</v>
      </c>
      <c r="W1791" s="1">
        <v>961900042</v>
      </c>
      <c r="X1791" s="1" t="str">
        <f>"1395471095"</f>
        <v>1395471095</v>
      </c>
      <c r="Y1791" s="1" t="str">
        <f>"96/01/20"</f>
        <v>96/01/20</v>
      </c>
      <c r="Z1791" s="1" t="str">
        <f>"66538/710"</f>
        <v>66538/710</v>
      </c>
      <c r="AA1791" s="1" t="str">
        <f>"سازمان راهداري وحمل نقل جاده اي"</f>
        <v>سازمان راهداري وحمل نقل جاده اي</v>
      </c>
      <c r="AB1791" s="1" t="str">
        <f>"95/12/24"</f>
        <v>95/12/24</v>
      </c>
      <c r="AC1791" s="1" t="str">
        <f>"استان هرمزگان"</f>
        <v>استان هرمزگان</v>
      </c>
      <c r="AD1791" s="1" t="str">
        <f>"95/12/28"</f>
        <v>95/12/28</v>
      </c>
      <c r="AE1791" s="1" t="str">
        <f>"اختتام"</f>
        <v>اختتام</v>
      </c>
      <c r="AF1791" s="1" t="str">
        <f>""</f>
        <v/>
      </c>
      <c r="AG1791" s="1" t="str">
        <f>""</f>
        <v/>
      </c>
      <c r="AH1791" s="1" t="str">
        <f>""</f>
        <v/>
      </c>
      <c r="AI1791" s="1" t="str">
        <f>""</f>
        <v/>
      </c>
      <c r="AJ1791" s="1" t="str">
        <f>""</f>
        <v/>
      </c>
      <c r="AK1791" s="1" t="str">
        <f>""</f>
        <v/>
      </c>
    </row>
    <row r="1792" spans="1:37">
      <c r="A1792" s="1">
        <v>300000</v>
      </c>
      <c r="B1792" s="1">
        <v>961900168</v>
      </c>
      <c r="C1792" s="1" t="str">
        <f>"تخليه - لرستان- شرکت راه و ساختماني سپهربستر"</f>
        <v>تخليه - لرستان- شرکت راه و ساختماني سپهربستر</v>
      </c>
      <c r="D1792" s="1">
        <v>9716</v>
      </c>
      <c r="E1792" s="1">
        <v>295440</v>
      </c>
      <c r="F1792" s="1">
        <v>96</v>
      </c>
      <c r="G1792" s="1">
        <v>4560</v>
      </c>
      <c r="H1792" s="1" t="str">
        <f>"96/07/11"</f>
        <v>96/07/11</v>
      </c>
      <c r="I1792" s="1" t="str">
        <f>"كيلوگرم"</f>
        <v>كيلوگرم</v>
      </c>
      <c r="J1792" s="1" t="str">
        <f>"0000000092"</f>
        <v>0000000092</v>
      </c>
      <c r="K1792" s="1" t="str">
        <f>"قير  PG64-16"</f>
        <v>قير  PG64-16</v>
      </c>
      <c r="L1792" s="1">
        <v>100</v>
      </c>
      <c r="M1792" s="1" t="str">
        <f>"مخازن قير اصفهان"</f>
        <v>مخازن قير اصفهان</v>
      </c>
      <c r="N1792" s="1">
        <v>11295</v>
      </c>
      <c r="O1792" s="1">
        <v>50036528</v>
      </c>
      <c r="P1792" s="1" t="str">
        <f>"  اداره كل راهداري وحمل ونقل جاده اي لرستان"</f>
        <v xml:space="preserve">  اداره كل راهداري وحمل ونقل جاده اي لرستان</v>
      </c>
      <c r="Q1792" s="1">
        <v>19</v>
      </c>
      <c r="R179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792" s="1" t="str">
        <f>"قرارداد فروش"</f>
        <v>قرارداد فروش</v>
      </c>
      <c r="T1792" s="1" t="str">
        <f>"ندارد"</f>
        <v>ندارد</v>
      </c>
      <c r="U1792" s="1" t="str">
        <f>"ريسماني حسن(1007ج89)"</f>
        <v>ريسماني حسن(1007ج89)</v>
      </c>
      <c r="V1792" s="1">
        <v>961900168</v>
      </c>
      <c r="W1792" s="1">
        <v>961900168</v>
      </c>
      <c r="X1792" s="1" t="str">
        <f>"1396516181"</f>
        <v>1396516181</v>
      </c>
      <c r="Y1792" s="1" t="str">
        <f>"96/07/11"</f>
        <v>96/07/11</v>
      </c>
      <c r="Z1792" s="1" t="str">
        <f>"33353/710"</f>
        <v>33353/710</v>
      </c>
      <c r="AA1792" s="1" t="str">
        <f>"سازمان راهداري وحمل نقل جاده اي"</f>
        <v>سازمان راهداري وحمل نقل جاده اي</v>
      </c>
      <c r="AB1792" s="1" t="str">
        <f>"96/07/04"</f>
        <v>96/07/04</v>
      </c>
      <c r="AC1792" s="1" t="str">
        <f>"لرستان"</f>
        <v>لرستان</v>
      </c>
      <c r="AD1792" s="1" t="str">
        <f>"96/07/11"</f>
        <v>96/07/11</v>
      </c>
      <c r="AE1792" s="1" t="str">
        <f>"اختتام"</f>
        <v>اختتام</v>
      </c>
      <c r="AF1792" s="1" t="str">
        <f>""</f>
        <v/>
      </c>
      <c r="AG1792" s="1" t="str">
        <f>""</f>
        <v/>
      </c>
      <c r="AH1792" s="1" t="str">
        <f>""</f>
        <v/>
      </c>
      <c r="AI1792" s="1" t="str">
        <f>""</f>
        <v/>
      </c>
      <c r="AJ1792" s="1" t="str">
        <f>""</f>
        <v/>
      </c>
      <c r="AK1792" s="1" t="str">
        <f>""</f>
        <v/>
      </c>
    </row>
    <row r="1793" spans="1:37">
      <c r="A1793" s="1">
        <v>350000</v>
      </c>
      <c r="B1793" s="1">
        <v>961900169</v>
      </c>
      <c r="C1793" s="1" t="str">
        <f>"تخليه لرستان كيلومتر75كوهدشت اسلام آبادغرب هليلان شركت آج راه غرب"</f>
        <v>تخليه لرستان كيلومتر75كوهدشت اسلام آبادغرب هليلان شركت آج راه غرب</v>
      </c>
      <c r="D1793" s="1">
        <v>9363</v>
      </c>
      <c r="E1793" s="1">
        <v>349200</v>
      </c>
      <c r="F1793" s="1">
        <v>96</v>
      </c>
      <c r="G1793" s="1">
        <v>800</v>
      </c>
      <c r="H1793" s="1" t="str">
        <f>"96/07/11"</f>
        <v>96/07/11</v>
      </c>
      <c r="I1793" s="1" t="str">
        <f>"كيلوگرم"</f>
        <v>كيلوگرم</v>
      </c>
      <c r="J1793" s="1" t="str">
        <f>"0000000092"</f>
        <v>0000000092</v>
      </c>
      <c r="K1793" s="1" t="str">
        <f>"قير  PG64-16"</f>
        <v>قير  PG64-16</v>
      </c>
      <c r="L1793" s="1">
        <v>100</v>
      </c>
      <c r="M1793" s="1" t="str">
        <f>"مخازن قير اصفهان"</f>
        <v>مخازن قير اصفهان</v>
      </c>
      <c r="N1793" s="1">
        <v>11295</v>
      </c>
      <c r="O1793" s="1">
        <v>50036529</v>
      </c>
      <c r="P1793" s="1" t="str">
        <f>"  اداره كل راهداري وحمل ونقل جاده اي لرستان"</f>
        <v xml:space="preserve">  اداره كل راهداري وحمل ونقل جاده اي لرستان</v>
      </c>
      <c r="Q1793" s="1">
        <v>19</v>
      </c>
      <c r="R179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793" s="1" t="str">
        <f>"قرارداد فروش"</f>
        <v>قرارداد فروش</v>
      </c>
      <c r="T1793" s="1" t="str">
        <f>"ندارد"</f>
        <v>ندارد</v>
      </c>
      <c r="U1793" s="1" t="str">
        <f>"ريسماني حسن(1007ج89)"</f>
        <v>ريسماني حسن(1007ج89)</v>
      </c>
      <c r="V1793" s="1">
        <v>961900169</v>
      </c>
      <c r="W1793" s="1">
        <v>961900169</v>
      </c>
      <c r="X1793" s="1" t="str">
        <f>"1396516181"</f>
        <v>1396516181</v>
      </c>
      <c r="Y1793" s="1" t="str">
        <f>"96/07/11"</f>
        <v>96/07/11</v>
      </c>
      <c r="Z1793" s="1" t="str">
        <f>"33347/710"</f>
        <v>33347/710</v>
      </c>
      <c r="AA1793" s="1" t="str">
        <f>"سازمان راهداري وحمل نقل جاده اي"</f>
        <v>سازمان راهداري وحمل نقل جاده اي</v>
      </c>
      <c r="AB1793" s="1" t="str">
        <f>"96/07/04"</f>
        <v>96/07/04</v>
      </c>
      <c r="AC1793" s="1" t="str">
        <f>"لرستان"</f>
        <v>لرستان</v>
      </c>
      <c r="AD1793" s="1" t="str">
        <f>"96/07/04"</f>
        <v>96/07/04</v>
      </c>
      <c r="AE1793" s="1" t="str">
        <f>"اختتام"</f>
        <v>اختتام</v>
      </c>
      <c r="AF1793" s="1" t="str">
        <f>""</f>
        <v/>
      </c>
      <c r="AG1793" s="1" t="str">
        <f>""</f>
        <v/>
      </c>
      <c r="AH1793" s="1" t="str">
        <f>""</f>
        <v/>
      </c>
      <c r="AI1793" s="1" t="str">
        <f>""</f>
        <v/>
      </c>
      <c r="AJ1793" s="1" t="str">
        <f>""</f>
        <v/>
      </c>
      <c r="AK1793" s="1" t="str">
        <f>""</f>
        <v/>
      </c>
    </row>
    <row r="1794" spans="1:37">
      <c r="A1794" s="1">
        <v>272000</v>
      </c>
      <c r="B1794" s="1">
        <v>966200277</v>
      </c>
      <c r="C1794" s="1" t="str">
        <f>"تخليه -رشت -فلكه انتظام -كيلومتر3جاده جيرده شركت راهسازي لاتوم"</f>
        <v>تخليه -رشت -فلكه انتظام -كيلومتر3جاده جيرده شركت راهسازي لاتوم</v>
      </c>
      <c r="D1794" s="1">
        <v>9363</v>
      </c>
      <c r="E1794" s="1">
        <v>272000</v>
      </c>
      <c r="F1794" s="1">
        <v>96</v>
      </c>
      <c r="G1794" s="1">
        <v>0</v>
      </c>
      <c r="H1794" s="1" t="str">
        <f>"96/07/10"</f>
        <v>96/07/10</v>
      </c>
      <c r="I1794" s="1" t="str">
        <f>"كيلوگرم"</f>
        <v>كيلوگرم</v>
      </c>
      <c r="J1794" s="1" t="str">
        <f>"0000000093"</f>
        <v>0000000093</v>
      </c>
      <c r="K1794" s="1" t="str">
        <f>"قير  PG64-10"</f>
        <v>قير  PG64-10</v>
      </c>
      <c r="L1794" s="1">
        <v>100</v>
      </c>
      <c r="M1794" s="1" t="str">
        <f>"مخازن قير اصفهان"</f>
        <v>مخازن قير اصفهان</v>
      </c>
      <c r="N1794" s="1">
        <v>4050</v>
      </c>
      <c r="O1794" s="1">
        <v>50036482</v>
      </c>
      <c r="P1794" s="1" t="str">
        <f>"  لاتوم(1849002)"</f>
        <v xml:space="preserve">  لاتوم(1849002)</v>
      </c>
      <c r="Q1794" s="1">
        <v>62</v>
      </c>
      <c r="R1794" s="1" t="str">
        <f>"فروش داخلي - سازمان بنيادمسكن انقلاب اسلامي"</f>
        <v>فروش داخلي - سازمان بنيادمسكن انقلاب اسلامي</v>
      </c>
      <c r="S1794" s="1" t="str">
        <f>"قرارداد فروش"</f>
        <v>قرارداد فروش</v>
      </c>
      <c r="T1794" s="1" t="str">
        <f>"ندارد"</f>
        <v>ندارد</v>
      </c>
      <c r="U1794" s="1" t="str">
        <f>"لاتوم(1849002)"</f>
        <v>لاتوم(1849002)</v>
      </c>
      <c r="V1794" s="1">
        <v>966200277</v>
      </c>
      <c r="W1794" s="1">
        <v>966200277</v>
      </c>
      <c r="X1794" s="1" t="str">
        <f>"1396515522"</f>
        <v>1396515522</v>
      </c>
      <c r="Y1794" s="1" t="str">
        <f>"96/07/10"</f>
        <v>96/07/10</v>
      </c>
      <c r="Z1794" s="1" t="str">
        <f>"29690/د"</f>
        <v>29690/د</v>
      </c>
      <c r="AA1794" s="1" t="str">
        <f>"بنيادمسكن انقلاب اسلامي"</f>
        <v>بنيادمسكن انقلاب اسلامي</v>
      </c>
      <c r="AB1794" s="1" t="str">
        <f>"96/07/04"</f>
        <v>96/07/04</v>
      </c>
      <c r="AC1794" s="1" t="str">
        <f>"استان گيلان"</f>
        <v>استان گيلان</v>
      </c>
      <c r="AD1794" s="1" t="str">
        <f>"96/07/05"</f>
        <v>96/07/05</v>
      </c>
      <c r="AE1794" s="1" t="str">
        <f>"اختتام"</f>
        <v>اختتام</v>
      </c>
      <c r="AF1794" s="1" t="str">
        <f>""</f>
        <v/>
      </c>
      <c r="AG1794" s="1" t="str">
        <f>""</f>
        <v/>
      </c>
      <c r="AH1794" s="1" t="str">
        <f>""</f>
        <v/>
      </c>
      <c r="AI1794" s="1" t="str">
        <f>""</f>
        <v/>
      </c>
      <c r="AJ1794" s="1" t="str">
        <f>""</f>
        <v/>
      </c>
      <c r="AK1794" s="1" t="str">
        <f>""</f>
        <v/>
      </c>
    </row>
    <row r="1795" spans="1:37">
      <c r="A1795" s="1">
        <v>248000</v>
      </c>
      <c r="B1795" s="1">
        <v>966200514</v>
      </c>
      <c r="C1795" s="1" t="str">
        <f>"تخليه -رشت -فلكه انتظام -كيلومتر3جاده جيرده شركت راهسازي لاتوم"</f>
        <v>تخليه -رشت -فلكه انتظام -كيلومتر3جاده جيرده شركت راهسازي لاتوم</v>
      </c>
      <c r="D1795" s="1">
        <v>13100</v>
      </c>
      <c r="E1795" s="1">
        <v>246760</v>
      </c>
      <c r="F1795" s="1">
        <v>96</v>
      </c>
      <c r="G1795" s="1">
        <v>1240</v>
      </c>
      <c r="H1795" s="1" t="str">
        <f>"96/10/20"</f>
        <v>96/10/20</v>
      </c>
      <c r="I1795" s="1" t="str">
        <f>"كيلوگرم"</f>
        <v>كيلوگرم</v>
      </c>
      <c r="J1795" s="1" t="str">
        <f>"0000000093"</f>
        <v>0000000093</v>
      </c>
      <c r="K1795" s="1" t="str">
        <f>"قير  PG64-10"</f>
        <v>قير  PG64-10</v>
      </c>
      <c r="L1795" s="1">
        <v>100</v>
      </c>
      <c r="M1795" s="1" t="str">
        <f>"مخازن قير اصفهان"</f>
        <v>مخازن قير اصفهان</v>
      </c>
      <c r="N1795" s="1">
        <v>4050</v>
      </c>
      <c r="O1795" s="1">
        <v>50038114</v>
      </c>
      <c r="P1795" s="1" t="str">
        <f>"  لاتوم(1849002)"</f>
        <v xml:space="preserve">  لاتوم(1849002)</v>
      </c>
      <c r="Q1795" s="1">
        <v>62</v>
      </c>
      <c r="R1795" s="1" t="str">
        <f>"فروش داخلي - سازمان بنيادمسكن انقلاب اسلامي"</f>
        <v>فروش داخلي - سازمان بنيادمسكن انقلاب اسلامي</v>
      </c>
      <c r="S1795" s="1" t="str">
        <f>"قرارداد فروش"</f>
        <v>قرارداد فروش</v>
      </c>
      <c r="T1795" s="1" t="str">
        <f>"ندارد"</f>
        <v>ندارد</v>
      </c>
      <c r="U1795" s="1" t="str">
        <f>"لاتوم(1849002)"</f>
        <v>لاتوم(1849002)</v>
      </c>
      <c r="V1795" s="1">
        <v>966200514</v>
      </c>
      <c r="W1795" s="1">
        <v>966200514</v>
      </c>
      <c r="X1795" s="1" t="str">
        <f>"1396539512"</f>
        <v>1396539512</v>
      </c>
      <c r="Y1795" s="1" t="str">
        <f>"96/10/20"</f>
        <v>96/10/20</v>
      </c>
      <c r="Z1795" s="1" t="str">
        <f>"46697/د"</f>
        <v>46697/د</v>
      </c>
      <c r="AA1795" s="1" t="str">
        <f>"بنيادمسكن انقلاب اسلامي"</f>
        <v>بنيادمسكن انقلاب اسلامي</v>
      </c>
      <c r="AB1795" s="1" t="str">
        <f>"96/10/19"</f>
        <v>96/10/19</v>
      </c>
      <c r="AC1795" s="1" t="str">
        <f>"استان گيلان"</f>
        <v>استان گيلان</v>
      </c>
      <c r="AD1795" s="1" t="str">
        <f>"96/10/20"</f>
        <v>96/10/20</v>
      </c>
      <c r="AE1795" s="1" t="str">
        <f>"اختتام"</f>
        <v>اختتام</v>
      </c>
      <c r="AF1795" s="1" t="str">
        <f>""</f>
        <v/>
      </c>
      <c r="AG1795" s="1" t="str">
        <f>""</f>
        <v/>
      </c>
      <c r="AH1795" s="1" t="str">
        <f>""</f>
        <v/>
      </c>
      <c r="AI1795" s="1" t="str">
        <f>""</f>
        <v/>
      </c>
      <c r="AJ1795" s="1" t="str">
        <f>""</f>
        <v/>
      </c>
      <c r="AK1795" s="1" t="str">
        <f>""</f>
        <v/>
      </c>
    </row>
    <row r="1796" spans="1:37">
      <c r="A1796" s="1">
        <v>350000</v>
      </c>
      <c r="B1796" s="1">
        <v>966200288</v>
      </c>
      <c r="C1796" s="1" t="str">
        <f>"تخليه -گيلان -رضوانشهر-پونل -كارگاه شهيدتفويضي"</f>
        <v>تخليه -گيلان -رضوانشهر-پونل -كارگاه شهيدتفويضي</v>
      </c>
      <c r="D1796" s="1">
        <v>9363</v>
      </c>
      <c r="E1796" s="1">
        <v>350000</v>
      </c>
      <c r="F1796" s="1">
        <v>96</v>
      </c>
      <c r="G1796" s="1">
        <v>0</v>
      </c>
      <c r="H1796" s="1" t="str">
        <f>"96/07/11"</f>
        <v>96/07/11</v>
      </c>
      <c r="I1796" s="1" t="str">
        <f>"كيلوگرم"</f>
        <v>كيلوگرم</v>
      </c>
      <c r="J1796" s="1" t="str">
        <f>"0000000093"</f>
        <v>0000000093</v>
      </c>
      <c r="K1796" s="1" t="str">
        <f>"قير  PG64-10"</f>
        <v>قير  PG64-10</v>
      </c>
      <c r="L1796" s="1">
        <v>100</v>
      </c>
      <c r="M1796" s="1" t="str">
        <f>"مخازن قير اصفهان"</f>
        <v>مخازن قير اصفهان</v>
      </c>
      <c r="N1796" s="1">
        <v>8024</v>
      </c>
      <c r="O1796" s="1">
        <v>50036512</v>
      </c>
      <c r="P1796" s="1" t="str">
        <f>"  راه آوران كوشش"</f>
        <v xml:space="preserve">  راه آوران كوشش</v>
      </c>
      <c r="Q1796" s="1">
        <v>62</v>
      </c>
      <c r="R1796" s="1" t="str">
        <f>"فروش داخلي - سازمان بنيادمسكن انقلاب اسلامي"</f>
        <v>فروش داخلي - سازمان بنيادمسكن انقلاب اسلامي</v>
      </c>
      <c r="S1796" s="1" t="str">
        <f>"قرارداد فروش"</f>
        <v>قرارداد فروش</v>
      </c>
      <c r="T1796" s="1" t="str">
        <f>"ندارد"</f>
        <v>ندارد</v>
      </c>
      <c r="U1796" s="1" t="str">
        <f>"خليل الهي حسن(1841005)"</f>
        <v>خليل الهي حسن(1841005)</v>
      </c>
      <c r="V1796" s="1">
        <v>966200288</v>
      </c>
      <c r="W1796" s="1">
        <v>966200288</v>
      </c>
      <c r="X1796" s="1" t="str">
        <f>"1396515926"</f>
        <v>1396515926</v>
      </c>
      <c r="Y1796" s="1" t="str">
        <f>"96/07/11"</f>
        <v>96/07/11</v>
      </c>
      <c r="Z1796" s="1" t="str">
        <f>"30190/د"</f>
        <v>30190/د</v>
      </c>
      <c r="AA1796" s="1" t="str">
        <f>"بنيادمسكن انقلاب اسلامي"</f>
        <v>بنيادمسكن انقلاب اسلامي</v>
      </c>
      <c r="AB1796" s="1" t="str">
        <f>"96/07/10"</f>
        <v>96/07/10</v>
      </c>
      <c r="AC1796" s="1" t="str">
        <f>"استان گيلان"</f>
        <v>استان گيلان</v>
      </c>
      <c r="AD1796" s="1" t="str">
        <f>"96/07/11"</f>
        <v>96/07/11</v>
      </c>
      <c r="AE1796" s="1" t="str">
        <f>"اختتام"</f>
        <v>اختتام</v>
      </c>
      <c r="AF1796" s="1" t="str">
        <f>""</f>
        <v/>
      </c>
      <c r="AG1796" s="1" t="str">
        <f>""</f>
        <v/>
      </c>
      <c r="AH1796" s="1" t="str">
        <f>""</f>
        <v/>
      </c>
      <c r="AI1796" s="1" t="str">
        <f>""</f>
        <v/>
      </c>
      <c r="AJ1796" s="1" t="str">
        <f>""</f>
        <v/>
      </c>
      <c r="AK1796" s="1" t="str">
        <f>""</f>
        <v/>
      </c>
    </row>
    <row r="1797" spans="1:37">
      <c r="A1797" s="1">
        <v>360000</v>
      </c>
      <c r="B1797" s="1">
        <v>966200286</v>
      </c>
      <c r="C1797" s="1" t="str">
        <f>"تخليه- گيلان-رضوانشهر-سه راهي پونل به ارده-کيلومتر 8 روستاي دوران-کارخانه آسفالت شرکت ايمن بنا"</f>
        <v>تخليه- گيلان-رضوانشهر-سه راهي پونل به ارده-کيلومتر 8 روستاي دوران-کارخانه آسفالت شرکت ايمن بنا</v>
      </c>
      <c r="D1797" s="1">
        <v>9363</v>
      </c>
      <c r="E1797" s="1">
        <v>359360</v>
      </c>
      <c r="F1797" s="1">
        <v>96</v>
      </c>
      <c r="G1797" s="1">
        <v>640</v>
      </c>
      <c r="H1797" s="1" t="str">
        <f>"96/07/11"</f>
        <v>96/07/11</v>
      </c>
      <c r="I1797" s="1" t="str">
        <f>"كيلوگرم"</f>
        <v>كيلوگرم</v>
      </c>
      <c r="J1797" s="1" t="str">
        <f>"0000000093"</f>
        <v>0000000093</v>
      </c>
      <c r="K1797" s="1" t="str">
        <f>"قير  PG64-10"</f>
        <v>قير  PG64-10</v>
      </c>
      <c r="L1797" s="1">
        <v>100</v>
      </c>
      <c r="M1797" s="1" t="str">
        <f>"مخازن قير اصفهان"</f>
        <v>مخازن قير اصفهان</v>
      </c>
      <c r="N1797" s="1">
        <v>8789</v>
      </c>
      <c r="O1797" s="1">
        <v>50036507</v>
      </c>
      <c r="P1797" s="1" t="str">
        <f>"  ايمن بنا"</f>
        <v xml:space="preserve">  ايمن بنا</v>
      </c>
      <c r="Q1797" s="1">
        <v>62</v>
      </c>
      <c r="R1797" s="1" t="str">
        <f>"فروش داخلي - سازمان بنيادمسكن انقلاب اسلامي"</f>
        <v>فروش داخلي - سازمان بنيادمسكن انقلاب اسلامي</v>
      </c>
      <c r="S1797" s="1" t="str">
        <f>"قرارداد فروش"</f>
        <v>قرارداد فروش</v>
      </c>
      <c r="T1797" s="1" t="str">
        <f>"ندارد"</f>
        <v>ندارد</v>
      </c>
      <c r="U1797" s="1" t="str">
        <f>"خليل الهي حسن(1841005)"</f>
        <v>خليل الهي حسن(1841005)</v>
      </c>
      <c r="V1797" s="1">
        <v>966200286</v>
      </c>
      <c r="W1797" s="1">
        <v>966200286</v>
      </c>
      <c r="X1797" s="1" t="str">
        <f>"1396515926"</f>
        <v>1396515926</v>
      </c>
      <c r="Y1797" s="1" t="str">
        <f>"96/07/11"</f>
        <v>96/07/11</v>
      </c>
      <c r="Z1797" s="1" t="str">
        <f>"30187/د"</f>
        <v>30187/د</v>
      </c>
      <c r="AA1797" s="1" t="str">
        <f>"بنيادمسكن انقلاب اسلامي"</f>
        <v>بنيادمسكن انقلاب اسلامي</v>
      </c>
      <c r="AB1797" s="1" t="str">
        <f>"96/07/10"</f>
        <v>96/07/10</v>
      </c>
      <c r="AC1797" s="1" t="str">
        <f>"استان گيلان"</f>
        <v>استان گيلان</v>
      </c>
      <c r="AD1797" s="1" t="str">
        <f>"96/07/11"</f>
        <v>96/07/11</v>
      </c>
      <c r="AE1797" s="1" t="str">
        <f>"اختتام"</f>
        <v>اختتام</v>
      </c>
      <c r="AF1797" s="1" t="str">
        <f>""</f>
        <v/>
      </c>
      <c r="AG1797" s="1" t="str">
        <f>""</f>
        <v/>
      </c>
      <c r="AH1797" s="1" t="str">
        <f>""</f>
        <v/>
      </c>
      <c r="AI1797" s="1" t="str">
        <f>""</f>
        <v/>
      </c>
      <c r="AJ1797" s="1" t="str">
        <f>""</f>
        <v/>
      </c>
      <c r="AK1797" s="1" t="str">
        <f>""</f>
        <v/>
      </c>
    </row>
    <row r="1798" spans="1:37">
      <c r="A1798" s="1">
        <v>36000</v>
      </c>
      <c r="B1798" s="1">
        <v>966200647</v>
      </c>
      <c r="C1798" s="1" t="str">
        <f>"تخليه -گيلان -رحيم آباد-پشت باشگاه شهيدصمدپور-كارخانه آسفالت شهيدرجائي-شرکت خصيل دشت رانکوه"</f>
        <v>تخليه -گيلان -رحيم آباد-پشت باشگاه شهيدصمدپور-كارخانه آسفالت شهيدرجائي-شرکت خصيل دشت رانکوه</v>
      </c>
      <c r="D1798" s="1">
        <v>13600</v>
      </c>
      <c r="E1798" s="1">
        <v>35320</v>
      </c>
      <c r="F1798" s="1">
        <v>96</v>
      </c>
      <c r="G1798" s="1">
        <v>680</v>
      </c>
      <c r="H1798" s="1" t="str">
        <f>"96/12/14"</f>
        <v>96/12/14</v>
      </c>
      <c r="I1798" s="1" t="str">
        <f>"كيلوگرم"</f>
        <v>كيلوگرم</v>
      </c>
      <c r="J1798" s="1" t="str">
        <f>"0000000093"</f>
        <v>0000000093</v>
      </c>
      <c r="K1798" s="1" t="str">
        <f>"قير  PG64-10"</f>
        <v>قير  PG64-10</v>
      </c>
      <c r="L1798" s="1">
        <v>100</v>
      </c>
      <c r="M1798" s="1" t="str">
        <f>"مخازن قير اصفهان"</f>
        <v>مخازن قير اصفهان</v>
      </c>
      <c r="N1798" s="1">
        <v>9053</v>
      </c>
      <c r="O1798" s="1">
        <v>50038768</v>
      </c>
      <c r="P1798" s="1" t="str">
        <f>"  خصيل دشت رانكوه"</f>
        <v xml:space="preserve">  خصيل دشت رانكوه</v>
      </c>
      <c r="Q1798" s="1">
        <v>62</v>
      </c>
      <c r="R1798" s="1" t="str">
        <f>"فروش داخلي - سازمان بنيادمسكن انقلاب اسلامي"</f>
        <v>فروش داخلي - سازمان بنيادمسكن انقلاب اسلامي</v>
      </c>
      <c r="S1798" s="1" t="str">
        <f>"قرارداد فروش"</f>
        <v>قرارداد فروش</v>
      </c>
      <c r="T1798" s="1" t="str">
        <f>"ندارد"</f>
        <v>ندارد</v>
      </c>
      <c r="U1798" s="1" t="str">
        <f>"خليل الهي حسن(1841005)"</f>
        <v>خليل الهي حسن(1841005)</v>
      </c>
      <c r="V1798" s="1">
        <v>966200647</v>
      </c>
      <c r="W1798" s="1">
        <v>966200647</v>
      </c>
      <c r="X1798" s="1" t="str">
        <f>"1396552263"</f>
        <v>1396552263</v>
      </c>
      <c r="Y1798" s="1" t="str">
        <f>"96/12/14"</f>
        <v>96/12/14</v>
      </c>
      <c r="Z1798" s="1" t="str">
        <f>"56602/د"</f>
        <v>56602/د</v>
      </c>
      <c r="AA1798" s="1" t="str">
        <f>"بنيادمسكن انقلاب اسلامي"</f>
        <v>بنيادمسكن انقلاب اسلامي</v>
      </c>
      <c r="AB1798" s="1" t="str">
        <f>"96/12/13"</f>
        <v>96/12/13</v>
      </c>
      <c r="AC1798" s="1" t="str">
        <f>"استان گيلان"</f>
        <v>استان گيلان</v>
      </c>
      <c r="AD1798" s="1" t="str">
        <f>"96/12/14"</f>
        <v>96/12/14</v>
      </c>
      <c r="AE1798" s="1" t="str">
        <f>"اختتام"</f>
        <v>اختتام</v>
      </c>
      <c r="AF1798" s="1" t="str">
        <f>""</f>
        <v/>
      </c>
      <c r="AG1798" s="1" t="str">
        <f>""</f>
        <v/>
      </c>
      <c r="AH1798" s="1" t="str">
        <f>""</f>
        <v/>
      </c>
      <c r="AI1798" s="1" t="str">
        <f>""</f>
        <v/>
      </c>
      <c r="AJ1798" s="1" t="str">
        <f>""</f>
        <v/>
      </c>
      <c r="AK1798" s="1" t="str">
        <f>""</f>
        <v/>
      </c>
    </row>
    <row r="1799" spans="1:37">
      <c r="A1799" s="1">
        <v>510000</v>
      </c>
      <c r="B1799" s="1">
        <v>961700014</v>
      </c>
      <c r="C1799" s="1" t="str">
        <f>"تخليه - کهگيلويه و بويراحمد -پروژه تخصيص قير شهرداري پاتاوه-کارخانه آسفالت دارشاهي"</f>
        <v>تخليه - کهگيلويه و بويراحمد -پروژه تخصيص قير شهرداري پاتاوه-کارخانه آسفالت دارشاهي</v>
      </c>
      <c r="D1799" s="1">
        <v>8854</v>
      </c>
      <c r="E1799" s="1">
        <v>506080</v>
      </c>
      <c r="F1799" s="1">
        <v>96</v>
      </c>
      <c r="G1799" s="1">
        <v>3920</v>
      </c>
      <c r="H1799" s="1" t="str">
        <f>"96/03/10"</f>
        <v>96/03/10</v>
      </c>
      <c r="I1799" s="1" t="str">
        <f>"كيلوگرم"</f>
        <v>كيلوگرم</v>
      </c>
      <c r="J1799" s="1" t="str">
        <f>"0000000093"</f>
        <v>0000000093</v>
      </c>
      <c r="K1799" s="1" t="str">
        <f>"قير  PG64-10"</f>
        <v>قير  PG64-10</v>
      </c>
      <c r="L1799" s="1">
        <v>100</v>
      </c>
      <c r="M1799" s="1" t="str">
        <f>"مخازن قير اصفهان"</f>
        <v>مخازن قير اصفهان</v>
      </c>
      <c r="N1799" s="1">
        <v>10343</v>
      </c>
      <c r="O1799" s="1">
        <v>50034929</v>
      </c>
      <c r="P1799" s="1" t="str">
        <f>"  اداره كل راه وشهرسازي كهگيلويه وبويراحمد"</f>
        <v xml:space="preserve">  اداره كل راه وشهرسازي كهگيلويه وبويراحمد</v>
      </c>
      <c r="Q1799" s="1">
        <v>17</v>
      </c>
      <c r="R1799" s="1" t="str">
        <f>"فروش داخلي تهران - وزارت راه - راه روستايي - روکش"</f>
        <v>فروش داخلي تهران - وزارت راه - راه روستايي - روکش</v>
      </c>
      <c r="S1799" s="1" t="str">
        <f>"قرارداد فروش"</f>
        <v>قرارداد فروش</v>
      </c>
      <c r="T1799" s="1" t="str">
        <f>"ندارد"</f>
        <v>ندارد</v>
      </c>
      <c r="U1799" s="1" t="str">
        <f>"غلام نجفي سيامك‌‌‌‌‌‌(1881082)"</f>
        <v>غلام نجفي سيامك‌‌‌‌‌‌(1881082)</v>
      </c>
      <c r="V1799" s="1">
        <v>961700014</v>
      </c>
      <c r="W1799" s="1">
        <v>961700014</v>
      </c>
      <c r="X1799" s="1" t="str">
        <f>"1396485062"</f>
        <v>1396485062</v>
      </c>
      <c r="Y1799" s="1" t="str">
        <f>"96/03/10"</f>
        <v>96/03/10</v>
      </c>
      <c r="Z1799" s="1" t="str">
        <f>"10864/710"</f>
        <v>10864/710</v>
      </c>
      <c r="AA1799" s="1" t="str">
        <f>"راه روستائي -روكش"</f>
        <v>راه روستائي -روكش</v>
      </c>
      <c r="AB1799" s="1" t="str">
        <f>"96/03/09"</f>
        <v>96/03/09</v>
      </c>
      <c r="AC1799" s="1" t="str">
        <f>"كهكيلويه و بوير احمد"</f>
        <v>كهكيلويه و بوير احمد</v>
      </c>
      <c r="AD1799" s="1" t="str">
        <f>"96/03/10"</f>
        <v>96/03/10</v>
      </c>
      <c r="AE1799" s="1" t="str">
        <f>"اختتام"</f>
        <v>اختتام</v>
      </c>
      <c r="AF1799" s="1" t="str">
        <f>""</f>
        <v/>
      </c>
      <c r="AG1799" s="1" t="str">
        <f>""</f>
        <v/>
      </c>
      <c r="AH1799" s="1" t="str">
        <f>""</f>
        <v/>
      </c>
      <c r="AI1799" s="1" t="str">
        <f>""</f>
        <v/>
      </c>
      <c r="AJ1799" s="1" t="str">
        <f>""</f>
        <v/>
      </c>
      <c r="AK1799" s="1" t="str">
        <f>""</f>
        <v/>
      </c>
    </row>
    <row r="1800" spans="1:37">
      <c r="A1800" s="1">
        <v>309000</v>
      </c>
      <c r="B1800" s="1">
        <v>966200221</v>
      </c>
      <c r="C1800" s="1" t="str">
        <f>"تخليه -گيلان -نرسيده به پليس راه رشت آستارا-جنب هواشناسي آستارا-کارخانه آسفالت شرکت ساختکارآفرين"</f>
        <v>تخليه -گيلان -نرسيده به پليس راه رشت آستارا-جنب هواشناسي آستارا-کارخانه آسفالت شرکت ساختکارآفرين</v>
      </c>
      <c r="D1800" s="1">
        <v>9204</v>
      </c>
      <c r="E1800" s="1">
        <v>309000</v>
      </c>
      <c r="F1800" s="1">
        <v>96</v>
      </c>
      <c r="G1800" s="1">
        <v>0</v>
      </c>
      <c r="H1800" s="1" t="str">
        <f>"96/06/11"</f>
        <v>96/06/11</v>
      </c>
      <c r="I1800" s="1" t="str">
        <f>"كيلوگرم"</f>
        <v>كيلوگرم</v>
      </c>
      <c r="J1800" s="1" t="str">
        <f>"0000000093"</f>
        <v>0000000093</v>
      </c>
      <c r="K1800" s="1" t="str">
        <f>"قير  PG64-10"</f>
        <v>قير  PG64-10</v>
      </c>
      <c r="L1800" s="1">
        <v>100</v>
      </c>
      <c r="M1800" s="1" t="str">
        <f>"مخازن قير اصفهان"</f>
        <v>مخازن قير اصفهان</v>
      </c>
      <c r="N1800" s="1">
        <v>10375</v>
      </c>
      <c r="O1800" s="1">
        <v>50035879</v>
      </c>
      <c r="P1800" s="1" t="str">
        <f>"  ساختکارآفرين"</f>
        <v xml:space="preserve">  ساختکارآفرين</v>
      </c>
      <c r="Q1800" s="1">
        <v>62</v>
      </c>
      <c r="R1800" s="1" t="str">
        <f>"فروش داخلي - سازمان بنيادمسكن انقلاب اسلامي"</f>
        <v>فروش داخلي - سازمان بنيادمسكن انقلاب اسلامي</v>
      </c>
      <c r="S1800" s="1" t="str">
        <f>"قرارداد فروش"</f>
        <v>قرارداد فروش</v>
      </c>
      <c r="T1800" s="1" t="str">
        <f>"ندارد"</f>
        <v>ندارد</v>
      </c>
      <c r="U1800" s="1" t="str">
        <f>"خليل الهي حسن(1841005)"</f>
        <v>خليل الهي حسن(1841005)</v>
      </c>
      <c r="V1800" s="1">
        <v>966200221</v>
      </c>
      <c r="W1800" s="1">
        <v>966200221</v>
      </c>
      <c r="X1800" s="1" t="str">
        <f>"1396509609"</f>
        <v>1396509609</v>
      </c>
      <c r="Y1800" s="1" t="str">
        <f>"96/06/11"</f>
        <v>96/06/11</v>
      </c>
      <c r="Z1800" s="1" t="str">
        <f>"24985/د"</f>
        <v>24985/د</v>
      </c>
      <c r="AA1800" s="1" t="str">
        <f>"بنيادمسكن انقلاب اسلامي"</f>
        <v>بنيادمسكن انقلاب اسلامي</v>
      </c>
      <c r="AB1800" s="1" t="str">
        <f>"96/06/08"</f>
        <v>96/06/08</v>
      </c>
      <c r="AC1800" s="1" t="str">
        <f>"استان گيلان"</f>
        <v>استان گيلان</v>
      </c>
      <c r="AD1800" s="1" t="str">
        <f>"96/06/11"</f>
        <v>96/06/11</v>
      </c>
      <c r="AE1800" s="1" t="str">
        <f>"اختتام"</f>
        <v>اختتام</v>
      </c>
      <c r="AF1800" s="1" t="str">
        <f>""</f>
        <v/>
      </c>
      <c r="AG1800" s="1" t="str">
        <f>""</f>
        <v/>
      </c>
      <c r="AH1800" s="1" t="str">
        <f>""</f>
        <v/>
      </c>
      <c r="AI1800" s="1" t="str">
        <f>""</f>
        <v/>
      </c>
      <c r="AJ1800" s="1" t="str">
        <f>""</f>
        <v/>
      </c>
      <c r="AK1800" s="1" t="str">
        <f>""</f>
        <v/>
      </c>
    </row>
    <row r="1801" spans="1:37">
      <c r="A1801" s="1">
        <v>230000</v>
      </c>
      <c r="B1801" s="1">
        <v>966200270</v>
      </c>
      <c r="C1801" s="1" t="str">
        <f>"تخليه -گيلان -نرسيده به پليس راه رشت آستارا-جنب هواشناسي آستارا-کارخانه آسفالت شرکت ساختکارآفرين"</f>
        <v>تخليه -گيلان -نرسيده به پليس راه رشت آستارا-جنب هواشناسي آستارا-کارخانه آسفالت شرکت ساختکارآفرين</v>
      </c>
      <c r="D1801" s="1">
        <v>9363</v>
      </c>
      <c r="E1801" s="1">
        <v>230000</v>
      </c>
      <c r="F1801" s="1">
        <v>96</v>
      </c>
      <c r="G1801" s="1">
        <v>0</v>
      </c>
      <c r="H1801" s="1" t="str">
        <f>"96/07/10"</f>
        <v>96/07/10</v>
      </c>
      <c r="I1801" s="1" t="str">
        <f>"كيلوگرم"</f>
        <v>كيلوگرم</v>
      </c>
      <c r="J1801" s="1" t="str">
        <f>"0000000093"</f>
        <v>0000000093</v>
      </c>
      <c r="K1801" s="1" t="str">
        <f>"قير  PG64-10"</f>
        <v>قير  PG64-10</v>
      </c>
      <c r="L1801" s="1">
        <v>100</v>
      </c>
      <c r="M1801" s="1" t="str">
        <f>"مخازن قير اصفهان"</f>
        <v>مخازن قير اصفهان</v>
      </c>
      <c r="N1801" s="1">
        <v>10375</v>
      </c>
      <c r="O1801" s="1">
        <v>50036475</v>
      </c>
      <c r="P1801" s="1" t="str">
        <f>"  ساختکارآفرين"</f>
        <v xml:space="preserve">  ساختکارآفرين</v>
      </c>
      <c r="Q1801" s="1">
        <v>62</v>
      </c>
      <c r="R1801" s="1" t="str">
        <f>"فروش داخلي - سازمان بنيادمسكن انقلاب اسلامي"</f>
        <v>فروش داخلي - سازمان بنيادمسكن انقلاب اسلامي</v>
      </c>
      <c r="S1801" s="1" t="str">
        <f>"قرارداد فروش"</f>
        <v>قرارداد فروش</v>
      </c>
      <c r="T1801" s="1" t="str">
        <f>"ندارد"</f>
        <v>ندارد</v>
      </c>
      <c r="U1801" s="1" t="str">
        <f>"خليل الهي حسن(1841005)"</f>
        <v>خليل الهي حسن(1841005)</v>
      </c>
      <c r="V1801" s="1">
        <v>966200270</v>
      </c>
      <c r="W1801" s="1">
        <v>966200270</v>
      </c>
      <c r="X1801" s="1" t="str">
        <f>"1396515522"</f>
        <v>1396515522</v>
      </c>
      <c r="Y1801" s="1" t="str">
        <f>"96/07/10"</f>
        <v>96/07/10</v>
      </c>
      <c r="Z1801" s="1" t="str">
        <f>"29636/د"</f>
        <v>29636/د</v>
      </c>
      <c r="AA1801" s="1" t="str">
        <f>"بنيادمسكن انقلاب اسلامي"</f>
        <v>بنيادمسكن انقلاب اسلامي</v>
      </c>
      <c r="AB1801" s="1" t="str">
        <f>"96/07/04"</f>
        <v>96/07/04</v>
      </c>
      <c r="AC1801" s="1" t="str">
        <f>"استان گيلان"</f>
        <v>استان گيلان</v>
      </c>
      <c r="AD1801" s="1" t="str">
        <f>"96/07/05"</f>
        <v>96/07/05</v>
      </c>
      <c r="AE1801" s="1" t="str">
        <f>"اختتام"</f>
        <v>اختتام</v>
      </c>
      <c r="AF1801" s="1" t="str">
        <f>""</f>
        <v/>
      </c>
      <c r="AG1801" s="1" t="str">
        <f>""</f>
        <v/>
      </c>
      <c r="AH1801" s="1" t="str">
        <f>""</f>
        <v/>
      </c>
      <c r="AI1801" s="1" t="str">
        <f>""</f>
        <v/>
      </c>
      <c r="AJ1801" s="1" t="str">
        <f>""</f>
        <v/>
      </c>
      <c r="AK1801" s="1" t="str">
        <f>""</f>
        <v/>
      </c>
    </row>
    <row r="1802" spans="1:37">
      <c r="A1802" s="1">
        <v>2560000</v>
      </c>
      <c r="B1802" s="1">
        <v>961700054</v>
      </c>
      <c r="C1802" s="1" t="str">
        <f>"تخليه-کهگيلويه و بويراحمد-باشت-کارخانه رزمان"</f>
        <v>تخليه-کهگيلويه و بويراحمد-باشت-کارخانه رزمان</v>
      </c>
      <c r="D1802" s="1">
        <v>8904</v>
      </c>
      <c r="E1802" s="1">
        <v>2556480</v>
      </c>
      <c r="F1802" s="1">
        <v>96</v>
      </c>
      <c r="G1802" s="1">
        <v>3520</v>
      </c>
      <c r="H1802" s="1" t="str">
        <f>"96/05/23"</f>
        <v>96/05/23</v>
      </c>
      <c r="I1802" s="1" t="str">
        <f>"كيلوگرم"</f>
        <v>كيلوگرم</v>
      </c>
      <c r="J1802" s="1" t="str">
        <f>"0000000093"</f>
        <v>0000000093</v>
      </c>
      <c r="K1802" s="1" t="str">
        <f>"قير  PG64-10"</f>
        <v>قير  PG64-10</v>
      </c>
      <c r="L1802" s="1">
        <v>100</v>
      </c>
      <c r="M1802" s="1" t="str">
        <f>"مخازن قير اصفهان"</f>
        <v>مخازن قير اصفهان</v>
      </c>
      <c r="N1802" s="1">
        <v>10527</v>
      </c>
      <c r="O1802" s="1">
        <v>50035647</v>
      </c>
      <c r="P1802" s="1" t="str">
        <f>"  كوه دشت پارسيان"</f>
        <v xml:space="preserve">  كوه دشت پارسيان</v>
      </c>
      <c r="Q1802" s="1">
        <v>17</v>
      </c>
      <c r="R1802" s="1" t="str">
        <f>"فروش داخلي تهران - وزارت راه - راه روستايي - روکش"</f>
        <v>فروش داخلي تهران - وزارت راه - راه روستايي - روکش</v>
      </c>
      <c r="S1802" s="1" t="str">
        <f>"قرارداد فروش"</f>
        <v>قرارداد فروش</v>
      </c>
      <c r="T1802" s="1" t="str">
        <f>"ندارد"</f>
        <v>ندارد</v>
      </c>
      <c r="U1802" s="1" t="str">
        <f>"دشت بشي پودنگ وبرادران رضا(4844014)"</f>
        <v>دشت بشي پودنگ وبرادران رضا(4844014)</v>
      </c>
      <c r="V1802" s="1">
        <v>961700054</v>
      </c>
      <c r="W1802" s="1">
        <v>961700054</v>
      </c>
      <c r="X1802" s="1" t="str">
        <f>"1396505085"</f>
        <v>1396505085</v>
      </c>
      <c r="Y1802" s="1" t="str">
        <f>"96/05/23"</f>
        <v>96/05/23</v>
      </c>
      <c r="Z1802" s="1" t="str">
        <f>"24248/710"</f>
        <v>24248/710</v>
      </c>
      <c r="AA1802" s="1" t="str">
        <f>"راه روستائي -روكش"</f>
        <v>راه روستائي -روكش</v>
      </c>
      <c r="AB1802" s="1" t="str">
        <f>"96/05/21"</f>
        <v>96/05/21</v>
      </c>
      <c r="AC1802" s="1" t="str">
        <f>"كهكيلويه و بوير احمد"</f>
        <v>كهكيلويه و بوير احمد</v>
      </c>
      <c r="AD1802" s="1" t="str">
        <f>"96/05/23"</f>
        <v>96/05/23</v>
      </c>
      <c r="AE1802" s="1" t="str">
        <f>"اختتام"</f>
        <v>اختتام</v>
      </c>
      <c r="AF1802" s="1" t="str">
        <f>""</f>
        <v/>
      </c>
      <c r="AG1802" s="1" t="str">
        <f>""</f>
        <v/>
      </c>
      <c r="AH1802" s="1" t="str">
        <f>""</f>
        <v/>
      </c>
      <c r="AI1802" s="1" t="str">
        <f>""</f>
        <v/>
      </c>
      <c r="AJ1802" s="1" t="str">
        <f>""</f>
        <v/>
      </c>
      <c r="AK1802" s="1" t="str">
        <f>""</f>
        <v/>
      </c>
    </row>
    <row r="1803" spans="1:37">
      <c r="A1803" s="1">
        <v>140000</v>
      </c>
      <c r="B1803" s="1">
        <v>966200163</v>
      </c>
      <c r="C1803" s="1" t="str">
        <f>"گيلان شهرستان رودبارروستاي گنچه جنب كارخانه روغن كشي كارخانه آسفالت گنچه"</f>
        <v>گيلان شهرستان رودبارروستاي گنچه جنب كارخانه روغن كشي كارخانه آسفالت گنچه</v>
      </c>
      <c r="D1803" s="1">
        <v>8904</v>
      </c>
      <c r="E1803" s="1">
        <v>139880</v>
      </c>
      <c r="F1803" s="1">
        <v>96</v>
      </c>
      <c r="G1803" s="1">
        <v>120</v>
      </c>
      <c r="H1803" s="1" t="str">
        <f>"96/05/08"</f>
        <v>96/05/08</v>
      </c>
      <c r="I1803" s="1" t="str">
        <f>"كيلوگرم"</f>
        <v>كيلوگرم</v>
      </c>
      <c r="J1803" s="1" t="str">
        <f>"0000000093"</f>
        <v>0000000093</v>
      </c>
      <c r="K1803" s="1" t="str">
        <f>"قير  PG64-10"</f>
        <v>قير  PG64-10</v>
      </c>
      <c r="L1803" s="1">
        <v>100</v>
      </c>
      <c r="M1803" s="1" t="str">
        <f>"مخازن قير اصفهان"</f>
        <v>مخازن قير اصفهان</v>
      </c>
      <c r="N1803" s="1">
        <v>11383</v>
      </c>
      <c r="O1803" s="1">
        <v>50035404</v>
      </c>
      <c r="P1803" s="1" t="str">
        <f>"  فني ومهندسي عمران گسترتالش"</f>
        <v xml:space="preserve">  فني ومهندسي عمران گسترتالش</v>
      </c>
      <c r="Q1803" s="1">
        <v>62</v>
      </c>
      <c r="R1803" s="1" t="str">
        <f>"فروش داخلي - سازمان بنيادمسكن انقلاب اسلامي"</f>
        <v>فروش داخلي - سازمان بنيادمسكن انقلاب اسلامي</v>
      </c>
      <c r="S1803" s="1" t="str">
        <f>"قرارداد فروش"</f>
        <v>قرارداد فروش</v>
      </c>
      <c r="T1803" s="1" t="str">
        <f>"ندارد"</f>
        <v>ندارد</v>
      </c>
      <c r="U1803" s="1" t="str">
        <f>"حاجيلوئي علي اصغر(2842019)"</f>
        <v>حاجيلوئي علي اصغر(2842019)</v>
      </c>
      <c r="V1803" s="1">
        <v>966200163</v>
      </c>
      <c r="W1803" s="1">
        <v>966200163</v>
      </c>
      <c r="X1803" s="1" t="str">
        <f>"1396500986"</f>
        <v>1396500986</v>
      </c>
      <c r="Y1803" s="1" t="str">
        <f>"96/05/08"</f>
        <v>96/05/08</v>
      </c>
      <c r="Z1803" s="1" t="str">
        <f>"18714/د"</f>
        <v>18714/د</v>
      </c>
      <c r="AA1803" s="1" t="str">
        <f>"بنيادمسكن انقلاب اسلامي"</f>
        <v>بنيادمسكن انقلاب اسلامي</v>
      </c>
      <c r="AB1803" s="1" t="str">
        <f>"96/05/07"</f>
        <v>96/05/07</v>
      </c>
      <c r="AC1803" s="1" t="str">
        <f>"استان گيلان"</f>
        <v>استان گيلان</v>
      </c>
      <c r="AD1803" s="1" t="str">
        <f>"96/05/08"</f>
        <v>96/05/08</v>
      </c>
      <c r="AE1803" s="1" t="str">
        <f>"اختتام"</f>
        <v>اختتام</v>
      </c>
      <c r="AF1803" s="1" t="str">
        <f>""</f>
        <v/>
      </c>
      <c r="AG1803" s="1" t="str">
        <f>""</f>
        <v/>
      </c>
      <c r="AH1803" s="1" t="str">
        <f>""</f>
        <v/>
      </c>
      <c r="AI1803" s="1" t="str">
        <f>""</f>
        <v/>
      </c>
      <c r="AJ1803" s="1" t="str">
        <f>""</f>
        <v/>
      </c>
      <c r="AK1803" s="1" t="str">
        <f>""</f>
        <v/>
      </c>
    </row>
    <row r="1804" spans="1:37">
      <c r="A1804" s="1">
        <v>70000</v>
      </c>
      <c r="B1804" s="1">
        <v>966200516</v>
      </c>
      <c r="C1804" s="1" t="str">
        <f>"تخليه - گيلان - جاده رشت به تهران-جنب پايانه حمل و نقل-کارخانه آسفالت شهيدباهنر-شرکت سبک بناگيل"</f>
        <v>تخليه - گيلان - جاده رشت به تهران-جنب پايانه حمل و نقل-کارخانه آسفالت شهيدباهنر-شرکت سبک بناگيل</v>
      </c>
      <c r="D1804" s="1">
        <v>13100</v>
      </c>
      <c r="E1804" s="1">
        <v>70000</v>
      </c>
      <c r="F1804" s="1">
        <v>96</v>
      </c>
      <c r="G1804" s="1">
        <v>0</v>
      </c>
      <c r="H1804" s="1" t="str">
        <f>"96/10/20"</f>
        <v>96/10/20</v>
      </c>
      <c r="I1804" s="1" t="str">
        <f>"كيلوگرم"</f>
        <v>كيلوگرم</v>
      </c>
      <c r="J1804" s="1" t="str">
        <f>"0000000093"</f>
        <v>0000000093</v>
      </c>
      <c r="K1804" s="1" t="str">
        <f>"قير  PG64-10"</f>
        <v>قير  PG64-10</v>
      </c>
      <c r="L1804" s="1">
        <v>100</v>
      </c>
      <c r="M1804" s="1" t="str">
        <f>"مخازن قير اصفهان"</f>
        <v>مخازن قير اصفهان</v>
      </c>
      <c r="N1804" s="1">
        <v>11384</v>
      </c>
      <c r="O1804" s="1">
        <v>50038118</v>
      </c>
      <c r="P1804" s="1" t="str">
        <f>"  سازه پايدار افلاک"</f>
        <v xml:space="preserve">  سازه پايدار افلاک</v>
      </c>
      <c r="Q1804" s="1">
        <v>62</v>
      </c>
      <c r="R1804" s="1" t="str">
        <f>"فروش داخلي - سازمان بنيادمسكن انقلاب اسلامي"</f>
        <v>فروش داخلي - سازمان بنيادمسكن انقلاب اسلامي</v>
      </c>
      <c r="S1804" s="1" t="str">
        <f>"قرارداد فروش"</f>
        <v>قرارداد فروش</v>
      </c>
      <c r="T1804" s="1" t="str">
        <f>"ندارد"</f>
        <v>ندارد</v>
      </c>
      <c r="U1804" s="1" t="str">
        <f>"هيزچي مرتضي(1841036)"</f>
        <v>هيزچي مرتضي(1841036)</v>
      </c>
      <c r="V1804" s="1">
        <v>966200516</v>
      </c>
      <c r="W1804" s="1">
        <v>966200516</v>
      </c>
      <c r="X1804" s="1" t="str">
        <f>"1396539512"</f>
        <v>1396539512</v>
      </c>
      <c r="Y1804" s="1" t="str">
        <f>"96/10/20"</f>
        <v>96/10/20</v>
      </c>
      <c r="Z1804" s="1" t="str">
        <f>"46749/د"</f>
        <v>46749/د</v>
      </c>
      <c r="AA1804" s="1" t="str">
        <f>"بنيادمسكن انقلاب اسلامي"</f>
        <v>بنيادمسكن انقلاب اسلامي</v>
      </c>
      <c r="AB1804" s="1" t="str">
        <f>"96/10/20"</f>
        <v>96/10/20</v>
      </c>
      <c r="AC1804" s="1" t="str">
        <f>"استان گيلان"</f>
        <v>استان گيلان</v>
      </c>
      <c r="AD1804" s="1" t="str">
        <f>"96/10/20"</f>
        <v>96/10/20</v>
      </c>
      <c r="AE1804" s="1" t="str">
        <f>"اختتام"</f>
        <v>اختتام</v>
      </c>
      <c r="AF1804" s="1" t="str">
        <f>""</f>
        <v/>
      </c>
      <c r="AG1804" s="1" t="str">
        <f>""</f>
        <v/>
      </c>
      <c r="AH1804" s="1" t="str">
        <f>""</f>
        <v/>
      </c>
      <c r="AI1804" s="1" t="str">
        <f>""</f>
        <v/>
      </c>
      <c r="AJ1804" s="1" t="str">
        <f>""</f>
        <v/>
      </c>
      <c r="AK1804" s="1" t="str">
        <f>""</f>
        <v/>
      </c>
    </row>
    <row r="1805" spans="1:37">
      <c r="A1805" s="1">
        <v>190000</v>
      </c>
      <c r="B1805" s="1">
        <v>966200521</v>
      </c>
      <c r="C1805" s="1" t="str">
        <f>"تخليه - گيلان-لوشان-ورودي شهرک صنعتي لوشان-کارخانه آسفالت باروساز شمال"</f>
        <v>تخليه - گيلان-لوشان-ورودي شهرک صنعتي لوشان-کارخانه آسفالت باروساز شمال</v>
      </c>
      <c r="D1805" s="1">
        <v>13100</v>
      </c>
      <c r="E1805" s="1">
        <v>190000</v>
      </c>
      <c r="F1805" s="1">
        <v>96</v>
      </c>
      <c r="G1805" s="1">
        <v>0</v>
      </c>
      <c r="H1805" s="1" t="str">
        <f>"96/10/20"</f>
        <v>96/10/20</v>
      </c>
      <c r="I1805" s="1" t="str">
        <f>"كيلوگرم"</f>
        <v>كيلوگرم</v>
      </c>
      <c r="J1805" s="1" t="str">
        <f>"0000000093"</f>
        <v>0000000093</v>
      </c>
      <c r="K1805" s="1" t="str">
        <f>"قير  PG64-10"</f>
        <v>قير  PG64-10</v>
      </c>
      <c r="L1805" s="1">
        <v>100</v>
      </c>
      <c r="M1805" s="1" t="str">
        <f>"مخازن قير اصفهان"</f>
        <v>مخازن قير اصفهان</v>
      </c>
      <c r="N1805" s="1">
        <v>11460</v>
      </c>
      <c r="O1805" s="1">
        <v>50038126</v>
      </c>
      <c r="P1805" s="1" t="str">
        <f>"  بارو ساز شمال"</f>
        <v xml:space="preserve">  بارو ساز شمال</v>
      </c>
      <c r="Q1805" s="1">
        <v>62</v>
      </c>
      <c r="R1805" s="1" t="str">
        <f>"فروش داخلي - سازمان بنيادمسكن انقلاب اسلامي"</f>
        <v>فروش داخلي - سازمان بنيادمسكن انقلاب اسلامي</v>
      </c>
      <c r="S1805" s="1" t="str">
        <f>"قرارداد فروش"</f>
        <v>قرارداد فروش</v>
      </c>
      <c r="T1805" s="1" t="str">
        <f>"ندارد"</f>
        <v>ندارد</v>
      </c>
      <c r="U1805" s="1" t="str">
        <f>"شيشه بر كريم(1841016)"</f>
        <v>شيشه بر كريم(1841016)</v>
      </c>
      <c r="V1805" s="1">
        <v>966200521</v>
      </c>
      <c r="W1805" s="1">
        <v>966200521</v>
      </c>
      <c r="X1805" s="1" t="str">
        <f>"1396539512"</f>
        <v>1396539512</v>
      </c>
      <c r="Y1805" s="1" t="str">
        <f>"96/10/20"</f>
        <v>96/10/20</v>
      </c>
      <c r="Z1805" s="1" t="str">
        <f>"46753/د"</f>
        <v>46753/د</v>
      </c>
      <c r="AA1805" s="1" t="str">
        <f>"بنيادمسكن انقلاب اسلامي"</f>
        <v>بنيادمسكن انقلاب اسلامي</v>
      </c>
      <c r="AB1805" s="1" t="str">
        <f>"96/10/20"</f>
        <v>96/10/20</v>
      </c>
      <c r="AC1805" s="1" t="str">
        <f>"استان گيلان"</f>
        <v>استان گيلان</v>
      </c>
      <c r="AD1805" s="1" t="str">
        <f>"96/10/20"</f>
        <v>96/10/20</v>
      </c>
      <c r="AE1805" s="1" t="str">
        <f>"اختتام"</f>
        <v>اختتام</v>
      </c>
      <c r="AF1805" s="1" t="str">
        <f>""</f>
        <v/>
      </c>
      <c r="AG1805" s="1" t="str">
        <f>""</f>
        <v/>
      </c>
      <c r="AH1805" s="1" t="str">
        <f>""</f>
        <v/>
      </c>
      <c r="AI1805" s="1" t="str">
        <f>""</f>
        <v/>
      </c>
      <c r="AJ1805" s="1" t="str">
        <f>""</f>
        <v/>
      </c>
      <c r="AK1805" s="1" t="str">
        <f>""</f>
        <v/>
      </c>
    </row>
    <row r="1806" spans="1:37">
      <c r="A1806" s="1">
        <v>144000</v>
      </c>
      <c r="B1806" s="1">
        <v>966200316</v>
      </c>
      <c r="C1806" s="1" t="str">
        <f>"تخليه- گيلان- تالش-ليسار-کارخانه آسفالت ايران پل"</f>
        <v>تخليه- گيلان- تالش-ليسار-کارخانه آسفالت ايران پل</v>
      </c>
      <c r="D1806" s="1">
        <v>9363</v>
      </c>
      <c r="E1806" s="1">
        <v>139500</v>
      </c>
      <c r="F1806" s="1">
        <v>96</v>
      </c>
      <c r="G1806" s="1">
        <v>4500</v>
      </c>
      <c r="H1806" s="1" t="str">
        <f>"96/07/24"</f>
        <v>96/07/24</v>
      </c>
      <c r="I1806" s="1" t="str">
        <f>"كيلوگرم"</f>
        <v>كيلوگرم</v>
      </c>
      <c r="J1806" s="1" t="str">
        <f>"0000000093"</f>
        <v>0000000093</v>
      </c>
      <c r="K1806" s="1" t="str">
        <f>"قير  PG64-10"</f>
        <v>قير  PG64-10</v>
      </c>
      <c r="L1806" s="1">
        <v>100</v>
      </c>
      <c r="M1806" s="1" t="str">
        <f>"مخازن قير اصفهان"</f>
        <v>مخازن قير اصفهان</v>
      </c>
      <c r="N1806" s="1">
        <v>11465</v>
      </c>
      <c r="O1806" s="1">
        <v>50036745</v>
      </c>
      <c r="P1806" s="1" t="str">
        <f>"  مشاهير انرژي سپنتا"</f>
        <v xml:space="preserve">  مشاهير انرژي سپنتا</v>
      </c>
      <c r="Q1806" s="1">
        <v>62</v>
      </c>
      <c r="R1806" s="1" t="str">
        <f>"فروش داخلي - سازمان بنيادمسكن انقلاب اسلامي"</f>
        <v>فروش داخلي - سازمان بنيادمسكن انقلاب اسلامي</v>
      </c>
      <c r="S1806" s="1" t="str">
        <f>"قرارداد فروش"</f>
        <v>قرارداد فروش</v>
      </c>
      <c r="T1806" s="1" t="str">
        <f>"ندارد"</f>
        <v>ندارد</v>
      </c>
      <c r="U1806" s="1" t="str">
        <f>"هيزچي مرتضي(1841036)"</f>
        <v>هيزچي مرتضي(1841036)</v>
      </c>
      <c r="V1806" s="1">
        <v>966200316</v>
      </c>
      <c r="W1806" s="1">
        <v>966200316</v>
      </c>
      <c r="X1806" s="1" t="str">
        <f>"1396518910"</f>
        <v>1396518910</v>
      </c>
      <c r="Y1806" s="1" t="str">
        <f>"96/07/24"</f>
        <v>96/07/24</v>
      </c>
      <c r="Z1806" s="1" t="str">
        <f>"32930/د"</f>
        <v>32930/د</v>
      </c>
      <c r="AA1806" s="1" t="str">
        <f>"بنيادمسكن انقلاب اسلامي"</f>
        <v>بنيادمسكن انقلاب اسلامي</v>
      </c>
      <c r="AB1806" s="1" t="str">
        <f>"96/07/24"</f>
        <v>96/07/24</v>
      </c>
      <c r="AC1806" s="1" t="str">
        <f>"استان گيلان"</f>
        <v>استان گيلان</v>
      </c>
      <c r="AD1806" s="1" t="str">
        <f>"96/07/24"</f>
        <v>96/07/24</v>
      </c>
      <c r="AE1806" s="1" t="str">
        <f>"اختتام"</f>
        <v>اختتام</v>
      </c>
      <c r="AF1806" s="1" t="str">
        <f>""</f>
        <v/>
      </c>
      <c r="AG1806" s="1" t="str">
        <f>""</f>
        <v/>
      </c>
      <c r="AH1806" s="1" t="str">
        <f>""</f>
        <v/>
      </c>
      <c r="AI1806" s="1" t="str">
        <f>""</f>
        <v/>
      </c>
      <c r="AJ1806" s="1" t="str">
        <f>""</f>
        <v/>
      </c>
      <c r="AK1806" s="1" t="str">
        <f>""</f>
        <v/>
      </c>
    </row>
    <row r="1807" spans="1:37">
      <c r="A1807" s="1">
        <v>500000</v>
      </c>
      <c r="B1807" s="1">
        <v>961700146</v>
      </c>
      <c r="C1807" s="1" t="str">
        <f>"تخليه كهگيلويه وبويراحمدبهبهان پل خيرآبادكارخانه آسفالت مظفر"</f>
        <v>تخليه كهگيلويه وبويراحمدبهبهان پل خيرآبادكارخانه آسفالت مظفر</v>
      </c>
      <c r="D1807" s="1">
        <v>15810</v>
      </c>
      <c r="E1807" s="1">
        <v>499000</v>
      </c>
      <c r="F1807" s="1">
        <v>96</v>
      </c>
      <c r="G1807" s="1">
        <v>1000</v>
      </c>
      <c r="H1807" s="1" t="str">
        <f>"96/08/06"</f>
        <v>96/08/06</v>
      </c>
      <c r="I1807" s="1" t="str">
        <f>"كيلوگرم"</f>
        <v>كيلوگرم</v>
      </c>
      <c r="J1807" s="1" t="str">
        <f>"0000000093"</f>
        <v>0000000093</v>
      </c>
      <c r="K1807" s="1" t="str">
        <f>"قير  PG64-10"</f>
        <v>قير  PG64-10</v>
      </c>
      <c r="L1807" s="1">
        <v>100</v>
      </c>
      <c r="M1807" s="1" t="str">
        <f>"مخازن قير اصفهان"</f>
        <v>مخازن قير اصفهان</v>
      </c>
      <c r="N1807" s="1">
        <v>11487</v>
      </c>
      <c r="O1807" s="1">
        <v>50036913</v>
      </c>
      <c r="P1807" s="1" t="str">
        <f>"  شيك سازان بام پادنا"</f>
        <v xml:space="preserve">  شيك سازان بام پادنا</v>
      </c>
      <c r="Q1807" s="1">
        <v>17</v>
      </c>
      <c r="R1807" s="1" t="str">
        <f>"فروش داخلي تهران - وزارت راه - راه روستايي - روکش"</f>
        <v>فروش داخلي تهران - وزارت راه - راه روستايي - روکش</v>
      </c>
      <c r="S1807" s="1" t="str">
        <f>"قرارداد فروش"</f>
        <v>قرارداد فروش</v>
      </c>
      <c r="T1807" s="1" t="str">
        <f>"ندارد"</f>
        <v>ندارد</v>
      </c>
      <c r="U1807" s="1" t="str">
        <f>"دشت بشي پودنگ وبرادران رضا(4844014)"</f>
        <v>دشت بشي پودنگ وبرادران رضا(4844014)</v>
      </c>
      <c r="V1807" s="1">
        <v>961700146</v>
      </c>
      <c r="W1807" s="1">
        <v>961700146</v>
      </c>
      <c r="X1807" s="1" t="str">
        <f>"1396521787"</f>
        <v>1396521787</v>
      </c>
      <c r="Y1807" s="1" t="str">
        <f>"96/08/06"</f>
        <v>96/08/06</v>
      </c>
      <c r="Z1807" s="1" t="str">
        <f>"38318/710"</f>
        <v>38318/710</v>
      </c>
      <c r="AA1807" s="1" t="str">
        <f>"راه روستائي -روكش"</f>
        <v>راه روستائي -روكش</v>
      </c>
      <c r="AB1807" s="1" t="str">
        <f>"96/08/01"</f>
        <v>96/08/01</v>
      </c>
      <c r="AC1807" s="1" t="str">
        <f>"كهكيلويه و بوير احمد"</f>
        <v>كهكيلويه و بوير احمد</v>
      </c>
      <c r="AD1807" s="1" t="str">
        <f>"96/08/06"</f>
        <v>96/08/06</v>
      </c>
      <c r="AE1807" s="1" t="str">
        <f>"اختتام"</f>
        <v>اختتام</v>
      </c>
      <c r="AF1807" s="1" t="str">
        <f>""</f>
        <v/>
      </c>
      <c r="AG1807" s="1" t="str">
        <f>""</f>
        <v/>
      </c>
      <c r="AH1807" s="1" t="str">
        <f>""</f>
        <v/>
      </c>
      <c r="AI1807" s="1" t="str">
        <f>""</f>
        <v/>
      </c>
      <c r="AJ1807" s="1" t="str">
        <f>""</f>
        <v/>
      </c>
      <c r="AK1807" s="1" t="str">
        <f>""</f>
        <v/>
      </c>
    </row>
    <row r="1808" spans="1:37">
      <c r="A1808" s="1">
        <v>185000</v>
      </c>
      <c r="B1808" s="1">
        <v>966200570</v>
      </c>
      <c r="C1808" s="1" t="str">
        <f>"تخليه - گيلان-فومن-کارخانه آسفالت ليکام"</f>
        <v>تخليه - گيلان-فومن-کارخانه آسفالت ليکام</v>
      </c>
      <c r="D1808" s="1">
        <v>13450</v>
      </c>
      <c r="E1808" s="1">
        <v>183940</v>
      </c>
      <c r="F1808" s="1">
        <v>96</v>
      </c>
      <c r="G1808" s="1">
        <v>1060</v>
      </c>
      <c r="H1808" s="1" t="str">
        <f>"96/11/18"</f>
        <v>96/11/18</v>
      </c>
      <c r="I1808" s="1" t="str">
        <f>"كيلوگرم"</f>
        <v>كيلوگرم</v>
      </c>
      <c r="J1808" s="1" t="str">
        <f>"0000000093"</f>
        <v>0000000093</v>
      </c>
      <c r="K1808" s="1" t="str">
        <f>"قير  PG64-10"</f>
        <v>قير  PG64-10</v>
      </c>
      <c r="L1808" s="1">
        <v>100</v>
      </c>
      <c r="M1808" s="1" t="str">
        <f>"مخازن قير اصفهان"</f>
        <v>مخازن قير اصفهان</v>
      </c>
      <c r="N1808" s="1">
        <v>11538</v>
      </c>
      <c r="O1808" s="1">
        <v>50038436</v>
      </c>
      <c r="P1808" s="1" t="str">
        <f>"  کيميا سازه خزر"</f>
        <v xml:space="preserve">  کيميا سازه خزر</v>
      </c>
      <c r="Q1808" s="1">
        <v>62</v>
      </c>
      <c r="R1808" s="1" t="str">
        <f>"فروش داخلي - سازمان بنيادمسكن انقلاب اسلامي"</f>
        <v>فروش داخلي - سازمان بنيادمسكن انقلاب اسلامي</v>
      </c>
      <c r="S1808" s="1" t="str">
        <f>"قرارداد فروش"</f>
        <v>قرارداد فروش</v>
      </c>
      <c r="T1808" s="1" t="str">
        <f>"ندارد"</f>
        <v>ندارد</v>
      </c>
      <c r="U1808" s="1" t="str">
        <f>"هيزچي مرتضي(1841036)"</f>
        <v>هيزچي مرتضي(1841036)</v>
      </c>
      <c r="V1808" s="1">
        <v>966200570</v>
      </c>
      <c r="W1808" s="1">
        <v>966200570</v>
      </c>
      <c r="X1808" s="1" t="str">
        <f>"1396546762"</f>
        <v>1396546762</v>
      </c>
      <c r="Y1808" s="1" t="str">
        <f>"96/11/18"</f>
        <v>96/11/18</v>
      </c>
      <c r="Z1808" s="1" t="str">
        <f>"51858/د"</f>
        <v>51858/د</v>
      </c>
      <c r="AA1808" s="1" t="str">
        <f>"بنيادمسكن انقلاب اسلامي"</f>
        <v>بنيادمسكن انقلاب اسلامي</v>
      </c>
      <c r="AB1808" s="1" t="str">
        <f>"96/11/17"</f>
        <v>96/11/17</v>
      </c>
      <c r="AC1808" s="1" t="str">
        <f>"استان گيلان"</f>
        <v>استان گيلان</v>
      </c>
      <c r="AD1808" s="1" t="str">
        <f>"96/11/18"</f>
        <v>96/11/18</v>
      </c>
      <c r="AE1808" s="1" t="str">
        <f>"اختتام"</f>
        <v>اختتام</v>
      </c>
      <c r="AF1808" s="1" t="str">
        <f>""</f>
        <v/>
      </c>
      <c r="AG1808" s="1" t="str">
        <f>""</f>
        <v/>
      </c>
      <c r="AH1808" s="1" t="str">
        <f>""</f>
        <v/>
      </c>
      <c r="AI1808" s="1" t="str">
        <f>""</f>
        <v/>
      </c>
      <c r="AJ1808" s="1" t="str">
        <f>""</f>
        <v/>
      </c>
      <c r="AK1808" s="1" t="str">
        <f>""</f>
        <v/>
      </c>
    </row>
    <row r="1809" spans="1:37">
      <c r="A1809" s="1">
        <v>30000</v>
      </c>
      <c r="B1809" s="1">
        <v>966200624</v>
      </c>
      <c r="C1809" s="1" t="str">
        <f>"تخليه-گيلان-جاده رشت به تهران-جنب پايانه حمل و نقل-بوستان 4-کارخانه آسفالت شهيد باهنر-شرکت سبک بناء گيل"</f>
        <v>تخليه-گيلان-جاده رشت به تهران-جنب پايانه حمل و نقل-بوستان 4-کارخانه آسفالت شهيد باهنر-شرکت سبک بناء گيل</v>
      </c>
      <c r="D1809" s="1">
        <v>13600</v>
      </c>
      <c r="E1809" s="1">
        <v>25120</v>
      </c>
      <c r="F1809" s="1">
        <v>96</v>
      </c>
      <c r="G1809" s="1">
        <v>4880</v>
      </c>
      <c r="H1809" s="1" t="str">
        <f>"96/12/09"</f>
        <v>96/12/09</v>
      </c>
      <c r="I1809" s="1" t="str">
        <f>"كيلوگرم"</f>
        <v>كيلوگرم</v>
      </c>
      <c r="J1809" s="1" t="str">
        <f>"0000000093"</f>
        <v>0000000093</v>
      </c>
      <c r="K1809" s="1" t="str">
        <f>"قير  PG64-10"</f>
        <v>قير  PG64-10</v>
      </c>
      <c r="L1809" s="1">
        <v>100</v>
      </c>
      <c r="M1809" s="1" t="str">
        <f>"مخازن قير اصفهان"</f>
        <v>مخازن قير اصفهان</v>
      </c>
      <c r="N1809" s="1">
        <v>11543</v>
      </c>
      <c r="O1809" s="1">
        <v>50038688</v>
      </c>
      <c r="P1809" s="1" t="str">
        <f>"  پي ريزان گيل يار البرز"</f>
        <v xml:space="preserve">  پي ريزان گيل يار البرز</v>
      </c>
      <c r="Q1809" s="1">
        <v>62</v>
      </c>
      <c r="R1809" s="1" t="str">
        <f>"فروش داخلي - سازمان بنيادمسكن انقلاب اسلامي"</f>
        <v>فروش داخلي - سازمان بنيادمسكن انقلاب اسلامي</v>
      </c>
      <c r="S1809" s="1" t="str">
        <f>"قرارداد فروش"</f>
        <v>قرارداد فروش</v>
      </c>
      <c r="T1809" s="1" t="str">
        <f>"ندارد"</f>
        <v>ندارد</v>
      </c>
      <c r="U1809" s="1" t="str">
        <f>"خليل الهي حسن(1841005)"</f>
        <v>خليل الهي حسن(1841005)</v>
      </c>
      <c r="V1809" s="1">
        <v>966200624</v>
      </c>
      <c r="W1809" s="1">
        <v>966200624</v>
      </c>
      <c r="X1809" s="1" t="str">
        <f>"1396551612"</f>
        <v>1396551612</v>
      </c>
      <c r="Y1809" s="1" t="str">
        <f>"96/12/09"</f>
        <v>96/12/09</v>
      </c>
      <c r="Z1809" s="1" t="str">
        <f>"55731/د"</f>
        <v>55731/د</v>
      </c>
      <c r="AA1809" s="1" t="str">
        <f>"بنيادمسكن انقلاب اسلامي"</f>
        <v>بنيادمسكن انقلاب اسلامي</v>
      </c>
      <c r="AB1809" s="1" t="str">
        <f>"96/12/08"</f>
        <v>96/12/08</v>
      </c>
      <c r="AC1809" s="1" t="str">
        <f>"استان گيلان"</f>
        <v>استان گيلان</v>
      </c>
      <c r="AD1809" s="1" t="str">
        <f>"96/12/09"</f>
        <v>96/12/09</v>
      </c>
      <c r="AE1809" s="1" t="str">
        <f>"اختتام"</f>
        <v>اختتام</v>
      </c>
      <c r="AF1809" s="1" t="str">
        <f>""</f>
        <v/>
      </c>
      <c r="AG1809" s="1" t="str">
        <f>""</f>
        <v/>
      </c>
      <c r="AH1809" s="1" t="str">
        <f>""</f>
        <v/>
      </c>
      <c r="AI1809" s="1" t="str">
        <f>""</f>
        <v/>
      </c>
      <c r="AJ1809" s="1" t="str">
        <f>""</f>
        <v/>
      </c>
      <c r="AK1809" s="1" t="str">
        <f>""</f>
        <v/>
      </c>
    </row>
    <row r="1810" spans="1:37">
      <c r="A1810" s="1">
        <v>50000</v>
      </c>
      <c r="B1810" s="1">
        <v>961100045</v>
      </c>
      <c r="C1810" s="1" t="str">
        <f>"تخليه -كيلومتر5قبل ازكرندكارخانه آسفالت دالاهووكيلومتر7جاده هرسين روستاي پل چهر-كارخانه آسفالت مرزراه"</f>
        <v>تخليه -كيلومتر5قبل ازكرندكارخانه آسفالت دالاهووكيلومتر7جاده هرسين روستاي پل چهر-كارخانه آسفالت مرزراه</v>
      </c>
      <c r="D1810" s="1">
        <v>9204</v>
      </c>
      <c r="E1810" s="1">
        <v>48060</v>
      </c>
      <c r="F1810" s="1">
        <v>96</v>
      </c>
      <c r="G1810" s="1">
        <v>1940</v>
      </c>
      <c r="H1810" s="1" t="str">
        <f>"96/05/17"</f>
        <v>96/05/17</v>
      </c>
      <c r="I1810" s="1" t="str">
        <f>"كيلوگرم"</f>
        <v>كيلوگرم</v>
      </c>
      <c r="J1810" s="1" t="str">
        <f>"0000000094"</f>
        <v>0000000094</v>
      </c>
      <c r="K1810" s="1" t="str">
        <f>"قير  PG70-10"</f>
        <v>قير  PG70-10</v>
      </c>
      <c r="L1810" s="1">
        <v>100</v>
      </c>
      <c r="M1810" s="1" t="str">
        <f>"مخازن قير اصفهان"</f>
        <v>مخازن قير اصفهان</v>
      </c>
      <c r="N1810" s="1">
        <v>8120</v>
      </c>
      <c r="O1810" s="1">
        <v>50035573</v>
      </c>
      <c r="P1810" s="1" t="str">
        <f>"  مرزراه"</f>
        <v xml:space="preserve">  مرزراه</v>
      </c>
      <c r="Q1810" s="1">
        <v>11</v>
      </c>
      <c r="R1810" s="1" t="str">
        <f>"فروش داخلي تهران - بورس"</f>
        <v>فروش داخلي تهران - بورس</v>
      </c>
      <c r="S1810" s="1" t="str">
        <f>"قرارداد فروش"</f>
        <v>قرارداد فروش</v>
      </c>
      <c r="T1810" s="1" t="str">
        <f>"ندارد"</f>
        <v>ندارد</v>
      </c>
      <c r="U1810" s="1" t="str">
        <f>"شمسيان پور حبيب اله(2842034)"</f>
        <v>شمسيان پور حبيب اله(2842034)</v>
      </c>
      <c r="V1810" s="1">
        <v>961100045</v>
      </c>
      <c r="W1810" s="1">
        <v>961100045</v>
      </c>
      <c r="X1810" s="1" t="str">
        <f>"1396503035"</f>
        <v>1396503035</v>
      </c>
      <c r="Y1810" s="1" t="str">
        <f>"96/05/17"</f>
        <v>96/05/17</v>
      </c>
      <c r="Z1810" s="1" t="str">
        <f>"96-35981"</f>
        <v>96-35981</v>
      </c>
      <c r="AA1810" s="1" t="str">
        <f>"راه سازي"</f>
        <v>راه سازي</v>
      </c>
      <c r="AB1810" s="1" t="str">
        <f>"96/05/17"</f>
        <v>96/05/17</v>
      </c>
      <c r="AC1810" s="1" t="str">
        <f>"استان كرمانشاه"</f>
        <v>استان كرمانشاه</v>
      </c>
      <c r="AD1810" s="1" t="str">
        <f>"96/05/16"</f>
        <v>96/05/16</v>
      </c>
      <c r="AE1810" s="1" t="str">
        <f>"اختتام"</f>
        <v>اختتام</v>
      </c>
      <c r="AF1810" s="1" t="str">
        <f>""</f>
        <v/>
      </c>
      <c r="AG1810" s="1" t="str">
        <f>""</f>
        <v/>
      </c>
      <c r="AH1810" s="1" t="str">
        <f>""</f>
        <v/>
      </c>
      <c r="AI1810" s="1" t="str">
        <f>""</f>
        <v/>
      </c>
      <c r="AJ1810" s="1" t="str">
        <f>""</f>
        <v/>
      </c>
      <c r="AK1810" s="1" t="str">
        <f>""</f>
        <v/>
      </c>
    </row>
    <row r="1811" spans="1:37">
      <c r="A1811" s="1">
        <v>250000</v>
      </c>
      <c r="B1811" s="1">
        <v>966200428</v>
      </c>
      <c r="C1811" s="1" t="str">
        <f>"تخليه -قم -شهرجعفريه جاده طفرود-كارخانه آسفالت برادران الوند"</f>
        <v>تخليه -قم -شهرجعفريه جاده طفرود-كارخانه آسفالت برادران الوند</v>
      </c>
      <c r="D1811" s="1">
        <v>13270</v>
      </c>
      <c r="E1811" s="1">
        <v>248640</v>
      </c>
      <c r="F1811" s="1">
        <v>96</v>
      </c>
      <c r="G1811" s="1">
        <v>1360</v>
      </c>
      <c r="H1811" s="1" t="str">
        <f>"96/09/18"</f>
        <v>96/09/18</v>
      </c>
      <c r="I1811" s="1" t="str">
        <f>"كيلوگرم"</f>
        <v>كيلوگرم</v>
      </c>
      <c r="J1811" s="1" t="str">
        <f>"0000000094"</f>
        <v>0000000094</v>
      </c>
      <c r="K1811" s="1" t="str">
        <f>"قير  PG70-10"</f>
        <v>قير  PG70-10</v>
      </c>
      <c r="L1811" s="1">
        <v>100</v>
      </c>
      <c r="M1811" s="1" t="str">
        <f>"مخازن قير اصفهان"</f>
        <v>مخازن قير اصفهان</v>
      </c>
      <c r="N1811" s="1">
        <v>9441</v>
      </c>
      <c r="O1811" s="1">
        <v>50037555</v>
      </c>
      <c r="P1811" s="1" t="str">
        <f>"  راه وساختمان مهرگازران"</f>
        <v xml:space="preserve">  راه وساختمان مهرگازران</v>
      </c>
      <c r="Q1811" s="1">
        <v>62</v>
      </c>
      <c r="R1811" s="1" t="str">
        <f>"فروش داخلي - سازمان بنيادمسكن انقلاب اسلامي"</f>
        <v>فروش داخلي - سازمان بنيادمسكن انقلاب اسلامي</v>
      </c>
      <c r="S1811" s="1" t="str">
        <f>"قرارداد فروش"</f>
        <v>قرارداد فروش</v>
      </c>
      <c r="T1811" s="1" t="str">
        <f>"ندارد"</f>
        <v>ندارد</v>
      </c>
      <c r="U1811" s="1" t="str">
        <f>"اميري علي(2842011)"</f>
        <v>اميري علي(2842011)</v>
      </c>
      <c r="V1811" s="1">
        <v>966200428</v>
      </c>
      <c r="W1811" s="1">
        <v>966200428</v>
      </c>
      <c r="X1811" s="1" t="str">
        <f>"1396531060"</f>
        <v>1396531060</v>
      </c>
      <c r="Y1811" s="1" t="str">
        <f>"96/09/18"</f>
        <v>96/09/18</v>
      </c>
      <c r="Z1811" s="1" t="str">
        <f>"40605/د"</f>
        <v>40605/د</v>
      </c>
      <c r="AA1811" s="1" t="str">
        <f>"بنيادمسكن انقلاب اسلامي"</f>
        <v>بنيادمسكن انقلاب اسلامي</v>
      </c>
      <c r="AB1811" s="1" t="str">
        <f>"96/09/14"</f>
        <v>96/09/14</v>
      </c>
      <c r="AC1811" s="1" t="str">
        <f>"قم"</f>
        <v>قم</v>
      </c>
      <c r="AD1811" s="1" t="str">
        <f>"96/09/18"</f>
        <v>96/09/18</v>
      </c>
      <c r="AE1811" s="1" t="str">
        <f>"اختتام"</f>
        <v>اختتام</v>
      </c>
      <c r="AF1811" s="1" t="str">
        <f>""</f>
        <v/>
      </c>
      <c r="AG1811" s="1" t="str">
        <f>""</f>
        <v/>
      </c>
      <c r="AH1811" s="1" t="str">
        <f>""</f>
        <v/>
      </c>
      <c r="AI1811" s="1" t="str">
        <f>""</f>
        <v/>
      </c>
      <c r="AJ1811" s="1" t="str">
        <f>""</f>
        <v/>
      </c>
      <c r="AK1811" s="1" t="str">
        <f>""</f>
        <v/>
      </c>
    </row>
    <row r="1812" spans="1:37">
      <c r="A1812" s="1">
        <v>830000</v>
      </c>
      <c r="B1812" s="1">
        <v>961900038</v>
      </c>
      <c r="C1812" s="1" t="str">
        <f>"تخليه -كرمانشاه -5كيلومترقبل ازكرندغرب -كارخانه آسفالت شركت مهندسي تارا"</f>
        <v>تخليه -كرمانشاه -5كيلومترقبل ازكرندغرب -كارخانه آسفالت شركت مهندسي تارا</v>
      </c>
      <c r="D1812" s="1">
        <v>9368</v>
      </c>
      <c r="E1812" s="1">
        <v>828320</v>
      </c>
      <c r="F1812" s="1">
        <v>96</v>
      </c>
      <c r="G1812" s="1">
        <v>1680</v>
      </c>
      <c r="H1812" s="1" t="str">
        <f>"96/01/16"</f>
        <v>96/01/16</v>
      </c>
      <c r="I1812" s="1" t="str">
        <f>"كيلوگرم"</f>
        <v>كيلوگرم</v>
      </c>
      <c r="J1812" s="1" t="str">
        <f>"0000000094"</f>
        <v>0000000094</v>
      </c>
      <c r="K1812" s="1" t="str">
        <f>"قير  PG70-10"</f>
        <v>قير  PG70-10</v>
      </c>
      <c r="L1812" s="1">
        <v>100</v>
      </c>
      <c r="M1812" s="1" t="str">
        <f>"مخازن قير اصفهان"</f>
        <v>مخازن قير اصفهان</v>
      </c>
      <c r="N1812" s="1">
        <v>9976</v>
      </c>
      <c r="O1812" s="1">
        <v>50034417</v>
      </c>
      <c r="P1812" s="1" t="str">
        <f>"  مهندسي تارا"</f>
        <v xml:space="preserve">  مهندسي تارا</v>
      </c>
      <c r="Q1812" s="1">
        <v>19</v>
      </c>
      <c r="R181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812" s="1" t="str">
        <f>"قرارداد فروش"</f>
        <v>قرارداد فروش</v>
      </c>
      <c r="T1812" s="1" t="str">
        <f>"ندارد"</f>
        <v>ندارد</v>
      </c>
      <c r="U1812" s="1" t="str">
        <f>"قره باغي مجيد(1871065)"</f>
        <v>قره باغي مجيد(1871065)</v>
      </c>
      <c r="V1812" s="1">
        <v>961900038</v>
      </c>
      <c r="W1812" s="1">
        <v>961900038</v>
      </c>
      <c r="X1812" s="1" t="str">
        <f>"1395471100"</f>
        <v>1395471100</v>
      </c>
      <c r="Y1812" s="1" t="str">
        <f>"96/01/16"</f>
        <v>96/01/16</v>
      </c>
      <c r="Z1812" s="1" t="str">
        <f>"66688/710"</f>
        <v>66688/710</v>
      </c>
      <c r="AA1812" s="1" t="str">
        <f>"سازمان راهداري وحمل نقل جاده اي"</f>
        <v>سازمان راهداري وحمل نقل جاده اي</v>
      </c>
      <c r="AB1812" s="1" t="str">
        <f>"95/12/24"</f>
        <v>95/12/24</v>
      </c>
      <c r="AC1812" s="1" t="str">
        <f>"استان كرمانشاه"</f>
        <v>استان كرمانشاه</v>
      </c>
      <c r="AD1812" s="1" t="str">
        <f>"95/12/28"</f>
        <v>95/12/28</v>
      </c>
      <c r="AE1812" s="1" t="str">
        <f>"اختتام"</f>
        <v>اختتام</v>
      </c>
      <c r="AF1812" s="1" t="str">
        <f>""</f>
        <v/>
      </c>
      <c r="AG1812" s="1" t="str">
        <f>""</f>
        <v/>
      </c>
      <c r="AH1812" s="1" t="str">
        <f>""</f>
        <v/>
      </c>
      <c r="AI1812" s="1" t="str">
        <f>""</f>
        <v/>
      </c>
      <c r="AJ1812" s="1" t="str">
        <f>""</f>
        <v/>
      </c>
      <c r="AK1812" s="1" t="str">
        <f>""</f>
        <v/>
      </c>
    </row>
    <row r="1813" spans="1:37">
      <c r="A1813" s="1">
        <v>354000</v>
      </c>
      <c r="B1813" s="1">
        <v>966200263</v>
      </c>
      <c r="C1813" s="1" t="str">
        <f>"تخليه -سيستان وبلوچستان -هامون شهرمحمدآباد-كيلومتر5روستاي شهرك مير-كارخانه آسفالت برادران طباطبائي"</f>
        <v>تخليه -سيستان وبلوچستان -هامون شهرمحمدآباد-كيلومتر5روستاي شهرك مير-كارخانه آسفالت برادران طباطبائي</v>
      </c>
      <c r="D1813" s="1">
        <v>9663</v>
      </c>
      <c r="E1813" s="1">
        <v>353820</v>
      </c>
      <c r="F1813" s="1">
        <v>96</v>
      </c>
      <c r="G1813" s="1">
        <v>180</v>
      </c>
      <c r="H1813" s="1" t="str">
        <f>"96/07/05"</f>
        <v>96/07/05</v>
      </c>
      <c r="I1813" s="1" t="str">
        <f>"كيلوگرم"</f>
        <v>كيلوگرم</v>
      </c>
      <c r="J1813" s="1" t="str">
        <f>"0000000094"</f>
        <v>0000000094</v>
      </c>
      <c r="K1813" s="1" t="str">
        <f>"قير  PG70-10"</f>
        <v>قير  PG70-10</v>
      </c>
      <c r="L1813" s="1">
        <v>100</v>
      </c>
      <c r="M1813" s="1" t="str">
        <f>"مخازن قير اصفهان"</f>
        <v>مخازن قير اصفهان</v>
      </c>
      <c r="N1813" s="1">
        <v>10421</v>
      </c>
      <c r="O1813" s="1">
        <v>50036300</v>
      </c>
      <c r="P1813" s="1" t="str">
        <f>"  تعاوني راه وساختمان  3136سيستان سازه زابل"</f>
        <v xml:space="preserve">  تعاوني راه وساختمان  3136سيستان سازه زابل</v>
      </c>
      <c r="Q1813" s="1">
        <v>62</v>
      </c>
      <c r="R1813" s="1" t="str">
        <f>"فروش داخلي - سازمان بنيادمسكن انقلاب اسلامي"</f>
        <v>فروش داخلي - سازمان بنيادمسكن انقلاب اسلامي</v>
      </c>
      <c r="S1813" s="1" t="str">
        <f>"قرارداد فروش"</f>
        <v>قرارداد فروش</v>
      </c>
      <c r="T1813" s="1" t="str">
        <f>"ندارد"</f>
        <v>ندارد</v>
      </c>
      <c r="U1813" s="1" t="str">
        <f>"قانعي محمدرضا(1011ج89)"</f>
        <v>قانعي محمدرضا(1011ج89)</v>
      </c>
      <c r="V1813" s="1">
        <v>966200263</v>
      </c>
      <c r="W1813" s="1">
        <v>966200263</v>
      </c>
      <c r="X1813" s="1" t="str">
        <f>"1396514740"</f>
        <v>1396514740</v>
      </c>
      <c r="Y1813" s="1" t="str">
        <f>"96/07/05"</f>
        <v>96/07/05</v>
      </c>
      <c r="Z1813" s="1" t="str">
        <f>"29253/د"</f>
        <v>29253/د</v>
      </c>
      <c r="AA1813" s="1" t="str">
        <f>"بنيادمسكن انقلاب اسلامي"</f>
        <v>بنيادمسكن انقلاب اسلامي</v>
      </c>
      <c r="AB1813" s="1" t="str">
        <f>"96/07/02"</f>
        <v>96/07/02</v>
      </c>
      <c r="AC1813" s="1" t="str">
        <f>"استان سيستان بلوچستان"</f>
        <v>استان سيستان بلوچستان</v>
      </c>
      <c r="AD1813" s="1" t="str">
        <f>"96/07/04"</f>
        <v>96/07/04</v>
      </c>
      <c r="AE1813" s="1" t="str">
        <f>"اختتام"</f>
        <v>اختتام</v>
      </c>
      <c r="AF1813" s="1" t="str">
        <f>""</f>
        <v/>
      </c>
      <c r="AG1813" s="1" t="str">
        <f>""</f>
        <v/>
      </c>
      <c r="AH1813" s="1" t="str">
        <f>""</f>
        <v/>
      </c>
      <c r="AI1813" s="1" t="str">
        <f>""</f>
        <v/>
      </c>
      <c r="AJ1813" s="1" t="str">
        <f>""</f>
        <v/>
      </c>
      <c r="AK1813" s="1" t="str">
        <f>""</f>
        <v/>
      </c>
    </row>
    <row r="1814" spans="1:37">
      <c r="A1814" s="1">
        <v>197000</v>
      </c>
      <c r="B1814" s="1">
        <v>966200572</v>
      </c>
      <c r="C1814" s="1" t="str">
        <f>"تخليه -سيستان وبلوچستان -هامون شهرمحمدآباد-كيلومتر5روستاي شهرك مير-كارخانه آسفالت برادران طباطبائي"</f>
        <v>تخليه -سيستان وبلوچستان -هامون شهرمحمدآباد-كيلومتر5روستاي شهرك مير-كارخانه آسفالت برادران طباطبائي</v>
      </c>
      <c r="D1814" s="1">
        <v>13850</v>
      </c>
      <c r="E1814" s="1">
        <v>196160</v>
      </c>
      <c r="F1814" s="1">
        <v>96</v>
      </c>
      <c r="G1814" s="1">
        <v>840</v>
      </c>
      <c r="H1814" s="1" t="str">
        <f>"96/11/18"</f>
        <v>96/11/18</v>
      </c>
      <c r="I1814" s="1" t="str">
        <f>"كيلوگرم"</f>
        <v>كيلوگرم</v>
      </c>
      <c r="J1814" s="1" t="str">
        <f>"0000000094"</f>
        <v>0000000094</v>
      </c>
      <c r="K1814" s="1" t="str">
        <f>"قير  PG70-10"</f>
        <v>قير  PG70-10</v>
      </c>
      <c r="L1814" s="1">
        <v>100</v>
      </c>
      <c r="M1814" s="1" t="str">
        <f>"مخازن قير اصفهان"</f>
        <v>مخازن قير اصفهان</v>
      </c>
      <c r="N1814" s="1">
        <v>10421</v>
      </c>
      <c r="O1814" s="1">
        <v>50038438</v>
      </c>
      <c r="P1814" s="1" t="str">
        <f>"  تعاوني راه وساختمان  3136سيستان سازه زابل"</f>
        <v xml:space="preserve">  تعاوني راه وساختمان  3136سيستان سازه زابل</v>
      </c>
      <c r="Q1814" s="1">
        <v>62</v>
      </c>
      <c r="R1814" s="1" t="str">
        <f>"فروش داخلي - سازمان بنيادمسكن انقلاب اسلامي"</f>
        <v>فروش داخلي - سازمان بنيادمسكن انقلاب اسلامي</v>
      </c>
      <c r="S1814" s="1" t="str">
        <f>"قرارداد فروش"</f>
        <v>قرارداد فروش</v>
      </c>
      <c r="T1814" s="1" t="str">
        <f>"ندارد"</f>
        <v>ندارد</v>
      </c>
      <c r="U1814" s="1" t="str">
        <f>"قانعي محمدرضا(1011ج89)"</f>
        <v>قانعي محمدرضا(1011ج89)</v>
      </c>
      <c r="V1814" s="1">
        <v>966200572</v>
      </c>
      <c r="W1814" s="1">
        <v>966200572</v>
      </c>
      <c r="X1814" s="1" t="str">
        <f>"1396546763"</f>
        <v>1396546763</v>
      </c>
      <c r="Y1814" s="1" t="str">
        <f>"96/11/18"</f>
        <v>96/11/18</v>
      </c>
      <c r="Z1814" s="1" t="str">
        <f>"52021/د"</f>
        <v>52021/د</v>
      </c>
      <c r="AA1814" s="1" t="str">
        <f>"بنيادمسكن انقلاب اسلامي"</f>
        <v>بنيادمسكن انقلاب اسلامي</v>
      </c>
      <c r="AB1814" s="1" t="str">
        <f>"96/11/17"</f>
        <v>96/11/17</v>
      </c>
      <c r="AC1814" s="1" t="str">
        <f>"استان سيستان بلوچستان"</f>
        <v>استان سيستان بلوچستان</v>
      </c>
      <c r="AD1814" s="1" t="str">
        <f>"96/11/18"</f>
        <v>96/11/18</v>
      </c>
      <c r="AE1814" s="1" t="str">
        <f>"اختتام"</f>
        <v>اختتام</v>
      </c>
      <c r="AF1814" s="1" t="str">
        <f>""</f>
        <v/>
      </c>
      <c r="AG1814" s="1" t="str">
        <f>""</f>
        <v/>
      </c>
      <c r="AH1814" s="1" t="str">
        <f>""</f>
        <v/>
      </c>
      <c r="AI1814" s="1" t="str">
        <f>""</f>
        <v/>
      </c>
      <c r="AJ1814" s="1" t="str">
        <f>""</f>
        <v/>
      </c>
      <c r="AK1814" s="1" t="str">
        <f>""</f>
        <v/>
      </c>
    </row>
    <row r="1815" spans="1:37">
      <c r="A1815" s="1">
        <v>100000</v>
      </c>
      <c r="B1815" s="1">
        <v>966200634</v>
      </c>
      <c r="C1815" s="1" t="str">
        <f>"تخليه ايلام آبدانان روستاي ماهوته كارخانه آسفالت شركت شناشيل سازان آبدانان"</f>
        <v>تخليه ايلام آبدانان روستاي ماهوته كارخانه آسفالت شركت شناشيل سازان آبدانان</v>
      </c>
      <c r="D1815" s="1">
        <v>14000</v>
      </c>
      <c r="E1815" s="1">
        <v>99960</v>
      </c>
      <c r="F1815" s="1">
        <v>96</v>
      </c>
      <c r="G1815" s="1">
        <v>40</v>
      </c>
      <c r="H1815" s="1" t="str">
        <f>"96/12/14"</f>
        <v>96/12/14</v>
      </c>
      <c r="I1815" s="1" t="str">
        <f>"كيلوگرم"</f>
        <v>كيلوگرم</v>
      </c>
      <c r="J1815" s="1" t="str">
        <f>"0000000094"</f>
        <v>0000000094</v>
      </c>
      <c r="K1815" s="1" t="str">
        <f>"قير  PG70-10"</f>
        <v>قير  PG70-10</v>
      </c>
      <c r="L1815" s="1">
        <v>100</v>
      </c>
      <c r="M1815" s="1" t="str">
        <f>"مخازن قير اصفهان"</f>
        <v>مخازن قير اصفهان</v>
      </c>
      <c r="N1815" s="1">
        <v>10693</v>
      </c>
      <c r="O1815" s="1">
        <v>50038755</v>
      </c>
      <c r="P1815" s="1" t="str">
        <f>"  شناشيل سازان آبدانان"</f>
        <v xml:space="preserve">  شناشيل سازان آبدانان</v>
      </c>
      <c r="Q1815" s="1">
        <v>62</v>
      </c>
      <c r="R1815" s="1" t="str">
        <f>"فروش داخلي - سازمان بنيادمسكن انقلاب اسلامي"</f>
        <v>فروش داخلي - سازمان بنيادمسكن انقلاب اسلامي</v>
      </c>
      <c r="S1815" s="1" t="str">
        <f>"قرارداد فروش"</f>
        <v>قرارداد فروش</v>
      </c>
      <c r="T1815" s="1" t="str">
        <f>"ندارد"</f>
        <v>ندارد</v>
      </c>
      <c r="U1815" s="1" t="str">
        <f>"عظيمي محمد(2842015)"</f>
        <v>عظيمي محمد(2842015)</v>
      </c>
      <c r="V1815" s="1">
        <v>966200634</v>
      </c>
      <c r="W1815" s="1">
        <v>966200634</v>
      </c>
      <c r="X1815" s="1" t="str">
        <f>"1396552264"</f>
        <v>1396552264</v>
      </c>
      <c r="Y1815" s="1" t="str">
        <f>"96/12/14"</f>
        <v>96/12/14</v>
      </c>
      <c r="Z1815" s="1" t="str">
        <f>"56667/د"</f>
        <v>56667/د</v>
      </c>
      <c r="AA1815" s="1" t="str">
        <f>"بنيادمسكن انقلاب اسلامي"</f>
        <v>بنيادمسكن انقلاب اسلامي</v>
      </c>
      <c r="AB1815" s="1" t="str">
        <f>"96/12/13"</f>
        <v>96/12/13</v>
      </c>
      <c r="AC1815" s="1" t="str">
        <f>"استان ايلام"</f>
        <v>استان ايلام</v>
      </c>
      <c r="AD1815" s="1" t="str">
        <f>"96/12/14"</f>
        <v>96/12/14</v>
      </c>
      <c r="AE1815" s="1" t="str">
        <f>"اختتام"</f>
        <v>اختتام</v>
      </c>
      <c r="AF1815" s="1" t="str">
        <f>""</f>
        <v/>
      </c>
      <c r="AG1815" s="1" t="str">
        <f>""</f>
        <v/>
      </c>
      <c r="AH1815" s="1" t="str">
        <f>""</f>
        <v/>
      </c>
      <c r="AI1815" s="1" t="str">
        <f>""</f>
        <v/>
      </c>
      <c r="AJ1815" s="1" t="str">
        <f>""</f>
        <v/>
      </c>
      <c r="AK1815" s="1" t="str">
        <f>""</f>
        <v/>
      </c>
    </row>
    <row r="1816" spans="1:37">
      <c r="A1816" s="1">
        <v>347000</v>
      </c>
      <c r="B1816" s="1">
        <v>961900187</v>
      </c>
      <c r="C1816" s="1" t="str">
        <f>"تخليه-سرپل ذهاب روستاي کلاشي کارخانه راه قدس"</f>
        <v>تخليه-سرپل ذهاب روستاي کلاشي کارخانه راه قدس</v>
      </c>
      <c r="D1816" s="1">
        <v>13400</v>
      </c>
      <c r="E1816" s="1">
        <v>346080</v>
      </c>
      <c r="F1816" s="1">
        <v>96</v>
      </c>
      <c r="G1816" s="1">
        <v>920</v>
      </c>
      <c r="H1816" s="1" t="str">
        <f>"96/09/08"</f>
        <v>96/09/08</v>
      </c>
      <c r="I1816" s="1" t="str">
        <f>"كيلوگرم"</f>
        <v>كيلوگرم</v>
      </c>
      <c r="J1816" s="1" t="str">
        <f>"0000000094"</f>
        <v>0000000094</v>
      </c>
      <c r="K1816" s="1" t="str">
        <f>"قير  PG70-10"</f>
        <v>قير  PG70-10</v>
      </c>
      <c r="L1816" s="1">
        <v>100</v>
      </c>
      <c r="M1816" s="1" t="str">
        <f>"مخازن قير اصفهان"</f>
        <v>مخازن قير اصفهان</v>
      </c>
      <c r="N1816" s="1">
        <v>10976</v>
      </c>
      <c r="O1816" s="1">
        <v>50037331</v>
      </c>
      <c r="P1816" s="1" t="str">
        <f>"  پي سازان كلهرزاگرس"</f>
        <v xml:space="preserve">  پي سازان كلهرزاگرس</v>
      </c>
      <c r="Q1816" s="1">
        <v>19</v>
      </c>
      <c r="R181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816" s="1" t="str">
        <f>"قرارداد فروش"</f>
        <v>قرارداد فروش</v>
      </c>
      <c r="T1816" s="1" t="str">
        <f>"ندارد"</f>
        <v>ندارد</v>
      </c>
      <c r="U1816" s="1" t="str">
        <f>"پيرالي مجيد(1045ج 94)"</f>
        <v>پيرالي مجيد(1045ج 94)</v>
      </c>
      <c r="V1816" s="1">
        <v>961900187</v>
      </c>
      <c r="W1816" s="1">
        <v>961900187</v>
      </c>
      <c r="X1816" s="1" t="str">
        <f>"1396529177"</f>
        <v>1396529177</v>
      </c>
      <c r="Y1816" s="1" t="str">
        <f>"96/09/08"</f>
        <v>96/09/08</v>
      </c>
      <c r="Z1816" s="1" t="str">
        <f>"43805/710"</f>
        <v>43805/710</v>
      </c>
      <c r="AA1816" s="1" t="str">
        <f>"سازمان راهداري وحمل نقل جاده اي"</f>
        <v>سازمان راهداري وحمل نقل جاده اي</v>
      </c>
      <c r="AB1816" s="1" t="str">
        <f>"96/08/27"</f>
        <v>96/08/27</v>
      </c>
      <c r="AC1816" s="1" t="str">
        <f>"استان كرمانشاه"</f>
        <v>استان كرمانشاه</v>
      </c>
      <c r="AD1816" s="1" t="str">
        <f>"96/09/08"</f>
        <v>96/09/08</v>
      </c>
      <c r="AE1816" s="1" t="str">
        <f>"اختتام"</f>
        <v>اختتام</v>
      </c>
      <c r="AF1816" s="1" t="str">
        <f>""</f>
        <v/>
      </c>
      <c r="AG1816" s="1" t="str">
        <f>""</f>
        <v/>
      </c>
      <c r="AH1816" s="1" t="str">
        <f>""</f>
        <v/>
      </c>
      <c r="AI1816" s="1" t="str">
        <f>""</f>
        <v/>
      </c>
      <c r="AJ1816" s="1" t="str">
        <f>""</f>
        <v/>
      </c>
      <c r="AK1816" s="1" t="str">
        <f>""</f>
        <v/>
      </c>
    </row>
    <row r="1817" spans="1:37">
      <c r="A1817" s="1">
        <v>180000</v>
      </c>
      <c r="B1817" s="1">
        <v>961100115</v>
      </c>
      <c r="C1817" s="1" t="str">
        <f>"تخليه -شهركرد-جاده دانشگاه آزادعراضي منصوريه -كارخانه آسفالت شهرداري شهركرد"</f>
        <v>تخليه -شهركرد-جاده دانشگاه آزادعراضي منصوريه -كارخانه آسفالت شهرداري شهركرد</v>
      </c>
      <c r="D1817" s="1">
        <v>12850</v>
      </c>
      <c r="E1817" s="1">
        <v>180000</v>
      </c>
      <c r="F1817" s="1">
        <v>96</v>
      </c>
      <c r="G1817" s="1">
        <v>0</v>
      </c>
      <c r="H1817" s="1" t="str">
        <f>"96/11/02"</f>
        <v>96/11/02</v>
      </c>
      <c r="I1817" s="1" t="str">
        <f>"كيلوگرم"</f>
        <v>كيلوگرم</v>
      </c>
      <c r="J1817" s="1" t="str">
        <f>"1000000002"</f>
        <v>1000000002</v>
      </c>
      <c r="K1817" s="1" t="str">
        <f>"قير 85/100 - فله"</f>
        <v>قير 85/100 - فله</v>
      </c>
      <c r="L1817" s="1">
        <v>100</v>
      </c>
      <c r="M1817" s="1" t="str">
        <f>"مخازن قير اصفهان"</f>
        <v>مخازن قير اصفهان</v>
      </c>
      <c r="N1817" s="1">
        <v>7047</v>
      </c>
      <c r="O1817" s="1">
        <v>50038255</v>
      </c>
      <c r="P1817" s="1" t="str">
        <f>"  شهرداري شهركرد"</f>
        <v xml:space="preserve">  شهرداري شهركرد</v>
      </c>
      <c r="Q1817" s="1">
        <v>11</v>
      </c>
      <c r="R1817" s="1" t="str">
        <f>"فروش داخلي تهران - بورس"</f>
        <v>فروش داخلي تهران - بورس</v>
      </c>
      <c r="S1817" s="1" t="str">
        <f>"قرارداد فروش"</f>
        <v>قرارداد فروش</v>
      </c>
      <c r="T1817" s="1" t="str">
        <f>"ندارد"</f>
        <v>ندارد</v>
      </c>
      <c r="U1817" s="1" t="str">
        <f>"مظلوم فريبرز(1008ج89)"</f>
        <v>مظلوم فريبرز(1008ج89)</v>
      </c>
      <c r="V1817" s="1">
        <v>961100115</v>
      </c>
      <c r="W1817" s="1">
        <v>961100115</v>
      </c>
      <c r="X1817" s="1" t="str">
        <f>"1396540146"</f>
        <v>1396540146</v>
      </c>
      <c r="Y1817" s="1" t="str">
        <f>"96/11/01"</f>
        <v>96/11/01</v>
      </c>
      <c r="Z1817" s="1" t="str">
        <f>"96-36972"</f>
        <v>96-36972</v>
      </c>
      <c r="AA1817" s="1" t="str">
        <f>"شهرداريها"</f>
        <v>شهرداريها</v>
      </c>
      <c r="AB1817" s="1" t="str">
        <f>"96/11/01"</f>
        <v>96/11/01</v>
      </c>
      <c r="AC1817" s="1" t="str">
        <f>"استان چهارمحال بختياري"</f>
        <v>استان چهارمحال بختياري</v>
      </c>
      <c r="AD1817" s="1" t="str">
        <f>"96/10/25"</f>
        <v>96/10/25</v>
      </c>
      <c r="AE1817" s="1" t="str">
        <f>"اختتام"</f>
        <v>اختتام</v>
      </c>
      <c r="AF1817" s="1" t="str">
        <f>""</f>
        <v/>
      </c>
      <c r="AG1817" s="1" t="str">
        <f>""</f>
        <v/>
      </c>
      <c r="AH1817" s="1" t="str">
        <f>""</f>
        <v/>
      </c>
      <c r="AI1817" s="1" t="str">
        <f>""</f>
        <v/>
      </c>
      <c r="AJ1817" s="1" t="str">
        <f>""</f>
        <v/>
      </c>
      <c r="AK1817" s="1" t="str">
        <f>""</f>
        <v/>
      </c>
    </row>
    <row r="1818" spans="1:37">
      <c r="A1818" s="1">
        <v>28000</v>
      </c>
      <c r="B1818" s="1">
        <v>966200560</v>
      </c>
      <c r="C1818" s="1" t="str">
        <f>"تخليه - چهارمحال-هفشجان-روستاي نوآباد-کارخانه آسفالت سازمان همياري شهرداريهاي استان چهارمحال و بختياري"</f>
        <v>تخليه - چهارمحال-هفشجان-روستاي نوآباد-کارخانه آسفالت سازمان همياري شهرداريهاي استان چهارمحال و بختياري</v>
      </c>
      <c r="D1818" s="1">
        <v>13200</v>
      </c>
      <c r="E1818" s="1">
        <v>26620</v>
      </c>
      <c r="F1818" s="1">
        <v>96</v>
      </c>
      <c r="G1818" s="1">
        <v>1380</v>
      </c>
      <c r="H1818" s="1" t="str">
        <f>"96/11/14"</f>
        <v>96/11/14</v>
      </c>
      <c r="I1818" s="1" t="str">
        <f>"كيلوگرم"</f>
        <v>كيلوگرم</v>
      </c>
      <c r="J1818" s="1" t="str">
        <f>"1000000002"</f>
        <v>1000000002</v>
      </c>
      <c r="K1818" s="1" t="str">
        <f>"قير 85/100 - فله"</f>
        <v>قير 85/100 - فله</v>
      </c>
      <c r="L1818" s="1">
        <v>100</v>
      </c>
      <c r="M1818" s="1" t="str">
        <f>"مخازن قير اصفهان"</f>
        <v>مخازن قير اصفهان</v>
      </c>
      <c r="N1818" s="1">
        <v>7143</v>
      </c>
      <c r="O1818" s="1">
        <v>50038367</v>
      </c>
      <c r="P1818" s="1" t="str">
        <f>"  سازمان همياري شهرداريهاي چهارمحال بختياري"</f>
        <v xml:space="preserve">  سازمان همياري شهرداريهاي چهارمحال بختياري</v>
      </c>
      <c r="Q1818" s="1">
        <v>62</v>
      </c>
      <c r="R1818" s="1" t="str">
        <f>"فروش داخلي - سازمان بنيادمسكن انقلاب اسلامي"</f>
        <v>فروش داخلي - سازمان بنيادمسكن انقلاب اسلامي</v>
      </c>
      <c r="S1818" s="1" t="str">
        <f>"قرارداد فروش"</f>
        <v>قرارداد فروش</v>
      </c>
      <c r="T1818" s="1" t="str">
        <f>"ندارد"</f>
        <v>ندارد</v>
      </c>
      <c r="U1818" s="1" t="str">
        <f>"قره باغي مجيد(1871065)"</f>
        <v>قره باغي مجيد(1871065)</v>
      </c>
      <c r="V1818" s="1">
        <v>966200560</v>
      </c>
      <c r="W1818" s="1">
        <v>966200560</v>
      </c>
      <c r="X1818" s="1" t="str">
        <f>"1396545122"</f>
        <v>1396545122</v>
      </c>
      <c r="Y1818" s="1" t="str">
        <f>"96/11/14"</f>
        <v>96/11/14</v>
      </c>
      <c r="Z1818" s="1" t="str">
        <f>"50735/د"</f>
        <v>50735/د</v>
      </c>
      <c r="AA1818" s="1" t="str">
        <f>"بنيادمسكن انقلاب اسلامي"</f>
        <v>بنيادمسكن انقلاب اسلامي</v>
      </c>
      <c r="AB1818" s="1" t="str">
        <f>"96/11/11"</f>
        <v>96/11/11</v>
      </c>
      <c r="AC1818" s="1" t="str">
        <f>"استان چهارمحال بختياري"</f>
        <v>استان چهارمحال بختياري</v>
      </c>
      <c r="AD1818" s="1" t="str">
        <f>"96/11/14"</f>
        <v>96/11/14</v>
      </c>
      <c r="AE1818" s="1" t="str">
        <f>"اختتام"</f>
        <v>اختتام</v>
      </c>
      <c r="AF1818" s="1" t="str">
        <f>""</f>
        <v/>
      </c>
      <c r="AG1818" s="1" t="str">
        <f>""</f>
        <v/>
      </c>
      <c r="AH1818" s="1" t="str">
        <f>""</f>
        <v/>
      </c>
      <c r="AI1818" s="1" t="str">
        <f>""</f>
        <v/>
      </c>
      <c r="AJ1818" s="1" t="str">
        <f>""</f>
        <v/>
      </c>
      <c r="AK1818" s="1" t="str">
        <f>""</f>
        <v/>
      </c>
    </row>
    <row r="1819" spans="1:37">
      <c r="A1819" s="1">
        <v>51794</v>
      </c>
      <c r="B1819" s="1">
        <v>962000371</v>
      </c>
      <c r="C1819" s="1" t="str">
        <f>"تخليه - شهرداري شهركرد"</f>
        <v>تخليه - شهرداري شهركرد</v>
      </c>
      <c r="D1819" s="1">
        <v>12820</v>
      </c>
      <c r="E1819" s="1">
        <v>51794</v>
      </c>
      <c r="F1819" s="1">
        <v>96</v>
      </c>
      <c r="G1819" s="1">
        <v>0</v>
      </c>
      <c r="H1819" s="1" t="str">
        <f>"96/09/19"</f>
        <v>96/09/19</v>
      </c>
      <c r="I1819" s="1" t="str">
        <f>"كيلوگرم"</f>
        <v>كيلوگرم</v>
      </c>
      <c r="J1819" s="1" t="str">
        <f>"1000000002"</f>
        <v>1000000002</v>
      </c>
      <c r="K1819" s="1" t="str">
        <f>"قير 85/100 - فله"</f>
        <v>قير 85/100 - فله</v>
      </c>
      <c r="L1819" s="1">
        <v>100</v>
      </c>
      <c r="M1819" s="1" t="str">
        <f>"مخازن قير اصفهان"</f>
        <v>مخازن قير اصفهان</v>
      </c>
      <c r="N1819" s="1">
        <v>9666</v>
      </c>
      <c r="O1819" s="1">
        <v>50037668</v>
      </c>
      <c r="P1819" s="1" t="str">
        <f>"  شهرداري كيان"</f>
        <v xml:space="preserve">  شهرداري كيان</v>
      </c>
      <c r="Q1819" s="1">
        <v>20</v>
      </c>
      <c r="R1819" s="1" t="str">
        <f>"فروش داخلي - سازمان شهرداري ها و دهياري هاي كشور"</f>
        <v>فروش داخلي - سازمان شهرداري ها و دهياري هاي كشور</v>
      </c>
      <c r="S1819" s="1" t="str">
        <f>"قرارداد فروش"</f>
        <v>قرارداد فروش</v>
      </c>
      <c r="T1819" s="1" t="str">
        <f>"ندارد"</f>
        <v>ندارد</v>
      </c>
      <c r="U1819" s="1" t="str">
        <f>"تعاوني جم گستر (1001 ج 89)"</f>
        <v>تعاوني جم گستر (1001 ج 89)</v>
      </c>
      <c r="V1819" s="1">
        <v>962000371</v>
      </c>
      <c r="W1819" s="1">
        <v>962000371</v>
      </c>
      <c r="X1819" s="1" t="str">
        <f>"1396529715"</f>
        <v>1396529715</v>
      </c>
      <c r="Y1819" s="1" t="str">
        <f>"96/09/19"</f>
        <v>96/09/19</v>
      </c>
      <c r="Z1819" s="1" t="str">
        <f>"38498مرحله دوم"</f>
        <v>38498مرحله دوم</v>
      </c>
      <c r="AA1819" s="1" t="str">
        <f>"شهرداريها"</f>
        <v>شهرداريها</v>
      </c>
      <c r="AB1819" s="1" t="str">
        <f>"96/09/11"</f>
        <v>96/09/11</v>
      </c>
      <c r="AC1819" s="1" t="str">
        <f>"استان چهارمحال بختياري"</f>
        <v>استان چهارمحال بختياري</v>
      </c>
      <c r="AD1819" s="1" t="str">
        <f>"96/09/13"</f>
        <v>96/09/13</v>
      </c>
      <c r="AE1819" s="1" t="str">
        <f>"اختتام"</f>
        <v>اختتام</v>
      </c>
      <c r="AF1819" s="1" t="str">
        <f>""</f>
        <v/>
      </c>
      <c r="AG1819" s="1" t="str">
        <f>""</f>
        <v/>
      </c>
      <c r="AH1819" s="1" t="str">
        <f>""</f>
        <v/>
      </c>
      <c r="AI1819" s="1" t="str">
        <f>""</f>
        <v/>
      </c>
      <c r="AJ1819" s="1" t="str">
        <f>""</f>
        <v/>
      </c>
      <c r="AK1819" s="1" t="str">
        <f>""</f>
        <v/>
      </c>
    </row>
    <row r="1820" spans="1:37">
      <c r="A1820" s="1">
        <v>120367</v>
      </c>
      <c r="B1820" s="1">
        <v>962000124</v>
      </c>
      <c r="C1820" s="1" t="str">
        <f>"تخليه چهارمحال بختياري شهرستان لردگان منطقه فلاردكارخانه آسفالت ياسين گنج جانبازي"</f>
        <v>تخليه چهارمحال بختياري شهرستان لردگان منطقه فلاردكارخانه آسفالت ياسين گنج جانبازي</v>
      </c>
      <c r="D1820" s="1">
        <v>9113</v>
      </c>
      <c r="E1820" s="1">
        <v>120367</v>
      </c>
      <c r="F1820" s="1">
        <v>96</v>
      </c>
      <c r="G1820" s="1">
        <v>0</v>
      </c>
      <c r="H1820" s="1" t="str">
        <f>"96/07/03"</f>
        <v>96/07/03</v>
      </c>
      <c r="I1820" s="1" t="str">
        <f>"كيلوگرم"</f>
        <v>كيلوگرم</v>
      </c>
      <c r="J1820" s="1" t="str">
        <f>"1000000002"</f>
        <v>1000000002</v>
      </c>
      <c r="K1820" s="1" t="str">
        <f>"قير 85/100 - فله"</f>
        <v>قير 85/100 - فله</v>
      </c>
      <c r="L1820" s="1">
        <v>100</v>
      </c>
      <c r="M1820" s="1" t="str">
        <f>"مخازن قير اصفهان"</f>
        <v>مخازن قير اصفهان</v>
      </c>
      <c r="N1820" s="1">
        <v>9669</v>
      </c>
      <c r="O1820" s="1">
        <v>50036329</v>
      </c>
      <c r="P1820" s="1" t="str">
        <f>"  شهرداري مال خليفه"</f>
        <v xml:space="preserve">  شهرداري مال خليفه</v>
      </c>
      <c r="Q1820" s="1">
        <v>20</v>
      </c>
      <c r="R1820" s="1" t="str">
        <f>"فروش داخلي - سازمان شهرداري ها و دهياري هاي كشور"</f>
        <v>فروش داخلي - سازمان شهرداري ها و دهياري هاي كشور</v>
      </c>
      <c r="S1820" s="1" t="str">
        <f>"قرارداد فروش"</f>
        <v>قرارداد فروش</v>
      </c>
      <c r="T1820" s="1" t="str">
        <f>"ندارد"</f>
        <v>ندارد</v>
      </c>
      <c r="U1820" s="1" t="str">
        <f>"تعاوني جم گستر (1001 ج 89)"</f>
        <v>تعاوني جم گستر (1001 ج 89)</v>
      </c>
      <c r="V1820" s="1">
        <v>962000124</v>
      </c>
      <c r="W1820" s="1">
        <v>962000124</v>
      </c>
      <c r="X1820" s="1" t="str">
        <f>"1396514468"</f>
        <v>1396514468</v>
      </c>
      <c r="Y1820" s="1" t="str">
        <f>"96/07/03"</f>
        <v>96/07/03</v>
      </c>
      <c r="Z1820" s="1" t="str">
        <f>"26614مرحله اول"</f>
        <v>26614مرحله اول</v>
      </c>
      <c r="AA1820" s="1" t="str">
        <f>"شهرداريها"</f>
        <v>شهرداريها</v>
      </c>
      <c r="AB1820" s="1" t="str">
        <f>"96/06/29"</f>
        <v>96/06/29</v>
      </c>
      <c r="AC1820" s="1" t="str">
        <f>"استان چهارمحال بختياري"</f>
        <v>استان چهارمحال بختياري</v>
      </c>
      <c r="AD1820" s="1" t="str">
        <f>"96/07/03"</f>
        <v>96/07/03</v>
      </c>
      <c r="AE1820" s="1" t="str">
        <f>"اختتام"</f>
        <v>اختتام</v>
      </c>
      <c r="AF1820" s="1" t="str">
        <f>""</f>
        <v/>
      </c>
      <c r="AG1820" s="1" t="str">
        <f>""</f>
        <v/>
      </c>
      <c r="AH1820" s="1" t="str">
        <f>""</f>
        <v/>
      </c>
      <c r="AI1820" s="1" t="str">
        <f>""</f>
        <v/>
      </c>
      <c r="AJ1820" s="1" t="str">
        <f>""</f>
        <v/>
      </c>
      <c r="AK1820" s="1" t="str">
        <f>""</f>
        <v/>
      </c>
    </row>
    <row r="1821" spans="1:37">
      <c r="A1821" s="1">
        <v>55095</v>
      </c>
      <c r="B1821" s="1">
        <v>962000376</v>
      </c>
      <c r="C1821" s="1" t="str">
        <f>"تخليه - چهارمحال و بختياري - کيلومتر 25جاده شهرکرد-فارسان-کارخانه آسفالت احمديه چليچه"</f>
        <v>تخليه - چهارمحال و بختياري - کيلومتر 25جاده شهرکرد-فارسان-کارخانه آسفالت احمديه چليچه</v>
      </c>
      <c r="D1821" s="1">
        <v>12820</v>
      </c>
      <c r="E1821" s="1">
        <v>55095</v>
      </c>
      <c r="F1821" s="1">
        <v>96</v>
      </c>
      <c r="G1821" s="1">
        <v>0</v>
      </c>
      <c r="H1821" s="1" t="str">
        <f>"96/09/19"</f>
        <v>96/09/19</v>
      </c>
      <c r="I1821" s="1" t="str">
        <f>"كيلوگرم"</f>
        <v>كيلوگرم</v>
      </c>
      <c r="J1821" s="1" t="str">
        <f>"1000000002"</f>
        <v>1000000002</v>
      </c>
      <c r="K1821" s="1" t="str">
        <f>"قير 85/100 - فله"</f>
        <v>قير 85/100 - فله</v>
      </c>
      <c r="L1821" s="1">
        <v>100</v>
      </c>
      <c r="M1821" s="1" t="str">
        <f>"مخازن قير اصفهان"</f>
        <v>مخازن قير اصفهان</v>
      </c>
      <c r="N1821" s="1">
        <v>9900</v>
      </c>
      <c r="O1821" s="1">
        <v>50037673</v>
      </c>
      <c r="P1821" s="1" t="str">
        <f>"  شهرداري باباحيدر"</f>
        <v xml:space="preserve">  شهرداري باباحيدر</v>
      </c>
      <c r="Q1821" s="1">
        <v>20</v>
      </c>
      <c r="R1821" s="1" t="str">
        <f>"فروش داخلي - سازمان شهرداري ها و دهياري هاي كشور"</f>
        <v>فروش داخلي - سازمان شهرداري ها و دهياري هاي كشور</v>
      </c>
      <c r="S1821" s="1" t="str">
        <f>"قرارداد فروش"</f>
        <v>قرارداد فروش</v>
      </c>
      <c r="T1821" s="1" t="str">
        <f>"ندارد"</f>
        <v>ندارد</v>
      </c>
      <c r="U1821" s="1" t="str">
        <f>"تعاوني جم گستر (1001 ج 89)"</f>
        <v>تعاوني جم گستر (1001 ج 89)</v>
      </c>
      <c r="V1821" s="1">
        <v>962000376</v>
      </c>
      <c r="W1821" s="1">
        <v>962000376</v>
      </c>
      <c r="X1821" s="1" t="str">
        <f>"1396529715"</f>
        <v>1396529715</v>
      </c>
      <c r="Y1821" s="1" t="str">
        <f>"96/09/19"</f>
        <v>96/09/19</v>
      </c>
      <c r="Z1821" s="1" t="str">
        <f>"38532مرحله دوم"</f>
        <v>38532مرحله دوم</v>
      </c>
      <c r="AA1821" s="1" t="str">
        <f>"شهرداريها"</f>
        <v>شهرداريها</v>
      </c>
      <c r="AB1821" s="1" t="str">
        <f>"96/09/11"</f>
        <v>96/09/11</v>
      </c>
      <c r="AC1821" s="1" t="str">
        <f>"استان چهارمحال بختياري"</f>
        <v>استان چهارمحال بختياري</v>
      </c>
      <c r="AD1821" s="1" t="str">
        <f>"96/09/13"</f>
        <v>96/09/13</v>
      </c>
      <c r="AE1821" s="1" t="str">
        <f>"اختتام"</f>
        <v>اختتام</v>
      </c>
      <c r="AF1821" s="1" t="str">
        <f>""</f>
        <v/>
      </c>
      <c r="AG1821" s="1" t="str">
        <f>""</f>
        <v/>
      </c>
      <c r="AH1821" s="1" t="str">
        <f>""</f>
        <v/>
      </c>
      <c r="AI1821" s="1" t="str">
        <f>""</f>
        <v/>
      </c>
      <c r="AJ1821" s="1" t="str">
        <f>""</f>
        <v/>
      </c>
      <c r="AK1821" s="1" t="str">
        <f>""</f>
        <v/>
      </c>
    </row>
    <row r="1822" spans="1:37">
      <c r="A1822" s="1">
        <v>46082</v>
      </c>
      <c r="B1822" s="1">
        <v>962000381</v>
      </c>
      <c r="C1822" s="1" t="str">
        <f>"تخليه چهارمحال وبختياري فارسان كيلومتر5بيدگل شركت گوجان سازكارخانه آسفالت رضايي"</f>
        <v>تخليه چهارمحال وبختياري فارسان كيلومتر5بيدگل شركت گوجان سازكارخانه آسفالت رضايي</v>
      </c>
      <c r="D1822" s="1">
        <v>12820</v>
      </c>
      <c r="E1822" s="1">
        <v>46082</v>
      </c>
      <c r="F1822" s="1">
        <v>96</v>
      </c>
      <c r="G1822" s="1">
        <v>0</v>
      </c>
      <c r="H1822" s="1" t="str">
        <f>"96/09/19"</f>
        <v>96/09/19</v>
      </c>
      <c r="I1822" s="1" t="str">
        <f>"كيلوگرم"</f>
        <v>كيلوگرم</v>
      </c>
      <c r="J1822" s="1" t="str">
        <f>"1000000002"</f>
        <v>1000000002</v>
      </c>
      <c r="K1822" s="1" t="str">
        <f>"قير 85/100 - فله"</f>
        <v>قير 85/100 - فله</v>
      </c>
      <c r="L1822" s="1">
        <v>100</v>
      </c>
      <c r="M1822" s="1" t="str">
        <f>"مخازن قير اصفهان"</f>
        <v>مخازن قير اصفهان</v>
      </c>
      <c r="N1822" s="1">
        <v>10702</v>
      </c>
      <c r="O1822" s="1">
        <v>50037678</v>
      </c>
      <c r="P1822" s="1" t="str">
        <f>"  شهرداري گوجان"</f>
        <v xml:space="preserve">  شهرداري گوجان</v>
      </c>
      <c r="Q1822" s="1">
        <v>20</v>
      </c>
      <c r="R1822" s="1" t="str">
        <f>"فروش داخلي - سازمان شهرداري ها و دهياري هاي كشور"</f>
        <v>فروش داخلي - سازمان شهرداري ها و دهياري هاي كشور</v>
      </c>
      <c r="S1822" s="1" t="str">
        <f>"قرارداد فروش"</f>
        <v>قرارداد فروش</v>
      </c>
      <c r="T1822" s="1" t="str">
        <f>"ندارد"</f>
        <v>ندارد</v>
      </c>
      <c r="U1822" s="1" t="str">
        <f>"تعاوني جم گستر (1001 ج 89)"</f>
        <v>تعاوني جم گستر (1001 ج 89)</v>
      </c>
      <c r="V1822" s="1">
        <v>962000381</v>
      </c>
      <c r="W1822" s="1">
        <v>962000381</v>
      </c>
      <c r="X1822" s="1" t="str">
        <f>"1396529715"</f>
        <v>1396529715</v>
      </c>
      <c r="Y1822" s="1" t="str">
        <f>"96/09/19"</f>
        <v>96/09/19</v>
      </c>
      <c r="Z1822" s="1" t="str">
        <f>"38543مرحله دوم"</f>
        <v>38543مرحله دوم</v>
      </c>
      <c r="AA1822" s="1" t="str">
        <f>"شهرداريها"</f>
        <v>شهرداريها</v>
      </c>
      <c r="AB1822" s="1" t="str">
        <f>"96/09/11"</f>
        <v>96/09/11</v>
      </c>
      <c r="AC1822" s="1" t="str">
        <f>"استان چهارمحال بختياري"</f>
        <v>استان چهارمحال بختياري</v>
      </c>
      <c r="AD1822" s="1" t="str">
        <f>"96/09/13"</f>
        <v>96/09/13</v>
      </c>
      <c r="AE1822" s="1" t="str">
        <f>"اختتام"</f>
        <v>اختتام</v>
      </c>
      <c r="AF1822" s="1" t="str">
        <f>""</f>
        <v/>
      </c>
      <c r="AG1822" s="1" t="str">
        <f>""</f>
        <v/>
      </c>
      <c r="AH1822" s="1" t="str">
        <f>""</f>
        <v/>
      </c>
      <c r="AI1822" s="1" t="str">
        <f>""</f>
        <v/>
      </c>
      <c r="AJ1822" s="1" t="str">
        <f>""</f>
        <v/>
      </c>
      <c r="AK1822" s="1" t="str">
        <f>""</f>
        <v/>
      </c>
    </row>
    <row r="1823" spans="1:37">
      <c r="A1823" s="1">
        <v>145977</v>
      </c>
      <c r="B1823" s="1">
        <v>962000123</v>
      </c>
      <c r="C1823" s="1" t="str">
        <f>"تخليه چهارمحال وبختياري جاده لردگان خوزستان نرسيده به سه راهي ارمندشركت لردگان آسفالت"</f>
        <v>تخليه چهارمحال وبختياري جاده لردگان خوزستان نرسيده به سه راهي ارمندشركت لردگان آسفالت</v>
      </c>
      <c r="D1823" s="1">
        <v>9113</v>
      </c>
      <c r="E1823" s="1">
        <v>145977</v>
      </c>
      <c r="F1823" s="1">
        <v>96</v>
      </c>
      <c r="G1823" s="1">
        <v>0</v>
      </c>
      <c r="H1823" s="1" t="str">
        <f>"96/07/03"</f>
        <v>96/07/03</v>
      </c>
      <c r="I1823" s="1" t="str">
        <f>"كيلوگرم"</f>
        <v>كيلوگرم</v>
      </c>
      <c r="J1823" s="1" t="str">
        <f>"1000000002"</f>
        <v>1000000002</v>
      </c>
      <c r="K1823" s="1" t="str">
        <f>"قير 85/100 - فله"</f>
        <v>قير 85/100 - فله</v>
      </c>
      <c r="L1823" s="1">
        <v>100</v>
      </c>
      <c r="M1823" s="1" t="str">
        <f>"مخازن قير اصفهان"</f>
        <v>مخازن قير اصفهان</v>
      </c>
      <c r="N1823" s="1">
        <v>10857</v>
      </c>
      <c r="O1823" s="1">
        <v>50036308</v>
      </c>
      <c r="P1823" s="1" t="str">
        <f>"  شهرداري سردشت چهارمحال"</f>
        <v xml:space="preserve">  شهرداري سردشت چهارمحال</v>
      </c>
      <c r="Q1823" s="1">
        <v>20</v>
      </c>
      <c r="R1823" s="1" t="str">
        <f>"فروش داخلي - سازمان شهرداري ها و دهياري هاي كشور"</f>
        <v>فروش داخلي - سازمان شهرداري ها و دهياري هاي كشور</v>
      </c>
      <c r="S1823" s="1" t="str">
        <f>"قرارداد فروش"</f>
        <v>قرارداد فروش</v>
      </c>
      <c r="T1823" s="1" t="str">
        <f>"ندارد"</f>
        <v>ندارد</v>
      </c>
      <c r="U1823" s="1" t="str">
        <f>"تعاوني جم گستر (1001 ج 89)"</f>
        <v>تعاوني جم گستر (1001 ج 89)</v>
      </c>
      <c r="V1823" s="1">
        <v>962000123</v>
      </c>
      <c r="W1823" s="1">
        <v>962000123</v>
      </c>
      <c r="X1823" s="1" t="str">
        <f>"1396514468"</f>
        <v>1396514468</v>
      </c>
      <c r="Y1823" s="1" t="str">
        <f>"96/07/03"</f>
        <v>96/07/03</v>
      </c>
      <c r="Z1823" s="1" t="str">
        <f>"26619مرحله اول"</f>
        <v>26619مرحله اول</v>
      </c>
      <c r="AA1823" s="1" t="str">
        <f>"شهرداريها"</f>
        <v>شهرداريها</v>
      </c>
      <c r="AB1823" s="1" t="str">
        <f>"96/06/29"</f>
        <v>96/06/29</v>
      </c>
      <c r="AC1823" s="1" t="str">
        <f>"استان چهارمحال بختياري"</f>
        <v>استان چهارمحال بختياري</v>
      </c>
      <c r="AD1823" s="1" t="str">
        <f>"96/07/03"</f>
        <v>96/07/03</v>
      </c>
      <c r="AE1823" s="1" t="str">
        <f>"اختتام"</f>
        <v>اختتام</v>
      </c>
      <c r="AF1823" s="1" t="str">
        <f>""</f>
        <v/>
      </c>
      <c r="AG1823" s="1" t="str">
        <f>""</f>
        <v/>
      </c>
      <c r="AH1823" s="1" t="str">
        <f>""</f>
        <v/>
      </c>
      <c r="AI1823" s="1" t="str">
        <f>""</f>
        <v/>
      </c>
      <c r="AJ1823" s="1" t="str">
        <f>""</f>
        <v/>
      </c>
      <c r="AK1823" s="1" t="str">
        <f>""</f>
        <v/>
      </c>
    </row>
    <row r="1824" spans="1:37">
      <c r="A1824" s="1">
        <v>52347</v>
      </c>
      <c r="B1824" s="1">
        <v>962000368</v>
      </c>
      <c r="C1824" s="1" t="str">
        <f>"تخليه - چهارمحال و بختياري-سامان-نرسيده به پليس راه-شهرک صنعتي فاز 2 -شرکت نسيم سامان"</f>
        <v>تخليه - چهارمحال و بختياري-سامان-نرسيده به پليس راه-شهرک صنعتي فاز 2 -شرکت نسيم سامان</v>
      </c>
      <c r="D1824" s="1">
        <v>12820</v>
      </c>
      <c r="E1824" s="1">
        <v>52347</v>
      </c>
      <c r="F1824" s="1">
        <v>96</v>
      </c>
      <c r="G1824" s="1">
        <v>0</v>
      </c>
      <c r="H1824" s="1" t="str">
        <f>"96/09/19"</f>
        <v>96/09/19</v>
      </c>
      <c r="I1824" s="1" t="str">
        <f>"كيلوگرم"</f>
        <v>كيلوگرم</v>
      </c>
      <c r="J1824" s="1" t="str">
        <f>"1000000002"</f>
        <v>1000000002</v>
      </c>
      <c r="K1824" s="1" t="str">
        <f>"قير 85/100 - فله"</f>
        <v>قير 85/100 - فله</v>
      </c>
      <c r="L1824" s="1">
        <v>100</v>
      </c>
      <c r="M1824" s="1" t="str">
        <f>"مخازن قير اصفهان"</f>
        <v>مخازن قير اصفهان</v>
      </c>
      <c r="N1824" s="1">
        <v>11157</v>
      </c>
      <c r="O1824" s="1">
        <v>50037665</v>
      </c>
      <c r="P1824" s="1" t="str">
        <f>"  شهرداري سورشجان"</f>
        <v xml:space="preserve">  شهرداري سورشجان</v>
      </c>
      <c r="Q1824" s="1">
        <v>20</v>
      </c>
      <c r="R1824" s="1" t="str">
        <f>"فروش داخلي - سازمان شهرداري ها و دهياري هاي كشور"</f>
        <v>فروش داخلي - سازمان شهرداري ها و دهياري هاي كشور</v>
      </c>
      <c r="S1824" s="1" t="str">
        <f>"قرارداد فروش"</f>
        <v>قرارداد فروش</v>
      </c>
      <c r="T1824" s="1" t="str">
        <f>"ندارد"</f>
        <v>ندارد</v>
      </c>
      <c r="U1824" s="1" t="str">
        <f>"تعاوني جم گستر (1001 ج 89)"</f>
        <v>تعاوني جم گستر (1001 ج 89)</v>
      </c>
      <c r="V1824" s="1">
        <v>962000368</v>
      </c>
      <c r="W1824" s="1">
        <v>962000368</v>
      </c>
      <c r="X1824" s="1" t="str">
        <f>"1396529715"</f>
        <v>1396529715</v>
      </c>
      <c r="Y1824" s="1" t="str">
        <f>"96/09/19"</f>
        <v>96/09/19</v>
      </c>
      <c r="Z1824" s="1" t="str">
        <f>"38494مرحله دوم"</f>
        <v>38494مرحله دوم</v>
      </c>
      <c r="AA1824" s="1" t="str">
        <f>"شهرداريها"</f>
        <v>شهرداريها</v>
      </c>
      <c r="AB1824" s="1" t="str">
        <f>"96/09/11"</f>
        <v>96/09/11</v>
      </c>
      <c r="AC1824" s="1" t="str">
        <f>"استان چهارمحال بختياري"</f>
        <v>استان چهارمحال بختياري</v>
      </c>
      <c r="AD1824" s="1" t="str">
        <f>"96/09/13"</f>
        <v>96/09/13</v>
      </c>
      <c r="AE1824" s="1" t="str">
        <f>"اختتام"</f>
        <v>اختتام</v>
      </c>
      <c r="AF1824" s="1" t="str">
        <f>""</f>
        <v/>
      </c>
      <c r="AG1824" s="1" t="str">
        <f>""</f>
        <v/>
      </c>
      <c r="AH1824" s="1" t="str">
        <f>""</f>
        <v/>
      </c>
      <c r="AI1824" s="1" t="str">
        <f>""</f>
        <v/>
      </c>
      <c r="AJ1824" s="1" t="str">
        <f>""</f>
        <v/>
      </c>
      <c r="AK1824" s="1" t="str">
        <f>""</f>
        <v/>
      </c>
    </row>
    <row r="1825" spans="1:37">
      <c r="A1825" s="1">
        <v>714000</v>
      </c>
      <c r="B1825" s="1">
        <v>966200184</v>
      </c>
      <c r="C1825" s="1" t="str">
        <f>"تخليه - زنجان - کيلومتر 9 جاده ترانزيت ابهر قزوين کارخانه آسفالت نورين ابهر (شرکت زنجان سازگان)"</f>
        <v>تخليه - زنجان - کيلومتر 9 جاده ترانزيت ابهر قزوين کارخانه آسفالت نورين ابهر (شرکت زنجان سازگان)</v>
      </c>
      <c r="D1825" s="1">
        <v>8704</v>
      </c>
      <c r="E1825" s="1">
        <v>714000</v>
      </c>
      <c r="F1825" s="1">
        <v>96</v>
      </c>
      <c r="G1825" s="1">
        <v>0</v>
      </c>
      <c r="H1825" s="1" t="str">
        <f>"96/05/25"</f>
        <v>96/05/25</v>
      </c>
      <c r="I1825" s="1" t="str">
        <f>"كيلوگرم"</f>
        <v>كيلوگرم</v>
      </c>
      <c r="J1825" s="1" t="str">
        <f>"1000000002"</f>
        <v>1000000002</v>
      </c>
      <c r="K1825" s="1" t="str">
        <f>"قير 85/100 - فله"</f>
        <v>قير 85/100 - فله</v>
      </c>
      <c r="L1825" s="1">
        <v>100</v>
      </c>
      <c r="M1825" s="1" t="str">
        <f>"مخازن قير اصفهان"</f>
        <v>مخازن قير اصفهان</v>
      </c>
      <c r="N1825" s="1">
        <v>11237</v>
      </c>
      <c r="O1825" s="1">
        <v>50035673</v>
      </c>
      <c r="P1825" s="1" t="str">
        <f>"  بنياد مسکن انقلاب اسلامي زنجان"</f>
        <v xml:space="preserve">  بنياد مسکن انقلاب اسلامي زنجان</v>
      </c>
      <c r="Q1825" s="1">
        <v>62</v>
      </c>
      <c r="R1825" s="1" t="str">
        <f>"فروش داخلي - سازمان بنيادمسكن انقلاب اسلامي"</f>
        <v>فروش داخلي - سازمان بنيادمسكن انقلاب اسلامي</v>
      </c>
      <c r="S1825" s="1" t="str">
        <f>"قرارداد فروش"</f>
        <v>قرارداد فروش</v>
      </c>
      <c r="T1825" s="1" t="str">
        <f>"ندارد"</f>
        <v>ندارد</v>
      </c>
      <c r="U1825" s="1" t="str">
        <f>"فتاح زاده سيداحمد(3843011)"</f>
        <v>فتاح زاده سيداحمد(3843011)</v>
      </c>
      <c r="V1825" s="1">
        <v>966200184</v>
      </c>
      <c r="W1825" s="1">
        <v>966200184</v>
      </c>
      <c r="X1825" s="1" t="str">
        <f>"1396506151"</f>
        <v>1396506151</v>
      </c>
      <c r="Y1825" s="1" t="str">
        <f>"96/05/25"</f>
        <v>96/05/25</v>
      </c>
      <c r="Z1825" s="1" t="str">
        <f>"22056/د"</f>
        <v>22056/د</v>
      </c>
      <c r="AA1825" s="1" t="str">
        <f>"بنيادمسكن انقلاب اسلامي"</f>
        <v>بنيادمسكن انقلاب اسلامي</v>
      </c>
      <c r="AB1825" s="1" t="str">
        <f>"96/05/24"</f>
        <v>96/05/24</v>
      </c>
      <c r="AC1825" s="1" t="str">
        <f>"استان زنجان"</f>
        <v>استان زنجان</v>
      </c>
      <c r="AD1825" s="1" t="str">
        <f>"96/05/25"</f>
        <v>96/05/25</v>
      </c>
      <c r="AE1825" s="1" t="str">
        <f>"اختتام"</f>
        <v>اختتام</v>
      </c>
      <c r="AF1825" s="1" t="str">
        <f>""</f>
        <v/>
      </c>
      <c r="AG1825" s="1" t="str">
        <f>""</f>
        <v/>
      </c>
      <c r="AH1825" s="1" t="str">
        <f>""</f>
        <v/>
      </c>
      <c r="AI1825" s="1" t="str">
        <f>""</f>
        <v/>
      </c>
      <c r="AJ1825" s="1" t="str">
        <f>""</f>
        <v/>
      </c>
      <c r="AK1825" s="1" t="str">
        <f>""</f>
        <v/>
      </c>
    </row>
    <row r="1826" spans="1:37">
      <c r="A1826" s="1">
        <v>261000</v>
      </c>
      <c r="B1826" s="1">
        <v>966200337</v>
      </c>
      <c r="C1826" s="1" t="str">
        <f>"تخليه -کيلومتر 45 جاده زنجان بيجار بعداز کارخانه سيمان خمسه -کارخانه آسفالت کاچار گستر غرب"</f>
        <v>تخليه -کيلومتر 45 جاده زنجان بيجار بعداز کارخانه سيمان خمسه -کارخانه آسفالت کاچار گستر غرب</v>
      </c>
      <c r="D1826" s="1">
        <v>9113</v>
      </c>
      <c r="E1826" s="1">
        <v>260560</v>
      </c>
      <c r="F1826" s="1">
        <v>96</v>
      </c>
      <c r="G1826" s="1">
        <v>440</v>
      </c>
      <c r="H1826" s="1" t="str">
        <f>"96/07/25"</f>
        <v>96/07/25</v>
      </c>
      <c r="I1826" s="1" t="str">
        <f>"كيلوگرم"</f>
        <v>كيلوگرم</v>
      </c>
      <c r="J1826" s="1" t="str">
        <f>"1000000002"</f>
        <v>1000000002</v>
      </c>
      <c r="K1826" s="1" t="str">
        <f>"قير 85/100 - فله"</f>
        <v>قير 85/100 - فله</v>
      </c>
      <c r="L1826" s="1">
        <v>100</v>
      </c>
      <c r="M1826" s="1" t="str">
        <f>"مخازن قير اصفهان"</f>
        <v>مخازن قير اصفهان</v>
      </c>
      <c r="N1826" s="1">
        <v>11237</v>
      </c>
      <c r="O1826" s="1">
        <v>50036783</v>
      </c>
      <c r="P1826" s="1" t="str">
        <f>"  بنياد مسکن انقلاب اسلامي زنجان"</f>
        <v xml:space="preserve">  بنياد مسکن انقلاب اسلامي زنجان</v>
      </c>
      <c r="Q1826" s="1">
        <v>62</v>
      </c>
      <c r="R1826" s="1" t="str">
        <f>"فروش داخلي - سازمان بنيادمسكن انقلاب اسلامي"</f>
        <v>فروش داخلي - سازمان بنيادمسكن انقلاب اسلامي</v>
      </c>
      <c r="S1826" s="1" t="str">
        <f>"قرارداد فروش"</f>
        <v>قرارداد فروش</v>
      </c>
      <c r="T1826" s="1" t="str">
        <f>"ندارد"</f>
        <v>ندارد</v>
      </c>
      <c r="U1826" s="1" t="str">
        <f>"فتاح زاده سيداحمد(3843011)"</f>
        <v>فتاح زاده سيداحمد(3843011)</v>
      </c>
      <c r="V1826" s="1">
        <v>966200337</v>
      </c>
      <c r="W1826" s="1">
        <v>966200337</v>
      </c>
      <c r="X1826" s="1" t="str">
        <f>"1396519153"</f>
        <v>1396519153</v>
      </c>
      <c r="Y1826" s="1" t="str">
        <f>"96/07/25"</f>
        <v>96/07/25</v>
      </c>
      <c r="Z1826" s="1" t="str">
        <f>"33001/د"</f>
        <v>33001/د</v>
      </c>
      <c r="AA1826" s="1" t="str">
        <f>"بنيادمسكن انقلاب اسلامي"</f>
        <v>بنيادمسكن انقلاب اسلامي</v>
      </c>
      <c r="AB1826" s="1" t="str">
        <f>"96/07/24"</f>
        <v>96/07/24</v>
      </c>
      <c r="AC1826" s="1" t="str">
        <f>"استان زنجان"</f>
        <v>استان زنجان</v>
      </c>
      <c r="AD1826" s="1" t="str">
        <f>"96/07/25"</f>
        <v>96/07/25</v>
      </c>
      <c r="AE1826" s="1" t="str">
        <f>"اختتام"</f>
        <v>اختتام</v>
      </c>
      <c r="AF1826" s="1" t="str">
        <f>""</f>
        <v/>
      </c>
      <c r="AG1826" s="1" t="str">
        <f>""</f>
        <v/>
      </c>
      <c r="AH1826" s="1" t="str">
        <f>""</f>
        <v/>
      </c>
      <c r="AI1826" s="1" t="str">
        <f>""</f>
        <v/>
      </c>
      <c r="AJ1826" s="1" t="str">
        <f>""</f>
        <v/>
      </c>
      <c r="AK1826" s="1" t="str">
        <f>""</f>
        <v/>
      </c>
    </row>
    <row r="1827" spans="1:37">
      <c r="A1827" s="1">
        <v>65000</v>
      </c>
      <c r="B1827" s="1">
        <v>966200373</v>
      </c>
      <c r="C1827" s="1" t="str">
        <f>"تخليه - زنجان-کيلومتر 75 جاده دندي-سه راه ابراهيم آباد -کارخانه آسفالت ايراني عجملو"</f>
        <v>تخليه - زنجان-کيلومتر 75 جاده دندي-سه راه ابراهيم آباد -کارخانه آسفالت ايراني عجملو</v>
      </c>
      <c r="D1827" s="1">
        <v>9416</v>
      </c>
      <c r="E1827" s="1">
        <v>63920</v>
      </c>
      <c r="F1827" s="1">
        <v>96</v>
      </c>
      <c r="G1827" s="1">
        <v>1080</v>
      </c>
      <c r="H1827" s="1" t="str">
        <f>"96/08/16"</f>
        <v>96/08/16</v>
      </c>
      <c r="I1827" s="1" t="str">
        <f>"كيلوگرم"</f>
        <v>كيلوگرم</v>
      </c>
      <c r="J1827" s="1" t="str">
        <f>"1000000002"</f>
        <v>1000000002</v>
      </c>
      <c r="K1827" s="1" t="str">
        <f>"قير 85/100 - فله"</f>
        <v>قير 85/100 - فله</v>
      </c>
      <c r="L1827" s="1">
        <v>100</v>
      </c>
      <c r="M1827" s="1" t="str">
        <f>"مخازن قير اصفهان"</f>
        <v>مخازن قير اصفهان</v>
      </c>
      <c r="N1827" s="1">
        <v>11237</v>
      </c>
      <c r="O1827" s="1">
        <v>50037089</v>
      </c>
      <c r="P1827" s="1" t="str">
        <f>"  بنياد مسکن انقلاب اسلامي زنجان"</f>
        <v xml:space="preserve">  بنياد مسکن انقلاب اسلامي زنجان</v>
      </c>
      <c r="Q1827" s="1">
        <v>62</v>
      </c>
      <c r="R1827" s="1" t="str">
        <f>"فروش داخلي - سازمان بنيادمسكن انقلاب اسلامي"</f>
        <v>فروش داخلي - سازمان بنيادمسكن انقلاب اسلامي</v>
      </c>
      <c r="S1827" s="1" t="str">
        <f>"قرارداد فروش"</f>
        <v>قرارداد فروش</v>
      </c>
      <c r="T1827" s="1" t="str">
        <f>"ندارد"</f>
        <v>ندارد</v>
      </c>
      <c r="U1827" s="1" t="str">
        <f>"رضائي كلهر حسن (1901099)"</f>
        <v>رضائي كلهر حسن (1901099)</v>
      </c>
      <c r="V1827" s="1">
        <v>966200373</v>
      </c>
      <c r="W1827" s="1">
        <v>966200373</v>
      </c>
      <c r="X1827" s="1" t="str">
        <f>"1396524015"</f>
        <v>1396524015</v>
      </c>
      <c r="Y1827" s="1" t="str">
        <f>"96/08/16"</f>
        <v>96/08/16</v>
      </c>
      <c r="Z1827" s="1" t="str">
        <f>"36352/د"</f>
        <v>36352/د</v>
      </c>
      <c r="AA1827" s="1" t="str">
        <f>"بنيادمسكن انقلاب اسلامي"</f>
        <v>بنيادمسكن انقلاب اسلامي</v>
      </c>
      <c r="AB1827" s="1" t="str">
        <f>"96/08/14"</f>
        <v>96/08/14</v>
      </c>
      <c r="AC1827" s="1" t="str">
        <f>"استان زنجان"</f>
        <v>استان زنجان</v>
      </c>
      <c r="AD1827" s="1" t="str">
        <f>"96/08/16"</f>
        <v>96/08/16</v>
      </c>
      <c r="AE1827" s="1" t="str">
        <f>"اختتام"</f>
        <v>اختتام</v>
      </c>
      <c r="AF1827" s="1" t="str">
        <f>""</f>
        <v/>
      </c>
      <c r="AG1827" s="1" t="str">
        <f>""</f>
        <v/>
      </c>
      <c r="AH1827" s="1" t="str">
        <f>""</f>
        <v/>
      </c>
      <c r="AI1827" s="1" t="str">
        <f>""</f>
        <v/>
      </c>
      <c r="AJ1827" s="1" t="str">
        <f>""</f>
        <v/>
      </c>
      <c r="AK1827" s="1" t="str">
        <f>""</f>
        <v/>
      </c>
    </row>
    <row r="1828" spans="1:37">
      <c r="A1828" s="1">
        <v>59000</v>
      </c>
      <c r="B1828" s="1">
        <v>966200568</v>
      </c>
      <c r="C1828" s="1" t="str">
        <f>"تخليه - زنجان -کيلومتر 49 اتوبان زنجان قزوين -کارخانه آسفالت شرکت مهرجويان ابهر"</f>
        <v>تخليه - زنجان -کيلومتر 49 اتوبان زنجان قزوين -کارخانه آسفالت شرکت مهرجويان ابهر</v>
      </c>
      <c r="D1828" s="1">
        <v>13200</v>
      </c>
      <c r="E1828" s="1">
        <v>58980</v>
      </c>
      <c r="F1828" s="1">
        <v>96</v>
      </c>
      <c r="G1828" s="1">
        <v>20</v>
      </c>
      <c r="H1828" s="1" t="str">
        <f>"96/11/18"</f>
        <v>96/11/18</v>
      </c>
      <c r="I1828" s="1" t="str">
        <f>"كيلوگرم"</f>
        <v>كيلوگرم</v>
      </c>
      <c r="J1828" s="1" t="str">
        <f>"1000000002"</f>
        <v>1000000002</v>
      </c>
      <c r="K1828" s="1" t="str">
        <f>"قير 85/100 - فله"</f>
        <v>قير 85/100 - فله</v>
      </c>
      <c r="L1828" s="1">
        <v>100</v>
      </c>
      <c r="M1828" s="1" t="str">
        <f>"مخازن قير اصفهان"</f>
        <v>مخازن قير اصفهان</v>
      </c>
      <c r="N1828" s="1">
        <v>11237</v>
      </c>
      <c r="O1828" s="1">
        <v>50038433</v>
      </c>
      <c r="P1828" s="1" t="str">
        <f>"  بنياد مسکن انقلاب اسلامي زنجان"</f>
        <v xml:space="preserve">  بنياد مسکن انقلاب اسلامي زنجان</v>
      </c>
      <c r="Q1828" s="1">
        <v>62</v>
      </c>
      <c r="R1828" s="1" t="str">
        <f>"فروش داخلي - سازمان بنيادمسكن انقلاب اسلامي"</f>
        <v>فروش داخلي - سازمان بنيادمسكن انقلاب اسلامي</v>
      </c>
      <c r="S1828" s="1" t="str">
        <f>"قرارداد فروش"</f>
        <v>قرارداد فروش</v>
      </c>
      <c r="T1828" s="1" t="str">
        <f>"ندارد"</f>
        <v>ندارد</v>
      </c>
      <c r="U1828" s="1" t="str">
        <f>"فتاح زاده سيداحمد(3843011)"</f>
        <v>فتاح زاده سيداحمد(3843011)</v>
      </c>
      <c r="V1828" s="1">
        <v>966200568</v>
      </c>
      <c r="W1828" s="1">
        <v>966200568</v>
      </c>
      <c r="X1828" s="1" t="str">
        <f>"1396546761"</f>
        <v>1396546761</v>
      </c>
      <c r="Y1828" s="1" t="str">
        <f>"96/11/18"</f>
        <v>96/11/18</v>
      </c>
      <c r="Z1828" s="1" t="str">
        <f>"51874/د"</f>
        <v>51874/د</v>
      </c>
      <c r="AA1828" s="1" t="str">
        <f>"بنيادمسكن انقلاب اسلامي"</f>
        <v>بنيادمسكن انقلاب اسلامي</v>
      </c>
      <c r="AB1828" s="1" t="str">
        <f>"96/11/17"</f>
        <v>96/11/17</v>
      </c>
      <c r="AC1828" s="1" t="str">
        <f>"استان زنجان"</f>
        <v>استان زنجان</v>
      </c>
      <c r="AD1828" s="1" t="str">
        <f>"96/11/18"</f>
        <v>96/11/18</v>
      </c>
      <c r="AE1828" s="1" t="str">
        <f>"اختتام"</f>
        <v>اختتام</v>
      </c>
      <c r="AF1828" s="1" t="str">
        <f>""</f>
        <v/>
      </c>
      <c r="AG1828" s="1" t="str">
        <f>""</f>
        <v/>
      </c>
      <c r="AH1828" s="1" t="str">
        <f>""</f>
        <v/>
      </c>
      <c r="AI1828" s="1" t="str">
        <f>""</f>
        <v/>
      </c>
      <c r="AJ1828" s="1" t="str">
        <f>""</f>
        <v/>
      </c>
      <c r="AK1828" s="1" t="str">
        <f>""</f>
        <v/>
      </c>
    </row>
    <row r="1829" spans="1:37">
      <c r="A1829" s="1">
        <v>610000</v>
      </c>
      <c r="B1829" s="1">
        <v>966200347</v>
      </c>
      <c r="C1829" s="1" t="str">
        <f>"تخليه همدان ملايرسامن كارخانه آسفالت شهرداري سامن"</f>
        <v>تخليه همدان ملايرسامن كارخانه آسفالت شهرداري سامن</v>
      </c>
      <c r="D1829" s="1">
        <v>9113</v>
      </c>
      <c r="E1829" s="1">
        <v>602040</v>
      </c>
      <c r="F1829" s="1">
        <v>96</v>
      </c>
      <c r="G1829" s="1">
        <v>7960</v>
      </c>
      <c r="H1829" s="1" t="str">
        <f>"96/07/29"</f>
        <v>96/07/29</v>
      </c>
      <c r="I1829" s="1" t="str">
        <f>"كيلوگرم"</f>
        <v>كيلوگرم</v>
      </c>
      <c r="J1829" s="1" t="str">
        <f>"1000000002"</f>
        <v>1000000002</v>
      </c>
      <c r="K1829" s="1" t="str">
        <f>"قير 85/100 - فله"</f>
        <v>قير 85/100 - فله</v>
      </c>
      <c r="L1829" s="1">
        <v>100</v>
      </c>
      <c r="M1829" s="1" t="str">
        <f>"مخازن قير اصفهان"</f>
        <v>مخازن قير اصفهان</v>
      </c>
      <c r="N1829" s="1">
        <v>11252</v>
      </c>
      <c r="O1829" s="1">
        <v>50036845</v>
      </c>
      <c r="P1829" s="1" t="str">
        <f>"  عمران سديدجم"</f>
        <v xml:space="preserve">  عمران سديدجم</v>
      </c>
      <c r="Q1829" s="1">
        <v>62</v>
      </c>
      <c r="R1829" s="1" t="str">
        <f>"فروش داخلي - سازمان بنيادمسكن انقلاب اسلامي"</f>
        <v>فروش داخلي - سازمان بنيادمسكن انقلاب اسلامي</v>
      </c>
      <c r="S1829" s="1" t="str">
        <f>"قرارداد فروش"</f>
        <v>قرارداد فروش</v>
      </c>
      <c r="T1829" s="1" t="str">
        <f>"ندارد"</f>
        <v>ندارد</v>
      </c>
      <c r="U1829" s="1" t="str">
        <f>"علي پور كاووس (2902045)"</f>
        <v>علي پور كاووس (2902045)</v>
      </c>
      <c r="V1829" s="1">
        <v>966200347</v>
      </c>
      <c r="W1829" s="1">
        <v>966200347</v>
      </c>
      <c r="X1829" s="1" t="str">
        <f>"1396520118"</f>
        <v>1396520118</v>
      </c>
      <c r="Y1829" s="1" t="str">
        <f>"96/07/29"</f>
        <v>96/07/29</v>
      </c>
      <c r="Z1829" s="1" t="str">
        <f>"33229/د"</f>
        <v>33229/د</v>
      </c>
      <c r="AA1829" s="1" t="str">
        <f>"بنيادمسكن انقلاب اسلامي"</f>
        <v>بنيادمسكن انقلاب اسلامي</v>
      </c>
      <c r="AB1829" s="1" t="str">
        <f>"96/07/25"</f>
        <v>96/07/25</v>
      </c>
      <c r="AC1829" s="1" t="str">
        <f>"استان همدان"</f>
        <v>استان همدان</v>
      </c>
      <c r="AD1829" s="1" t="str">
        <f>"96/07/29"</f>
        <v>96/07/29</v>
      </c>
      <c r="AE1829" s="1" t="str">
        <f>"اختتام"</f>
        <v>اختتام</v>
      </c>
      <c r="AF1829" s="1" t="str">
        <f>""</f>
        <v/>
      </c>
      <c r="AG1829" s="1" t="str">
        <f>""</f>
        <v/>
      </c>
      <c r="AH1829" s="1" t="str">
        <f>""</f>
        <v/>
      </c>
      <c r="AI1829" s="1" t="str">
        <f>""</f>
        <v/>
      </c>
      <c r="AJ1829" s="1" t="str">
        <f>""</f>
        <v/>
      </c>
      <c r="AK1829" s="1" t="str">
        <f>""</f>
        <v/>
      </c>
    </row>
    <row r="1830" spans="1:37">
      <c r="A1830" s="1">
        <v>800000</v>
      </c>
      <c r="B1830" s="1">
        <v>966200312</v>
      </c>
      <c r="C1830" s="1" t="str">
        <f>"تخليه -همدان-اسدآباد-چهارراه تويسرکان-جاده هودرج-کارخانه آسفالت چاوش راه بنا"</f>
        <v>تخليه -همدان-اسدآباد-چهارراه تويسرکان-جاده هودرج-کارخانه آسفالت چاوش راه بنا</v>
      </c>
      <c r="D1830" s="1">
        <v>9113</v>
      </c>
      <c r="E1830" s="1">
        <v>798020</v>
      </c>
      <c r="F1830" s="1">
        <v>96</v>
      </c>
      <c r="G1830" s="1">
        <v>1980</v>
      </c>
      <c r="H1830" s="1" t="str">
        <f>"96/07/18"</f>
        <v>96/07/18</v>
      </c>
      <c r="I1830" s="1" t="str">
        <f>"كيلوگرم"</f>
        <v>كيلوگرم</v>
      </c>
      <c r="J1830" s="1" t="str">
        <f>"1000000002"</f>
        <v>1000000002</v>
      </c>
      <c r="K1830" s="1" t="str">
        <f>"قير 85/100 - فله"</f>
        <v>قير 85/100 - فله</v>
      </c>
      <c r="L1830" s="1">
        <v>100</v>
      </c>
      <c r="M1830" s="1" t="str">
        <f>"مخازن قير اصفهان"</f>
        <v>مخازن قير اصفهان</v>
      </c>
      <c r="N1830" s="1">
        <v>11472</v>
      </c>
      <c r="O1830" s="1">
        <v>50036669</v>
      </c>
      <c r="P1830" s="1" t="str">
        <f>"  ايمن کار هگمتان"</f>
        <v xml:space="preserve">  ايمن کار هگمتان</v>
      </c>
      <c r="Q1830" s="1">
        <v>62</v>
      </c>
      <c r="R1830" s="1" t="str">
        <f>"فروش داخلي - سازمان بنيادمسكن انقلاب اسلامي"</f>
        <v>فروش داخلي - سازمان بنيادمسكن انقلاب اسلامي</v>
      </c>
      <c r="S1830" s="1" t="str">
        <f>"قرارداد فروش"</f>
        <v>قرارداد فروش</v>
      </c>
      <c r="T1830" s="1" t="str">
        <f>"ندارد"</f>
        <v>ندارد</v>
      </c>
      <c r="U1830" s="1" t="str">
        <f>"حاجيلوئي علي اصغر(2842019)"</f>
        <v>حاجيلوئي علي اصغر(2842019)</v>
      </c>
      <c r="V1830" s="1">
        <v>966200312</v>
      </c>
      <c r="W1830" s="1">
        <v>966200312</v>
      </c>
      <c r="X1830" s="1" t="str">
        <f>"1396517670"</f>
        <v>1396517670</v>
      </c>
      <c r="Y1830" s="1" t="str">
        <f>"96/07/18"</f>
        <v>96/07/18</v>
      </c>
      <c r="Z1830" s="1" t="str">
        <f>"31777/د"</f>
        <v>31777/د</v>
      </c>
      <c r="AA1830" s="1" t="str">
        <f>"بنيادمسكن انقلاب اسلامي"</f>
        <v>بنيادمسكن انقلاب اسلامي</v>
      </c>
      <c r="AB1830" s="1" t="str">
        <f>"96/07/17"</f>
        <v>96/07/17</v>
      </c>
      <c r="AC1830" s="1" t="str">
        <f>"استان همدان"</f>
        <v>استان همدان</v>
      </c>
      <c r="AD1830" s="1" t="str">
        <f>"96/07/18"</f>
        <v>96/07/18</v>
      </c>
      <c r="AE1830" s="1" t="str">
        <f>"اختتام"</f>
        <v>اختتام</v>
      </c>
      <c r="AF1830" s="1" t="str">
        <f>""</f>
        <v/>
      </c>
      <c r="AG1830" s="1" t="str">
        <f>""</f>
        <v/>
      </c>
      <c r="AH1830" s="1" t="str">
        <f>""</f>
        <v/>
      </c>
      <c r="AI1830" s="1" t="str">
        <f>""</f>
        <v/>
      </c>
      <c r="AJ1830" s="1" t="str">
        <f>""</f>
        <v/>
      </c>
      <c r="AK1830" s="1" t="str">
        <f>""</f>
        <v/>
      </c>
    </row>
    <row r="1831" spans="1:37">
      <c r="A1831" s="1">
        <v>23000</v>
      </c>
      <c r="B1831" s="1">
        <v>961100118</v>
      </c>
      <c r="C1831" s="1" t="str">
        <f>"تخليه -يزد-طبس 5كيلومترمانده به روستاي خرانق"</f>
        <v>تخليه -يزد-طبس 5كيلومترمانده به روستاي خرانق</v>
      </c>
      <c r="D1831" s="1">
        <v>16500</v>
      </c>
      <c r="E1831" s="1">
        <v>21000</v>
      </c>
      <c r="F1831" s="1">
        <v>96</v>
      </c>
      <c r="G1831" s="1">
        <v>2000</v>
      </c>
      <c r="H1831" s="1" t="str">
        <f>"96/11/16"</f>
        <v>96/11/16</v>
      </c>
      <c r="I1831" s="1" t="str">
        <f>"كيلوگرم"</f>
        <v>كيلوگرم</v>
      </c>
      <c r="J1831" s="1" t="str">
        <f>"1000000003"</f>
        <v>1000000003</v>
      </c>
      <c r="K1831" s="1" t="str">
        <f>"قير MC250"</f>
        <v>قير MC250</v>
      </c>
      <c r="L1831" s="1">
        <v>100</v>
      </c>
      <c r="M1831" s="1" t="str">
        <f>"مخازن قير اصفهان"</f>
        <v>مخازن قير اصفهان</v>
      </c>
      <c r="N1831" s="1">
        <v>8106</v>
      </c>
      <c r="O1831" s="1">
        <v>50038402</v>
      </c>
      <c r="P1831" s="1" t="str">
        <f>"  سامان محيط"</f>
        <v xml:space="preserve">  سامان محيط</v>
      </c>
      <c r="Q1831" s="1">
        <v>11</v>
      </c>
      <c r="R1831" s="1" t="str">
        <f>"فروش داخلي تهران - بورس"</f>
        <v>فروش داخلي تهران - بورس</v>
      </c>
      <c r="S1831" s="1" t="str">
        <f>"قرارداد فروش"</f>
        <v>قرارداد فروش</v>
      </c>
      <c r="T1831" s="1" t="str">
        <f>"ندارد"</f>
        <v>ندارد</v>
      </c>
      <c r="U1831" s="1" t="str">
        <f>"عظيمي محمد(2842015)"</f>
        <v>عظيمي محمد(2842015)</v>
      </c>
      <c r="V1831" s="1">
        <v>961100118</v>
      </c>
      <c r="W1831" s="1">
        <v>961100118</v>
      </c>
      <c r="X1831" s="1" t="str">
        <f>"1396545120"</f>
        <v>1396545120</v>
      </c>
      <c r="Y1831" s="1" t="str">
        <f>"96/11/15"</f>
        <v>96/11/15</v>
      </c>
      <c r="Z1831" s="1" t="str">
        <f>"3/1166/ص"</f>
        <v>3/1166/ص</v>
      </c>
      <c r="AA1831" s="1" t="str">
        <f>"راه سازي"</f>
        <v>راه سازي</v>
      </c>
      <c r="AB1831" s="1" t="str">
        <f>"96/11/14"</f>
        <v>96/11/14</v>
      </c>
      <c r="AC1831" s="1" t="str">
        <f>"استان يزد"</f>
        <v>استان يزد</v>
      </c>
      <c r="AD1831" s="1" t="str">
        <f>"96/11/14"</f>
        <v>96/11/14</v>
      </c>
      <c r="AE1831" s="1" t="str">
        <f>"اختتام"</f>
        <v>اختتام</v>
      </c>
      <c r="AF1831" s="1" t="str">
        <f>""</f>
        <v/>
      </c>
      <c r="AG1831" s="1" t="str">
        <f>""</f>
        <v/>
      </c>
      <c r="AH1831" s="1" t="str">
        <f>""</f>
        <v/>
      </c>
      <c r="AI1831" s="1" t="str">
        <f>""</f>
        <v/>
      </c>
      <c r="AJ1831" s="1" t="str">
        <f>""</f>
        <v/>
      </c>
      <c r="AK1831" s="1" t="str">
        <f>""</f>
        <v/>
      </c>
    </row>
    <row r="1832" spans="1:37">
      <c r="A1832" s="1">
        <v>15000</v>
      </c>
      <c r="B1832" s="1">
        <v>966200649</v>
      </c>
      <c r="C1832" s="1" t="str">
        <f>"تخليه-اصفهان- 5کيلومتري حسن آباد جرقويه-روبروي سه راهي ورزنه"</f>
        <v>تخليه-اصفهان- 5کيلومتري حسن آباد جرقويه-روبروي سه راهي ورزنه</v>
      </c>
      <c r="D1832" s="1">
        <v>16650</v>
      </c>
      <c r="E1832" s="1">
        <v>14640</v>
      </c>
      <c r="F1832" s="1">
        <v>96</v>
      </c>
      <c r="G1832" s="1">
        <v>360</v>
      </c>
      <c r="H1832" s="1" t="str">
        <f>"96/12/14"</f>
        <v>96/12/14</v>
      </c>
      <c r="I1832" s="1" t="str">
        <f>"كيلوگرم"</f>
        <v>كيلوگرم</v>
      </c>
      <c r="J1832" s="1" t="str">
        <f>"1000000003"</f>
        <v>1000000003</v>
      </c>
      <c r="K1832" s="1" t="str">
        <f>"قير MC250"</f>
        <v>قير MC250</v>
      </c>
      <c r="L1832" s="1">
        <v>100</v>
      </c>
      <c r="M1832" s="1" t="str">
        <f>"مخازن قير اصفهان"</f>
        <v>مخازن قير اصفهان</v>
      </c>
      <c r="N1832" s="1">
        <v>9345</v>
      </c>
      <c r="O1832" s="1">
        <v>50038772</v>
      </c>
      <c r="P1832" s="1" t="str">
        <f>"  ثمين راه صفاهان"</f>
        <v xml:space="preserve">  ثمين راه صفاهان</v>
      </c>
      <c r="Q1832" s="1">
        <v>62</v>
      </c>
      <c r="R1832" s="1" t="str">
        <f>"فروش داخلي - سازمان بنيادمسكن انقلاب اسلامي"</f>
        <v>فروش داخلي - سازمان بنيادمسكن انقلاب اسلامي</v>
      </c>
      <c r="S1832" s="1" t="str">
        <f>"قرارداد فروش"</f>
        <v>قرارداد فروش</v>
      </c>
      <c r="T1832" s="1" t="str">
        <f>"ندارد"</f>
        <v>ندارد</v>
      </c>
      <c r="U1832" s="1" t="str">
        <f>"سيفي پور عبدالمجيد(1009ج89)"</f>
        <v>سيفي پور عبدالمجيد(1009ج89)</v>
      </c>
      <c r="V1832" s="1">
        <v>966200649</v>
      </c>
      <c r="W1832" s="1">
        <v>966200649</v>
      </c>
      <c r="X1832" s="1" t="str">
        <f>"1396552262"</f>
        <v>1396552262</v>
      </c>
      <c r="Y1832" s="1" t="str">
        <f>"96/12/14"</f>
        <v>96/12/14</v>
      </c>
      <c r="Z1832" s="1" t="str">
        <f>"56877/د"</f>
        <v>56877/د</v>
      </c>
      <c r="AA1832" s="1" t="str">
        <f>"بنيادمسكن انقلاب اسلامي"</f>
        <v>بنيادمسكن انقلاب اسلامي</v>
      </c>
      <c r="AB1832" s="1" t="str">
        <f>"96/12/14"</f>
        <v>96/12/14</v>
      </c>
      <c r="AC1832" s="1" t="str">
        <f>"استان اصفهان"</f>
        <v>استان اصفهان</v>
      </c>
      <c r="AD1832" s="1" t="str">
        <f>"96/12/14"</f>
        <v>96/12/14</v>
      </c>
      <c r="AE1832" s="1" t="str">
        <f>"اختتام"</f>
        <v>اختتام</v>
      </c>
      <c r="AF1832" s="1" t="str">
        <f>""</f>
        <v/>
      </c>
      <c r="AG1832" s="1" t="str">
        <f>""</f>
        <v/>
      </c>
      <c r="AH1832" s="1" t="str">
        <f>""</f>
        <v/>
      </c>
      <c r="AI1832" s="1" t="str">
        <f>""</f>
        <v/>
      </c>
      <c r="AJ1832" s="1" t="str">
        <f>""</f>
        <v/>
      </c>
      <c r="AK1832" s="1" t="str">
        <f>""</f>
        <v/>
      </c>
    </row>
    <row r="1833" spans="1:37">
      <c r="A1833" s="1">
        <v>74000</v>
      </c>
      <c r="B1833" s="1">
        <v>966200660</v>
      </c>
      <c r="C1833" s="1" t="str">
        <f>"تخليه - سيستان و بلوچستان-سراوان-سنگ شکن-تيران گنبان"</f>
        <v>تخليه - سيستان و بلوچستان-سراوان-سنگ شکن-تيران گنبان</v>
      </c>
      <c r="D1833" s="1">
        <v>16650</v>
      </c>
      <c r="E1833" s="1">
        <v>73320</v>
      </c>
      <c r="F1833" s="1">
        <v>96</v>
      </c>
      <c r="G1833" s="1">
        <v>680</v>
      </c>
      <c r="H1833" s="1" t="str">
        <f>"96/12/15"</f>
        <v>96/12/15</v>
      </c>
      <c r="I1833" s="1" t="str">
        <f>"كيلوگرم"</f>
        <v>كيلوگرم</v>
      </c>
      <c r="J1833" s="1" t="str">
        <f>"1000000003"</f>
        <v>1000000003</v>
      </c>
      <c r="K1833" s="1" t="str">
        <f>"قير MC250"</f>
        <v>قير MC250</v>
      </c>
      <c r="L1833" s="1">
        <v>100</v>
      </c>
      <c r="M1833" s="1" t="str">
        <f>"مخازن قير اصفهان"</f>
        <v>مخازن قير اصفهان</v>
      </c>
      <c r="N1833" s="1">
        <v>9492</v>
      </c>
      <c r="O1833" s="1">
        <v>50038788</v>
      </c>
      <c r="P1833" s="1" t="str">
        <f>"  سيستان بتن"</f>
        <v xml:space="preserve">  سيستان بتن</v>
      </c>
      <c r="Q1833" s="1">
        <v>62</v>
      </c>
      <c r="R1833" s="1" t="str">
        <f>"فروش داخلي - سازمان بنيادمسكن انقلاب اسلامي"</f>
        <v>فروش داخلي - سازمان بنيادمسكن انقلاب اسلامي</v>
      </c>
      <c r="S1833" s="1" t="str">
        <f>"قرارداد فروش"</f>
        <v>قرارداد فروش</v>
      </c>
      <c r="T1833" s="1" t="str">
        <f>"ندارد"</f>
        <v>ندارد</v>
      </c>
      <c r="U1833" s="1" t="str">
        <f>"بهرام زنگنه (1038 ج 93)"</f>
        <v>بهرام زنگنه (1038 ج 93)</v>
      </c>
      <c r="V1833" s="1">
        <v>966200660</v>
      </c>
      <c r="W1833" s="1">
        <v>966200660</v>
      </c>
      <c r="X1833" s="1" t="str">
        <f>"1396552659"</f>
        <v>1396552659</v>
      </c>
      <c r="Y1833" s="1" t="str">
        <f>"96/12/15"</f>
        <v>96/12/15</v>
      </c>
      <c r="Z1833" s="1" t="str">
        <f>"57108/د"</f>
        <v>57108/د</v>
      </c>
      <c r="AA1833" s="1" t="str">
        <f>"بنيادمسكن انقلاب اسلامي"</f>
        <v>بنيادمسكن انقلاب اسلامي</v>
      </c>
      <c r="AB1833" s="1" t="str">
        <f>"96/12/15"</f>
        <v>96/12/15</v>
      </c>
      <c r="AC1833" s="1" t="str">
        <f>"استان سيستان بلوچستان"</f>
        <v>استان سيستان بلوچستان</v>
      </c>
      <c r="AD1833" s="1" t="str">
        <f>"96/12/15"</f>
        <v>96/12/15</v>
      </c>
      <c r="AE1833" s="1" t="str">
        <f>"اختتام"</f>
        <v>اختتام</v>
      </c>
      <c r="AF1833" s="1" t="str">
        <f>""</f>
        <v/>
      </c>
      <c r="AG1833" s="1" t="str">
        <f>""</f>
        <v/>
      </c>
      <c r="AH1833" s="1" t="str">
        <f>""</f>
        <v/>
      </c>
      <c r="AI1833" s="1" t="str">
        <f>""</f>
        <v/>
      </c>
      <c r="AJ1833" s="1" t="str">
        <f>""</f>
        <v/>
      </c>
      <c r="AK1833" s="1" t="str">
        <f>""</f>
        <v/>
      </c>
    </row>
    <row r="1834" spans="1:37">
      <c r="A1834" s="1">
        <v>15000</v>
      </c>
      <c r="B1834" s="1">
        <v>966200342</v>
      </c>
      <c r="C1834" s="1" t="str">
        <f>"تخليه -اصفهان -جاده اردستان سه راهي اردستان -كارخانه آسفالت بسترسازان"</f>
        <v>تخليه -اصفهان -جاده اردستان سه راهي اردستان -كارخانه آسفالت بسترسازان</v>
      </c>
      <c r="D1834" s="1">
        <v>12777</v>
      </c>
      <c r="E1834" s="1">
        <v>14020</v>
      </c>
      <c r="F1834" s="1">
        <v>96</v>
      </c>
      <c r="G1834" s="1">
        <v>980</v>
      </c>
      <c r="H1834" s="1" t="str">
        <f>"96/07/25"</f>
        <v>96/07/25</v>
      </c>
      <c r="I1834" s="1" t="str">
        <f>"كيلوگرم"</f>
        <v>كيلوگرم</v>
      </c>
      <c r="J1834" s="1" t="str">
        <f>"1000000003"</f>
        <v>1000000003</v>
      </c>
      <c r="K1834" s="1" t="str">
        <f>"قير MC250"</f>
        <v>قير MC250</v>
      </c>
      <c r="L1834" s="1">
        <v>100</v>
      </c>
      <c r="M1834" s="1" t="str">
        <f>"مخازن قير اصفهان"</f>
        <v>مخازن قير اصفهان</v>
      </c>
      <c r="N1834" s="1">
        <v>10088</v>
      </c>
      <c r="O1834" s="1">
        <v>50036789</v>
      </c>
      <c r="P1834" s="1" t="str">
        <f>"  عمراني بسترسازان كوير"</f>
        <v xml:space="preserve">  عمراني بسترسازان كوير</v>
      </c>
      <c r="Q1834" s="1">
        <v>62</v>
      </c>
      <c r="R1834" s="1" t="str">
        <f>"فروش داخلي - سازمان بنيادمسكن انقلاب اسلامي"</f>
        <v>فروش داخلي - سازمان بنيادمسكن انقلاب اسلامي</v>
      </c>
      <c r="S1834" s="1" t="str">
        <f>"قرارداد فروش"</f>
        <v>قرارداد فروش</v>
      </c>
      <c r="T1834" s="1" t="str">
        <f>"ندارد"</f>
        <v>ندارد</v>
      </c>
      <c r="U1834" s="1" t="str">
        <f>"عزيزي صفر(1006ج 89)"</f>
        <v>عزيزي صفر(1006ج 89)</v>
      </c>
      <c r="V1834" s="1">
        <v>966200342</v>
      </c>
      <c r="W1834" s="1">
        <v>966200342</v>
      </c>
      <c r="X1834" s="1" t="str">
        <f>"1396519154"</f>
        <v>1396519154</v>
      </c>
      <c r="Y1834" s="1" t="str">
        <f>"96/07/25"</f>
        <v>96/07/25</v>
      </c>
      <c r="Z1834" s="1" t="str">
        <f>"33087/د"</f>
        <v>33087/د</v>
      </c>
      <c r="AA1834" s="1" t="str">
        <f>"بنيادمسكن انقلاب اسلامي"</f>
        <v>بنيادمسكن انقلاب اسلامي</v>
      </c>
      <c r="AB1834" s="1" t="str">
        <f>"96/07/24"</f>
        <v>96/07/24</v>
      </c>
      <c r="AC1834" s="1" t="str">
        <f>"استان اصفهان"</f>
        <v>استان اصفهان</v>
      </c>
      <c r="AD1834" s="1" t="str">
        <f>"96/07/25"</f>
        <v>96/07/25</v>
      </c>
      <c r="AE1834" s="1" t="str">
        <f>"اختتام"</f>
        <v>اختتام</v>
      </c>
      <c r="AF1834" s="1" t="str">
        <f>""</f>
        <v/>
      </c>
      <c r="AG1834" s="1" t="str">
        <f>""</f>
        <v/>
      </c>
      <c r="AH1834" s="1" t="str">
        <f>""</f>
        <v/>
      </c>
      <c r="AI1834" s="1" t="str">
        <f>""</f>
        <v/>
      </c>
      <c r="AJ1834" s="1" t="str">
        <f>""</f>
        <v/>
      </c>
      <c r="AK1834" s="1" t="str">
        <f>""</f>
        <v/>
      </c>
    </row>
    <row r="1835" spans="1:37">
      <c r="A1835" s="1">
        <v>15000</v>
      </c>
      <c r="B1835" s="1">
        <v>966200589</v>
      </c>
      <c r="C1835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1835" s="1">
        <v>16650</v>
      </c>
      <c r="E1835" s="1">
        <v>15000</v>
      </c>
      <c r="F1835" s="1">
        <v>96</v>
      </c>
      <c r="G1835" s="1">
        <v>0</v>
      </c>
      <c r="H1835" s="1" t="str">
        <f>"96/12/07"</f>
        <v>96/12/07</v>
      </c>
      <c r="I1835" s="1" t="str">
        <f>"كيلوگرم"</f>
        <v>كيلوگرم</v>
      </c>
      <c r="J1835" s="1" t="str">
        <f>"1000000003"</f>
        <v>1000000003</v>
      </c>
      <c r="K1835" s="1" t="str">
        <f>"قير MC250"</f>
        <v>قير MC250</v>
      </c>
      <c r="L1835" s="1">
        <v>100</v>
      </c>
      <c r="M1835" s="1" t="str">
        <f>"مخازن قير اصفهان"</f>
        <v>مخازن قير اصفهان</v>
      </c>
      <c r="N1835" s="1">
        <v>11001</v>
      </c>
      <c r="O1835" s="1">
        <v>50038629</v>
      </c>
      <c r="P1835" s="1" t="str">
        <f>"  بنياد مسکن انقلاب اسلامي نجف آباد"</f>
        <v xml:space="preserve">  بنياد مسکن انقلاب اسلامي نجف آباد</v>
      </c>
      <c r="Q1835" s="1">
        <v>62</v>
      </c>
      <c r="R1835" s="1" t="str">
        <f>"فروش داخلي - سازمان بنيادمسكن انقلاب اسلامي"</f>
        <v>فروش داخلي - سازمان بنيادمسكن انقلاب اسلامي</v>
      </c>
      <c r="S1835" s="1" t="str">
        <f>"قرارداد فروش"</f>
        <v>قرارداد فروش</v>
      </c>
      <c r="T1835" s="1" t="str">
        <f>"ندارد"</f>
        <v>ندارد</v>
      </c>
      <c r="U1835" s="1" t="str">
        <f>"سيفي پور عبدالمجيد(1009ج89)"</f>
        <v>سيفي پور عبدالمجيد(1009ج89)</v>
      </c>
      <c r="V1835" s="1">
        <v>966200589</v>
      </c>
      <c r="W1835" s="1">
        <v>966200589</v>
      </c>
      <c r="X1835" s="1" t="str">
        <f>"1396550586"</f>
        <v>1396550586</v>
      </c>
      <c r="Y1835" s="1" t="str">
        <f>"96/12/07"</f>
        <v>96/12/07</v>
      </c>
      <c r="Z1835" s="1" t="str">
        <f>"54838/د"</f>
        <v>54838/د</v>
      </c>
      <c r="AA1835" s="1" t="str">
        <f>"بنيادمسكن انقلاب اسلامي"</f>
        <v>بنيادمسكن انقلاب اسلامي</v>
      </c>
      <c r="AB1835" s="1" t="str">
        <f>"96/12/05"</f>
        <v>96/12/05</v>
      </c>
      <c r="AC1835" s="1" t="str">
        <f>"استان اصفهان"</f>
        <v>استان اصفهان</v>
      </c>
      <c r="AD1835" s="1" t="str">
        <f>"96/12/07"</f>
        <v>96/12/07</v>
      </c>
      <c r="AE1835" s="1" t="str">
        <f>"اختتام"</f>
        <v>اختتام</v>
      </c>
      <c r="AF1835" s="1" t="str">
        <f>""</f>
        <v/>
      </c>
      <c r="AG1835" s="1" t="str">
        <f>""</f>
        <v/>
      </c>
      <c r="AH1835" s="1" t="str">
        <f>""</f>
        <v/>
      </c>
      <c r="AI1835" s="1" t="str">
        <f>""</f>
        <v/>
      </c>
      <c r="AJ1835" s="1" t="str">
        <f>""</f>
        <v/>
      </c>
      <c r="AK1835" s="1" t="str">
        <f>""</f>
        <v/>
      </c>
    </row>
    <row r="1836" spans="1:37">
      <c r="A1836" s="1">
        <v>50000</v>
      </c>
      <c r="B1836" s="1">
        <v>966200305</v>
      </c>
      <c r="C1836" s="1" t="str">
        <f>"تخليه - سيستان و بلو چستان-سراوان-کيلومتر15 جاده سراوان-کهک-کارگاه شن و ماسه دهواري"</f>
        <v>تخليه - سيستان و بلو چستان-سراوان-کيلومتر15 جاده سراوان-کهک-کارگاه شن و ماسه دهواري</v>
      </c>
      <c r="D1836" s="1">
        <v>12777</v>
      </c>
      <c r="E1836" s="1">
        <v>50000</v>
      </c>
      <c r="F1836" s="1">
        <v>96</v>
      </c>
      <c r="G1836" s="1">
        <v>0</v>
      </c>
      <c r="H1836" s="1" t="str">
        <f>"96/07/18"</f>
        <v>96/07/18</v>
      </c>
      <c r="I1836" s="1" t="str">
        <f>"كيلوگرم"</f>
        <v>كيلوگرم</v>
      </c>
      <c r="J1836" s="1" t="str">
        <f>"1000000003"</f>
        <v>1000000003</v>
      </c>
      <c r="K1836" s="1" t="str">
        <f>"قير MC250"</f>
        <v>قير MC250</v>
      </c>
      <c r="L1836" s="1">
        <v>100</v>
      </c>
      <c r="M1836" s="1" t="str">
        <f>"مخازن قير اصفهان"</f>
        <v>مخازن قير اصفهان</v>
      </c>
      <c r="N1836" s="1">
        <v>11070</v>
      </c>
      <c r="O1836" s="1">
        <v>50036655</v>
      </c>
      <c r="P1836" s="1" t="str">
        <f>"  شايان نقشه جنوب"</f>
        <v xml:space="preserve">  شايان نقشه جنوب</v>
      </c>
      <c r="Q1836" s="1">
        <v>62</v>
      </c>
      <c r="R1836" s="1" t="str">
        <f>"فروش داخلي - سازمان بنيادمسكن انقلاب اسلامي"</f>
        <v>فروش داخلي - سازمان بنيادمسكن انقلاب اسلامي</v>
      </c>
      <c r="S1836" s="1" t="str">
        <f>"قرارداد فروش"</f>
        <v>قرارداد فروش</v>
      </c>
      <c r="T1836" s="1" t="str">
        <f>"ندارد"</f>
        <v>ندارد</v>
      </c>
      <c r="U1836" s="1" t="str">
        <f>"بهرام زنگنه (1038 ج 93)"</f>
        <v>بهرام زنگنه (1038 ج 93)</v>
      </c>
      <c r="V1836" s="1">
        <v>966200305</v>
      </c>
      <c r="W1836" s="1">
        <v>966200305</v>
      </c>
      <c r="X1836" s="1" t="str">
        <f>"1396517671"</f>
        <v>1396517671</v>
      </c>
      <c r="Y1836" s="1" t="str">
        <f>"96/07/18"</f>
        <v>96/07/18</v>
      </c>
      <c r="Z1836" s="1" t="str">
        <f>"31780/710"</f>
        <v>31780/710</v>
      </c>
      <c r="AA1836" s="1" t="str">
        <f>"بنيادمسكن انقلاب اسلامي"</f>
        <v>بنيادمسكن انقلاب اسلامي</v>
      </c>
      <c r="AB1836" s="1" t="str">
        <f>"96/07/17"</f>
        <v>96/07/17</v>
      </c>
      <c r="AC1836" s="1" t="str">
        <f>"استان سيستان بلوچستان"</f>
        <v>استان سيستان بلوچستان</v>
      </c>
      <c r="AD1836" s="1" t="str">
        <f>"96/07/18"</f>
        <v>96/07/18</v>
      </c>
      <c r="AE1836" s="1" t="str">
        <f>"اختتام"</f>
        <v>اختتام</v>
      </c>
      <c r="AF1836" s="1" t="str">
        <f>""</f>
        <v/>
      </c>
      <c r="AG1836" s="1" t="str">
        <f>""</f>
        <v/>
      </c>
      <c r="AH1836" s="1" t="str">
        <f>""</f>
        <v/>
      </c>
      <c r="AI1836" s="1" t="str">
        <f>""</f>
        <v/>
      </c>
      <c r="AJ1836" s="1" t="str">
        <f>""</f>
        <v/>
      </c>
      <c r="AK1836" s="1" t="str">
        <f>""</f>
        <v/>
      </c>
    </row>
    <row r="1837" spans="1:37">
      <c r="A1837" s="1">
        <v>25000</v>
      </c>
      <c r="B1837" s="1">
        <v>966200631</v>
      </c>
      <c r="C1837" s="1" t="str">
        <f>"تخليه - سيستان و بلو چستان-سراوان-کيلومتر15 جاده سراوان-کهک-کارگاه شن و ماسه دهواري"</f>
        <v>تخليه - سيستان و بلو چستان-سراوان-کيلومتر15 جاده سراوان-کهک-کارگاه شن و ماسه دهواري</v>
      </c>
      <c r="D1837" s="1">
        <v>16650</v>
      </c>
      <c r="E1837" s="1">
        <v>23400</v>
      </c>
      <c r="F1837" s="1">
        <v>96</v>
      </c>
      <c r="G1837" s="1">
        <v>1600</v>
      </c>
      <c r="H1837" s="1" t="str">
        <f>"96/12/12"</f>
        <v>96/12/12</v>
      </c>
      <c r="I1837" s="1" t="str">
        <f>"كيلوگرم"</f>
        <v>كيلوگرم</v>
      </c>
      <c r="J1837" s="1" t="str">
        <f>"1000000003"</f>
        <v>1000000003</v>
      </c>
      <c r="K1837" s="1" t="str">
        <f>"قير MC250"</f>
        <v>قير MC250</v>
      </c>
      <c r="L1837" s="1">
        <v>100</v>
      </c>
      <c r="M1837" s="1" t="str">
        <f>"مخازن قير اصفهان"</f>
        <v>مخازن قير اصفهان</v>
      </c>
      <c r="N1837" s="1">
        <v>11070</v>
      </c>
      <c r="O1837" s="1">
        <v>50038713</v>
      </c>
      <c r="P1837" s="1" t="str">
        <f>"  شايان نقشه جنوب"</f>
        <v xml:space="preserve">  شايان نقشه جنوب</v>
      </c>
      <c r="Q1837" s="1">
        <v>62</v>
      </c>
      <c r="R1837" s="1" t="str">
        <f>"فروش داخلي - سازمان بنيادمسكن انقلاب اسلامي"</f>
        <v>فروش داخلي - سازمان بنيادمسكن انقلاب اسلامي</v>
      </c>
      <c r="S1837" s="1" t="str">
        <f>"قرارداد فروش"</f>
        <v>قرارداد فروش</v>
      </c>
      <c r="T1837" s="1" t="str">
        <f>"ندارد"</f>
        <v>ندارد</v>
      </c>
      <c r="U1837" s="1" t="str">
        <f>"بهرام زنگنه (1038 ج 93)"</f>
        <v>بهرام زنگنه (1038 ج 93)</v>
      </c>
      <c r="V1837" s="1">
        <v>966200631</v>
      </c>
      <c r="W1837" s="1">
        <v>966200631</v>
      </c>
      <c r="X1837" s="1" t="str">
        <f>"1396551838"</f>
        <v>1396551838</v>
      </c>
      <c r="Y1837" s="1" t="str">
        <f>"96/12/12"</f>
        <v>96/12/12</v>
      </c>
      <c r="Z1837" s="1" t="str">
        <f>"56005/د"</f>
        <v>56005/د</v>
      </c>
      <c r="AA1837" s="1" t="str">
        <f>"بنيادمسكن انقلاب اسلامي"</f>
        <v>بنيادمسكن انقلاب اسلامي</v>
      </c>
      <c r="AB1837" s="1" t="str">
        <f>"96/12/09"</f>
        <v>96/12/09</v>
      </c>
      <c r="AC1837" s="1" t="str">
        <f>"استان سيستان بلوچستان"</f>
        <v>استان سيستان بلوچستان</v>
      </c>
      <c r="AD1837" s="1" t="str">
        <f>"96/12/12"</f>
        <v>96/12/12</v>
      </c>
      <c r="AE1837" s="1" t="str">
        <f>"اختتام"</f>
        <v>اختتام</v>
      </c>
      <c r="AF1837" s="1" t="str">
        <f>""</f>
        <v/>
      </c>
      <c r="AG1837" s="1" t="str">
        <f>""</f>
        <v/>
      </c>
      <c r="AH1837" s="1" t="str">
        <f>""</f>
        <v/>
      </c>
      <c r="AI1837" s="1" t="str">
        <f>""</f>
        <v/>
      </c>
      <c r="AJ1837" s="1" t="str">
        <f>""</f>
        <v/>
      </c>
      <c r="AK1837" s="1" t="str">
        <f>""</f>
        <v/>
      </c>
    </row>
    <row r="1838" spans="1:37">
      <c r="A1838" s="1">
        <v>15000</v>
      </c>
      <c r="B1838" s="1">
        <v>966200017</v>
      </c>
      <c r="C1838" s="1" t="str">
        <f>"تخليه -اصفهان داران بلواردانشگاه خيابان شهرك صنعتي مجتمع توليدي جهاد"</f>
        <v>تخليه -اصفهان داران بلواردانشگاه خيابان شهرك صنعتي مجتمع توليدي جهاد</v>
      </c>
      <c r="D1838" s="1">
        <v>11482</v>
      </c>
      <c r="E1838" s="1">
        <v>14400</v>
      </c>
      <c r="F1838" s="1">
        <v>96</v>
      </c>
      <c r="G1838" s="1">
        <v>600</v>
      </c>
      <c r="H1838" s="1" t="str">
        <f>"96/01/21"</f>
        <v>96/01/21</v>
      </c>
      <c r="I1838" s="1" t="str">
        <f>"كيلوگرم"</f>
        <v>كيلوگرم</v>
      </c>
      <c r="J1838" s="1" t="str">
        <f>"1000000003"</f>
        <v>1000000003</v>
      </c>
      <c r="K1838" s="1" t="str">
        <f>"قير MC250"</f>
        <v>قير MC250</v>
      </c>
      <c r="L1838" s="1">
        <v>100</v>
      </c>
      <c r="M1838" s="1" t="str">
        <f>"مخازن قير اصفهان"</f>
        <v>مخازن قير اصفهان</v>
      </c>
      <c r="N1838" s="1">
        <v>11082</v>
      </c>
      <c r="O1838" s="1">
        <v>50034479</v>
      </c>
      <c r="P1838" s="1" t="str">
        <f>"  پارسيان كاني پاسارگاد"</f>
        <v xml:space="preserve">  پارسيان كاني پاسارگاد</v>
      </c>
      <c r="Q1838" s="1">
        <v>62</v>
      </c>
      <c r="R1838" s="1" t="str">
        <f>"فروش داخلي - سازمان بنيادمسكن انقلاب اسلامي"</f>
        <v>فروش داخلي - سازمان بنيادمسكن انقلاب اسلامي</v>
      </c>
      <c r="S1838" s="1" t="str">
        <f>"قرارداد فروش"</f>
        <v>قرارداد فروش</v>
      </c>
      <c r="T1838" s="1" t="str">
        <f>"ندارد"</f>
        <v>ندارد</v>
      </c>
      <c r="U1838" s="1" t="str">
        <f>"مرادي نجاتعلي(1020ج89)"</f>
        <v>مرادي نجاتعلي(1020ج89)</v>
      </c>
      <c r="V1838" s="1">
        <v>966200017</v>
      </c>
      <c r="W1838" s="1">
        <v>966200017</v>
      </c>
      <c r="X1838" s="1" t="str">
        <f>"1396472724"</f>
        <v>1396472724</v>
      </c>
      <c r="Y1838" s="1" t="str">
        <f>"96/01/21"</f>
        <v>96/01/21</v>
      </c>
      <c r="Z1838" s="1" t="str">
        <f>"987/د"</f>
        <v>987/د</v>
      </c>
      <c r="AA1838" s="1" t="str">
        <f>"بنيادمسكن انقلاب اسلامي"</f>
        <v>بنيادمسكن انقلاب اسلامي</v>
      </c>
      <c r="AB1838" s="1" t="str">
        <f>"96/01/19"</f>
        <v>96/01/19</v>
      </c>
      <c r="AC1838" s="1" t="str">
        <f>"استان اصفهان"</f>
        <v>استان اصفهان</v>
      </c>
      <c r="AD1838" s="1" t="str">
        <f>"96/01/20"</f>
        <v>96/01/20</v>
      </c>
      <c r="AE1838" s="1" t="str">
        <f>"اختتام"</f>
        <v>اختتام</v>
      </c>
      <c r="AF1838" s="1" t="str">
        <f>""</f>
        <v/>
      </c>
      <c r="AG1838" s="1" t="str">
        <f>""</f>
        <v/>
      </c>
      <c r="AH1838" s="1" t="str">
        <f>""</f>
        <v/>
      </c>
      <c r="AI1838" s="1" t="str">
        <f>""</f>
        <v/>
      </c>
      <c r="AJ1838" s="1" t="str">
        <f>""</f>
        <v/>
      </c>
      <c r="AK1838" s="1" t="str">
        <f>""</f>
        <v/>
      </c>
    </row>
    <row r="1839" spans="1:37">
      <c r="A1839" s="1">
        <v>20000</v>
      </c>
      <c r="B1839" s="1">
        <v>966200383</v>
      </c>
      <c r="C1839" s="1" t="str">
        <f>"تخليه -اصفهان داران بلواردانشگاه خيابان شهرك صنعتي مجتمع توليدي جهاد"</f>
        <v>تخليه -اصفهان داران بلواردانشگاه خيابان شهرك صنعتي مجتمع توليدي جهاد</v>
      </c>
      <c r="D1839" s="1">
        <v>15947</v>
      </c>
      <c r="E1839" s="1">
        <v>18700</v>
      </c>
      <c r="F1839" s="1">
        <v>96</v>
      </c>
      <c r="G1839" s="1">
        <v>1300</v>
      </c>
      <c r="H1839" s="1" t="str">
        <f>"96/09/08"</f>
        <v>96/09/08</v>
      </c>
      <c r="I1839" s="1" t="str">
        <f>"كيلوگرم"</f>
        <v>كيلوگرم</v>
      </c>
      <c r="J1839" s="1" t="str">
        <f>"1000000003"</f>
        <v>1000000003</v>
      </c>
      <c r="K1839" s="1" t="str">
        <f>"قير MC250"</f>
        <v>قير MC250</v>
      </c>
      <c r="L1839" s="1">
        <v>100</v>
      </c>
      <c r="M1839" s="1" t="str">
        <f>"مخازن قير اصفهان"</f>
        <v>مخازن قير اصفهان</v>
      </c>
      <c r="N1839" s="1">
        <v>11082</v>
      </c>
      <c r="O1839" s="1">
        <v>50037326</v>
      </c>
      <c r="P1839" s="1" t="str">
        <f>"  پارسيان كاني پاسارگاد"</f>
        <v xml:space="preserve">  پارسيان كاني پاسارگاد</v>
      </c>
      <c r="Q1839" s="1">
        <v>62</v>
      </c>
      <c r="R1839" s="1" t="str">
        <f>"فروش داخلي - سازمان بنيادمسكن انقلاب اسلامي"</f>
        <v>فروش داخلي - سازمان بنيادمسكن انقلاب اسلامي</v>
      </c>
      <c r="S1839" s="1" t="str">
        <f>"قرارداد فروش"</f>
        <v>قرارداد فروش</v>
      </c>
      <c r="T1839" s="1" t="str">
        <f>"ندارد"</f>
        <v>ندارد</v>
      </c>
      <c r="U1839" s="1" t="str">
        <f>"مرادي نجاتعلي(1020ج89)"</f>
        <v>مرادي نجاتعلي(1020ج89)</v>
      </c>
      <c r="V1839" s="1">
        <v>966200383</v>
      </c>
      <c r="W1839" s="1">
        <v>966200383</v>
      </c>
      <c r="X1839" s="1" t="str">
        <f>"1396529174"</f>
        <v>1396529174</v>
      </c>
      <c r="Y1839" s="1" t="str">
        <f>"96/09/08"</f>
        <v>96/09/08</v>
      </c>
      <c r="Z1839" s="1" t="str">
        <f>"37343/د"</f>
        <v>37343/د</v>
      </c>
      <c r="AA1839" s="1" t="str">
        <f>"بنيادمسكن انقلاب اسلامي"</f>
        <v>بنيادمسكن انقلاب اسلامي</v>
      </c>
      <c r="AB1839" s="1" t="str">
        <f>"96/08/21"</f>
        <v>96/08/21</v>
      </c>
      <c r="AC1839" s="1" t="str">
        <f>"استان اصفهان"</f>
        <v>استان اصفهان</v>
      </c>
      <c r="AD1839" s="1" t="str">
        <f>"96/09/08"</f>
        <v>96/09/08</v>
      </c>
      <c r="AE1839" s="1" t="str">
        <f>"اختتام"</f>
        <v>اختتام</v>
      </c>
      <c r="AF1839" s="1" t="str">
        <f>""</f>
        <v/>
      </c>
      <c r="AG1839" s="1" t="str">
        <f>""</f>
        <v/>
      </c>
      <c r="AH1839" s="1" t="str">
        <f>""</f>
        <v/>
      </c>
      <c r="AI1839" s="1" t="str">
        <f>""</f>
        <v/>
      </c>
      <c r="AJ1839" s="1" t="str">
        <f>""</f>
        <v/>
      </c>
      <c r="AK1839" s="1" t="str">
        <f>""</f>
        <v/>
      </c>
    </row>
    <row r="1840" spans="1:37">
      <c r="A1840" s="1">
        <v>50000</v>
      </c>
      <c r="B1840" s="1">
        <v>961100027</v>
      </c>
      <c r="C1840" s="1" t="str">
        <f>"تخليه -زنجان كيلومتر9جاده فرودگاه كارخانه آسفالت سارمساقلو"</f>
        <v>تخليه -زنجان كيلومتر9جاده فرودگاه كارخانه آسفالت سارمساقلو</v>
      </c>
      <c r="D1840" s="1">
        <v>12222</v>
      </c>
      <c r="E1840" s="1">
        <v>47460</v>
      </c>
      <c r="F1840" s="1">
        <v>96</v>
      </c>
      <c r="G1840" s="1">
        <v>2540</v>
      </c>
      <c r="H1840" s="1" t="str">
        <f>"96/03/28"</f>
        <v>96/03/28</v>
      </c>
      <c r="I1840" s="1" t="str">
        <f>"كيلوگرم"</f>
        <v>كيلوگرم</v>
      </c>
      <c r="J1840" s="1" t="str">
        <f>"1000000003"</f>
        <v>1000000003</v>
      </c>
      <c r="K1840" s="1" t="str">
        <f>"قير MC250"</f>
        <v>قير MC250</v>
      </c>
      <c r="L1840" s="1">
        <v>100</v>
      </c>
      <c r="M1840" s="1" t="str">
        <f>"مخازن قير اصفهان"</f>
        <v>مخازن قير اصفهان</v>
      </c>
      <c r="N1840" s="1">
        <v>11096</v>
      </c>
      <c r="O1840" s="1">
        <v>50035023</v>
      </c>
      <c r="P1840" s="1" t="str">
        <f>"  شهرداري زنجان"</f>
        <v xml:space="preserve">  شهرداري زنجان</v>
      </c>
      <c r="Q1840" s="1">
        <v>11</v>
      </c>
      <c r="R1840" s="1" t="str">
        <f>"فروش داخلي تهران - بورس"</f>
        <v>فروش داخلي تهران - بورس</v>
      </c>
      <c r="S1840" s="1" t="str">
        <f>"قرارداد فروش"</f>
        <v>قرارداد فروش</v>
      </c>
      <c r="T1840" s="1" t="str">
        <f>"ندارد"</f>
        <v>ندارد</v>
      </c>
      <c r="U1840" s="1" t="str">
        <f>"فتاح زاده سيداحمد(3843011)"</f>
        <v>فتاح زاده سيداحمد(3843011)</v>
      </c>
      <c r="V1840" s="1">
        <v>961100027</v>
      </c>
      <c r="W1840" s="1">
        <v>961100027</v>
      </c>
      <c r="X1840" s="1" t="str">
        <f>"1396488807"</f>
        <v>1396488807</v>
      </c>
      <c r="Y1840" s="1" t="str">
        <f>"96/03/28"</f>
        <v>96/03/28</v>
      </c>
      <c r="Z1840" s="1" t="str">
        <f>"96/2/10937ص"</f>
        <v>96/2/10937ص</v>
      </c>
      <c r="AA1840" s="1" t="str">
        <f>"شهرداريها"</f>
        <v>شهرداريها</v>
      </c>
      <c r="AB1840" s="1" t="str">
        <f>"96/03/23"</f>
        <v>96/03/23</v>
      </c>
      <c r="AC1840" s="1" t="str">
        <f>"استان زنجان"</f>
        <v>استان زنجان</v>
      </c>
      <c r="AD1840" s="1" t="str">
        <f>"96/03/28"</f>
        <v>96/03/28</v>
      </c>
      <c r="AE1840" s="1" t="str">
        <f>"اختتام"</f>
        <v>اختتام</v>
      </c>
      <c r="AF1840" s="1" t="str">
        <f>""</f>
        <v/>
      </c>
      <c r="AG1840" s="1" t="str">
        <f>""</f>
        <v/>
      </c>
      <c r="AH1840" s="1" t="str">
        <f>""</f>
        <v/>
      </c>
      <c r="AI1840" s="1" t="str">
        <f>""</f>
        <v/>
      </c>
      <c r="AJ1840" s="1" t="str">
        <f>""</f>
        <v/>
      </c>
      <c r="AK1840" s="1" t="str">
        <f>""</f>
        <v/>
      </c>
    </row>
    <row r="1841" spans="1:37">
      <c r="A1841" s="1">
        <v>50000</v>
      </c>
      <c r="B1841" s="1">
        <v>961100044</v>
      </c>
      <c r="C1841" s="1" t="str">
        <f>"تخليه -زنجان كيلومتر9جاده فرودگاه كارخانه آسفالت سارمساقلو"</f>
        <v>تخليه -زنجان كيلومتر9جاده فرودگاه كارخانه آسفالت سارمساقلو</v>
      </c>
      <c r="D1841" s="1">
        <v>12222</v>
      </c>
      <c r="E1841" s="1">
        <v>47820</v>
      </c>
      <c r="F1841" s="1">
        <v>96</v>
      </c>
      <c r="G1841" s="1">
        <v>2180</v>
      </c>
      <c r="H1841" s="1" t="str">
        <f>"96/05/09"</f>
        <v>96/05/09</v>
      </c>
      <c r="I1841" s="1" t="str">
        <f>"كيلوگرم"</f>
        <v>كيلوگرم</v>
      </c>
      <c r="J1841" s="1" t="str">
        <f>"1000000003"</f>
        <v>1000000003</v>
      </c>
      <c r="K1841" s="1" t="str">
        <f>"قير MC250"</f>
        <v>قير MC250</v>
      </c>
      <c r="L1841" s="1">
        <v>100</v>
      </c>
      <c r="M1841" s="1" t="str">
        <f>"مخازن قير اصفهان"</f>
        <v>مخازن قير اصفهان</v>
      </c>
      <c r="N1841" s="1">
        <v>11096</v>
      </c>
      <c r="O1841" s="1">
        <v>50035429</v>
      </c>
      <c r="P1841" s="1" t="str">
        <f>"  شهرداري زنجان"</f>
        <v xml:space="preserve">  شهرداري زنجان</v>
      </c>
      <c r="Q1841" s="1">
        <v>11</v>
      </c>
      <c r="R1841" s="1" t="str">
        <f>"فروش داخلي تهران - بورس"</f>
        <v>فروش داخلي تهران - بورس</v>
      </c>
      <c r="S1841" s="1" t="str">
        <f>"قرارداد فروش"</f>
        <v>قرارداد فروش</v>
      </c>
      <c r="T1841" s="1" t="str">
        <f>"ندارد"</f>
        <v>ندارد</v>
      </c>
      <c r="U1841" s="1" t="str">
        <f>"فتاح زاده سيداحمد(3843011)"</f>
        <v>فتاح زاده سيداحمد(3843011)</v>
      </c>
      <c r="V1841" s="1">
        <v>961100044</v>
      </c>
      <c r="W1841" s="1">
        <v>961100044</v>
      </c>
      <c r="X1841" s="1" t="str">
        <f>"1396501177"</f>
        <v>1396501177</v>
      </c>
      <c r="Y1841" s="1" t="str">
        <f>"96/05/09"</f>
        <v>96/05/09</v>
      </c>
      <c r="Z1841" s="1" t="str">
        <f>"96/2/18712/ص"</f>
        <v>96/2/18712/ص</v>
      </c>
      <c r="AA1841" s="1" t="str">
        <f>"شهرداريها"</f>
        <v>شهرداريها</v>
      </c>
      <c r="AB1841" s="1" t="str">
        <f>"96/05/04"</f>
        <v>96/05/04</v>
      </c>
      <c r="AC1841" s="1" t="str">
        <f>"استان زنجان"</f>
        <v>استان زنجان</v>
      </c>
      <c r="AD1841" s="1" t="str">
        <f>"96/05/09"</f>
        <v>96/05/09</v>
      </c>
      <c r="AE1841" s="1" t="str">
        <f>"اختتام"</f>
        <v>اختتام</v>
      </c>
      <c r="AF1841" s="1" t="str">
        <f>""</f>
        <v/>
      </c>
      <c r="AG1841" s="1" t="str">
        <f>""</f>
        <v/>
      </c>
      <c r="AH1841" s="1" t="str">
        <f>""</f>
        <v/>
      </c>
      <c r="AI1841" s="1" t="str">
        <f>""</f>
        <v/>
      </c>
      <c r="AJ1841" s="1" t="str">
        <f>""</f>
        <v/>
      </c>
      <c r="AK1841" s="1" t="str">
        <f>""</f>
        <v/>
      </c>
    </row>
    <row r="1842" spans="1:37">
      <c r="A1842" s="1">
        <v>23000</v>
      </c>
      <c r="B1842" s="1">
        <v>966200577</v>
      </c>
      <c r="C1842" s="1" t="str">
        <f>"تخليه -خراسان جنوبي اسفدن -كارخانه توس راديه"</f>
        <v>تخليه -خراسان جنوبي اسفدن -كارخانه توس راديه</v>
      </c>
      <c r="D1842" s="1">
        <v>16500</v>
      </c>
      <c r="E1842" s="1">
        <v>21820</v>
      </c>
      <c r="F1842" s="1">
        <v>96</v>
      </c>
      <c r="G1842" s="1">
        <v>1180</v>
      </c>
      <c r="H1842" s="1" t="str">
        <f>"96/11/24"</f>
        <v>96/11/24</v>
      </c>
      <c r="I1842" s="1" t="str">
        <f>"كيلوگرم"</f>
        <v>كيلوگرم</v>
      </c>
      <c r="J1842" s="1" t="str">
        <f>"1000000003"</f>
        <v>1000000003</v>
      </c>
      <c r="K1842" s="1" t="str">
        <f>"قير MC250"</f>
        <v>قير MC250</v>
      </c>
      <c r="L1842" s="1">
        <v>100</v>
      </c>
      <c r="M1842" s="1" t="str">
        <f>"مخازن قير اصفهان"</f>
        <v>مخازن قير اصفهان</v>
      </c>
      <c r="N1842" s="1">
        <v>11119</v>
      </c>
      <c r="O1842" s="1">
        <v>50038505</v>
      </c>
      <c r="P1842" s="1" t="str">
        <f>"  نويدگسترزهان"</f>
        <v xml:space="preserve">  نويدگسترزهان</v>
      </c>
      <c r="Q1842" s="1">
        <v>62</v>
      </c>
      <c r="R1842" s="1" t="str">
        <f>"فروش داخلي - سازمان بنيادمسكن انقلاب اسلامي"</f>
        <v>فروش داخلي - سازمان بنيادمسكن انقلاب اسلامي</v>
      </c>
      <c r="S1842" s="1" t="str">
        <f>"قرارداد فروش"</f>
        <v>قرارداد فروش</v>
      </c>
      <c r="T1842" s="1" t="str">
        <f>"ندارد"</f>
        <v>ندارد</v>
      </c>
      <c r="U1842" s="1" t="str">
        <f>"آقا علي منوچهر(1016ج89)"</f>
        <v>آقا علي منوچهر(1016ج89)</v>
      </c>
      <c r="V1842" s="1">
        <v>966200577</v>
      </c>
      <c r="W1842" s="1">
        <v>966200577</v>
      </c>
      <c r="X1842" s="1" t="str">
        <f>"1396547683"</f>
        <v>1396547683</v>
      </c>
      <c r="Y1842" s="1" t="str">
        <f>"96/11/24"</f>
        <v>96/11/24</v>
      </c>
      <c r="Z1842" s="1" t="str">
        <f>"52824/د"</f>
        <v>52824/د</v>
      </c>
      <c r="AA1842" s="1" t="str">
        <f>"بنيادمسكن انقلاب اسلامي"</f>
        <v>بنيادمسكن انقلاب اسلامي</v>
      </c>
      <c r="AB1842" s="1" t="str">
        <f>"96/11/23"</f>
        <v>96/11/23</v>
      </c>
      <c r="AC1842" s="1" t="str">
        <f>"خراسان جنوبي"</f>
        <v>خراسان جنوبي</v>
      </c>
      <c r="AD1842" s="1" t="str">
        <f>"96/11/24"</f>
        <v>96/11/24</v>
      </c>
      <c r="AE1842" s="1" t="str">
        <f>"اختتام"</f>
        <v>اختتام</v>
      </c>
      <c r="AF1842" s="1" t="str">
        <f>""</f>
        <v/>
      </c>
      <c r="AG1842" s="1" t="str">
        <f>""</f>
        <v/>
      </c>
      <c r="AH1842" s="1" t="str">
        <f>""</f>
        <v/>
      </c>
      <c r="AI1842" s="1" t="str">
        <f>""</f>
        <v/>
      </c>
      <c r="AJ1842" s="1" t="str">
        <f>""</f>
        <v/>
      </c>
      <c r="AK1842" s="1" t="str">
        <f>""</f>
        <v/>
      </c>
    </row>
    <row r="1843" spans="1:37">
      <c r="A1843" s="1">
        <v>76000</v>
      </c>
      <c r="B1843" s="1">
        <v>966200132</v>
      </c>
      <c r="C1843" s="1" t="str">
        <f>"تخليه - سيستان و بلوچستان-سراوان-احمدآباد-کارگاه شن و ماسه آقاي ملک محمدي"</f>
        <v>تخليه - سيستان و بلوچستان-سراوان-احمدآباد-کارگاه شن و ماسه آقاي ملک محمدي</v>
      </c>
      <c r="D1843" s="1">
        <v>12222</v>
      </c>
      <c r="E1843" s="1">
        <v>74200</v>
      </c>
      <c r="F1843" s="1">
        <v>96</v>
      </c>
      <c r="G1843" s="1">
        <v>1800</v>
      </c>
      <c r="H1843" s="1" t="str">
        <f>"96/04/13"</f>
        <v>96/04/13</v>
      </c>
      <c r="I1843" s="1" t="str">
        <f>"كيلوگرم"</f>
        <v>كيلوگرم</v>
      </c>
      <c r="J1843" s="1" t="str">
        <f>"1000000003"</f>
        <v>1000000003</v>
      </c>
      <c r="K1843" s="1" t="str">
        <f>"قير MC250"</f>
        <v>قير MC250</v>
      </c>
      <c r="L1843" s="1">
        <v>100</v>
      </c>
      <c r="M1843" s="1" t="str">
        <f>"مخازن قير اصفهان"</f>
        <v>مخازن قير اصفهان</v>
      </c>
      <c r="N1843" s="1">
        <v>11218</v>
      </c>
      <c r="O1843" s="1">
        <v>50035107</v>
      </c>
      <c r="P1843" s="1" t="str">
        <f>"  تفتان سازه گوهر کوه"</f>
        <v xml:space="preserve">  تفتان سازه گوهر کوه</v>
      </c>
      <c r="Q1843" s="1">
        <v>62</v>
      </c>
      <c r="R1843" s="1" t="str">
        <f>"فروش داخلي - سازمان بنيادمسكن انقلاب اسلامي"</f>
        <v>فروش داخلي - سازمان بنيادمسكن انقلاب اسلامي</v>
      </c>
      <c r="S1843" s="1" t="str">
        <f>"قرارداد فروش"</f>
        <v>قرارداد فروش</v>
      </c>
      <c r="T1843" s="1" t="str">
        <f>"ندارد"</f>
        <v>ندارد</v>
      </c>
      <c r="U1843" s="1" t="str">
        <f>"تاج سعيد هوشنگ (1031ج 89)"</f>
        <v>تاج سعيد هوشنگ (1031ج 89)</v>
      </c>
      <c r="V1843" s="1">
        <v>966200132</v>
      </c>
      <c r="W1843" s="1">
        <v>966200132</v>
      </c>
      <c r="X1843" s="1" t="str">
        <f>"1396493157"</f>
        <v>1396493157</v>
      </c>
      <c r="Y1843" s="1" t="str">
        <f>"96/04/13"</f>
        <v>96/04/13</v>
      </c>
      <c r="Z1843" s="1" t="str">
        <f>"14424/د"</f>
        <v>14424/د</v>
      </c>
      <c r="AA1843" s="1" t="str">
        <f>"بنيادمسكن انقلاب اسلامي"</f>
        <v>بنيادمسكن انقلاب اسلامي</v>
      </c>
      <c r="AB1843" s="1" t="str">
        <f>"96/04/12"</f>
        <v>96/04/12</v>
      </c>
      <c r="AC1843" s="1" t="str">
        <f>"استان سيستان بلوچستان"</f>
        <v>استان سيستان بلوچستان</v>
      </c>
      <c r="AD1843" s="1" t="str">
        <f>"96/04/13"</f>
        <v>96/04/13</v>
      </c>
      <c r="AE1843" s="1" t="str">
        <f>"اختتام"</f>
        <v>اختتام</v>
      </c>
      <c r="AF1843" s="1" t="str">
        <f>""</f>
        <v/>
      </c>
      <c r="AG1843" s="1" t="str">
        <f>""</f>
        <v/>
      </c>
      <c r="AH1843" s="1" t="str">
        <f>""</f>
        <v/>
      </c>
      <c r="AI1843" s="1" t="str">
        <f>""</f>
        <v/>
      </c>
      <c r="AJ1843" s="1" t="str">
        <f>""</f>
        <v/>
      </c>
      <c r="AK1843" s="1" t="str">
        <f>""</f>
        <v/>
      </c>
    </row>
    <row r="1844" spans="1:37">
      <c r="A1844" s="1">
        <v>15000</v>
      </c>
      <c r="B1844" s="1">
        <v>966200415</v>
      </c>
      <c r="C1844" s="1" t="str">
        <f>"تخليه - اصفهان-سميرم-حنا-کيلومتر 5 جاده پادنا-کارخانه آسفالت شهرداري حنا"</f>
        <v>تخليه - اصفهان-سميرم-حنا-کيلومتر 5 جاده پادنا-کارخانه آسفالت شهرداري حنا</v>
      </c>
      <c r="D1844" s="1">
        <v>15947</v>
      </c>
      <c r="E1844" s="1">
        <v>14200</v>
      </c>
      <c r="F1844" s="1">
        <v>96</v>
      </c>
      <c r="G1844" s="1">
        <v>800</v>
      </c>
      <c r="H1844" s="1" t="str">
        <f>"96/09/12"</f>
        <v>96/09/12</v>
      </c>
      <c r="I1844" s="1" t="str">
        <f>"كيلوگرم"</f>
        <v>كيلوگرم</v>
      </c>
      <c r="J1844" s="1" t="str">
        <f>"1000000003"</f>
        <v>1000000003</v>
      </c>
      <c r="K1844" s="1" t="str">
        <f>"قير MC250"</f>
        <v>قير MC250</v>
      </c>
      <c r="L1844" s="1">
        <v>100</v>
      </c>
      <c r="M1844" s="1" t="str">
        <f>"مخازن قير اصفهان"</f>
        <v>مخازن قير اصفهان</v>
      </c>
      <c r="N1844" s="1">
        <v>11231</v>
      </c>
      <c r="O1844" s="1">
        <v>50037426</v>
      </c>
      <c r="P1844" s="1" t="str">
        <f>"  محبت گستر اسپادانا"</f>
        <v xml:space="preserve">  محبت گستر اسپادانا</v>
      </c>
      <c r="Q1844" s="1">
        <v>62</v>
      </c>
      <c r="R1844" s="1" t="str">
        <f>"فروش داخلي - سازمان بنيادمسكن انقلاب اسلامي"</f>
        <v>فروش داخلي - سازمان بنيادمسكن انقلاب اسلامي</v>
      </c>
      <c r="S1844" s="1" t="str">
        <f>"قرارداد فروش"</f>
        <v>قرارداد فروش</v>
      </c>
      <c r="T1844" s="1" t="str">
        <f>"ندارد"</f>
        <v>ندارد</v>
      </c>
      <c r="U1844" s="1" t="str">
        <f>"ريسماني حسن(1007ج89)"</f>
        <v>ريسماني حسن(1007ج89)</v>
      </c>
      <c r="V1844" s="1">
        <v>966200415</v>
      </c>
      <c r="W1844" s="1">
        <v>966200415</v>
      </c>
      <c r="X1844" s="1" t="str">
        <f>"1396529575"</f>
        <v>1396529575</v>
      </c>
      <c r="Y1844" s="1" t="str">
        <f>"96/09/12"</f>
        <v>96/09/12</v>
      </c>
      <c r="Z1844" s="1" t="str">
        <f>"40056/د"</f>
        <v>40056/د</v>
      </c>
      <c r="AA1844" s="1" t="str">
        <f>"بنيادمسكن انقلاب اسلامي"</f>
        <v>بنيادمسكن انقلاب اسلامي</v>
      </c>
      <c r="AB1844" s="1" t="str">
        <f>"96/09/11"</f>
        <v>96/09/11</v>
      </c>
      <c r="AC1844" s="1" t="str">
        <f>"استان اصفهان"</f>
        <v>استان اصفهان</v>
      </c>
      <c r="AD1844" s="1" t="str">
        <f>"96/09/12"</f>
        <v>96/09/12</v>
      </c>
      <c r="AE1844" s="1" t="str">
        <f>"اختتام"</f>
        <v>اختتام</v>
      </c>
      <c r="AF1844" s="1" t="str">
        <f>""</f>
        <v/>
      </c>
      <c r="AG1844" s="1" t="str">
        <f>""</f>
        <v/>
      </c>
      <c r="AH1844" s="1" t="str">
        <f>""</f>
        <v/>
      </c>
      <c r="AI1844" s="1" t="str">
        <f>""</f>
        <v/>
      </c>
      <c r="AJ1844" s="1" t="str">
        <f>""</f>
        <v/>
      </c>
      <c r="AK1844" s="1" t="str">
        <f>""</f>
        <v/>
      </c>
    </row>
    <row r="1845" spans="1:37">
      <c r="A1845" s="1">
        <v>15000</v>
      </c>
      <c r="B1845" s="1">
        <v>966200045</v>
      </c>
      <c r="C1845" s="1" t="str">
        <f>"تخليه - هرمزگان-ميناب-پنجشنبه بازار-کارخانه آسفالت شهرداري ميناب"</f>
        <v>تخليه - هرمزگان-ميناب-پنجشنبه بازار-کارخانه آسفالت شهرداري ميناب</v>
      </c>
      <c r="D1845" s="1">
        <v>12482</v>
      </c>
      <c r="E1845" s="1">
        <v>14080</v>
      </c>
      <c r="F1845" s="1">
        <v>96</v>
      </c>
      <c r="G1845" s="1">
        <v>920</v>
      </c>
      <c r="H1845" s="1" t="str">
        <f>"96/02/06"</f>
        <v>96/02/06</v>
      </c>
      <c r="I1845" s="1" t="str">
        <f>"كيلوگرم"</f>
        <v>كيلوگرم</v>
      </c>
      <c r="J1845" s="1" t="str">
        <f>"1000000003"</f>
        <v>1000000003</v>
      </c>
      <c r="K1845" s="1" t="str">
        <f>"قير MC250"</f>
        <v>قير MC250</v>
      </c>
      <c r="L1845" s="1">
        <v>100</v>
      </c>
      <c r="M1845" s="1" t="str">
        <f>"مخازن قير اصفهان"</f>
        <v>مخازن قير اصفهان</v>
      </c>
      <c r="N1845" s="1">
        <v>11340</v>
      </c>
      <c r="O1845" s="1">
        <v>50034690</v>
      </c>
      <c r="P1845" s="1" t="str">
        <f>"  شهرداري ميناب"</f>
        <v xml:space="preserve">  شهرداري ميناب</v>
      </c>
      <c r="Q1845" s="1">
        <v>62</v>
      </c>
      <c r="R1845" s="1" t="str">
        <f>"فروش داخلي - سازمان بنيادمسكن انقلاب اسلامي"</f>
        <v>فروش داخلي - سازمان بنيادمسكن انقلاب اسلامي</v>
      </c>
      <c r="S1845" s="1" t="str">
        <f>"قرارداد فروش"</f>
        <v>قرارداد فروش</v>
      </c>
      <c r="T1845" s="1" t="str">
        <f>"ندارد"</f>
        <v>ندارد</v>
      </c>
      <c r="U1845" s="1" t="str">
        <f>"حاصليان ترابرجنوب مرتضي حاصلي (4844006)"</f>
        <v>حاصليان ترابرجنوب مرتضي حاصلي (4844006)</v>
      </c>
      <c r="V1845" s="1">
        <v>966200045</v>
      </c>
      <c r="W1845" s="1">
        <v>966200045</v>
      </c>
      <c r="X1845" s="1" t="str">
        <f>"1396477335"</f>
        <v>1396477335</v>
      </c>
      <c r="Y1845" s="1" t="str">
        <f>"96/02/06"</f>
        <v>96/02/06</v>
      </c>
      <c r="Z1845" s="1" t="str">
        <f>"3285/د"</f>
        <v>3285/د</v>
      </c>
      <c r="AA1845" s="1" t="str">
        <f>"بنيادمسكن انقلاب اسلامي"</f>
        <v>بنيادمسكن انقلاب اسلامي</v>
      </c>
      <c r="AB1845" s="1" t="str">
        <f>"96/02/03"</f>
        <v>96/02/03</v>
      </c>
      <c r="AC1845" s="1" t="str">
        <f>"استان هرمزگان"</f>
        <v>استان هرمزگان</v>
      </c>
      <c r="AD1845" s="1" t="str">
        <f>"96/02/06"</f>
        <v>96/02/06</v>
      </c>
      <c r="AE1845" s="1" t="str">
        <f>"اختتام"</f>
        <v>اختتام</v>
      </c>
      <c r="AF1845" s="1" t="str">
        <f>""</f>
        <v/>
      </c>
      <c r="AG1845" s="1" t="str">
        <f>""</f>
        <v/>
      </c>
      <c r="AH1845" s="1" t="str">
        <f>""</f>
        <v/>
      </c>
      <c r="AI1845" s="1" t="str">
        <f>""</f>
        <v/>
      </c>
      <c r="AJ1845" s="1" t="str">
        <f>""</f>
        <v/>
      </c>
      <c r="AK1845" s="1" t="str">
        <f>""</f>
        <v/>
      </c>
    </row>
    <row r="1846" spans="1:37">
      <c r="A1846" s="1">
        <v>15000</v>
      </c>
      <c r="B1846" s="1">
        <v>966200049</v>
      </c>
      <c r="C1846" s="1" t="str">
        <f>"تخليه - هرمزگان-محوربستک بندرعباس-40 کيلومتري نرسيده به بستک-روستاي تدروئيه-کارخانه آسفالت روئيدر ساختمان"</f>
        <v>تخليه - هرمزگان-محوربستک بندرعباس-40 کيلومتري نرسيده به بستک-روستاي تدروئيه-کارخانه آسفالت روئيدر ساختمان</v>
      </c>
      <c r="D1846" s="1">
        <v>12482</v>
      </c>
      <c r="E1846" s="1">
        <v>13860</v>
      </c>
      <c r="F1846" s="1">
        <v>96</v>
      </c>
      <c r="G1846" s="1">
        <v>1140</v>
      </c>
      <c r="H1846" s="1" t="str">
        <f>"96/02/06"</f>
        <v>96/02/06</v>
      </c>
      <c r="I1846" s="1" t="str">
        <f>"كيلوگرم"</f>
        <v>كيلوگرم</v>
      </c>
      <c r="J1846" s="1" t="str">
        <f>"1000000003"</f>
        <v>1000000003</v>
      </c>
      <c r="K1846" s="1" t="str">
        <f>"قير MC250"</f>
        <v>قير MC250</v>
      </c>
      <c r="L1846" s="1">
        <v>100</v>
      </c>
      <c r="M1846" s="1" t="str">
        <f>"مخازن قير اصفهان"</f>
        <v>مخازن قير اصفهان</v>
      </c>
      <c r="N1846" s="1">
        <v>11342</v>
      </c>
      <c r="O1846" s="1">
        <v>50034697</v>
      </c>
      <c r="P1846" s="1" t="str">
        <f>"  روئيدر ساختمان بندر"</f>
        <v xml:space="preserve">  روئيدر ساختمان بندر</v>
      </c>
      <c r="Q1846" s="1">
        <v>62</v>
      </c>
      <c r="R1846" s="1" t="str">
        <f>"فروش داخلي - سازمان بنيادمسكن انقلاب اسلامي"</f>
        <v>فروش داخلي - سازمان بنيادمسكن انقلاب اسلامي</v>
      </c>
      <c r="S1846" s="1" t="str">
        <f>"قرارداد فروش"</f>
        <v>قرارداد فروش</v>
      </c>
      <c r="T1846" s="1" t="str">
        <f>"ندارد"</f>
        <v>ندارد</v>
      </c>
      <c r="U1846" s="1" t="str">
        <f>"حاصليان ترابرجنوب مرتضي حاصلي (4844006)"</f>
        <v>حاصليان ترابرجنوب مرتضي حاصلي (4844006)</v>
      </c>
      <c r="V1846" s="1">
        <v>966200049</v>
      </c>
      <c r="W1846" s="1">
        <v>966200049</v>
      </c>
      <c r="X1846" s="1" t="str">
        <f>"1396477335"</f>
        <v>1396477335</v>
      </c>
      <c r="Y1846" s="1" t="str">
        <f>"96/02/06"</f>
        <v>96/02/06</v>
      </c>
      <c r="Z1846" s="1" t="str">
        <f>"3243/د"</f>
        <v>3243/د</v>
      </c>
      <c r="AA1846" s="1" t="str">
        <f>"بنيادمسكن انقلاب اسلامي"</f>
        <v>بنيادمسكن انقلاب اسلامي</v>
      </c>
      <c r="AB1846" s="1" t="str">
        <f>"96/02/03"</f>
        <v>96/02/03</v>
      </c>
      <c r="AC1846" s="1" t="str">
        <f>"استان هرمزگان"</f>
        <v>استان هرمزگان</v>
      </c>
      <c r="AD1846" s="1" t="str">
        <f>"96/02/06"</f>
        <v>96/02/06</v>
      </c>
      <c r="AE1846" s="1" t="str">
        <f>"اختتام"</f>
        <v>اختتام</v>
      </c>
      <c r="AF1846" s="1" t="str">
        <f>""</f>
        <v/>
      </c>
      <c r="AG1846" s="1" t="str">
        <f>""</f>
        <v/>
      </c>
      <c r="AH1846" s="1" t="str">
        <f>""</f>
        <v/>
      </c>
      <c r="AI1846" s="1" t="str">
        <f>""</f>
        <v/>
      </c>
      <c r="AJ1846" s="1" t="str">
        <f>""</f>
        <v/>
      </c>
      <c r="AK1846" s="1" t="str">
        <f>""</f>
        <v/>
      </c>
    </row>
    <row r="1847" spans="1:37">
      <c r="A1847" s="1">
        <v>58000</v>
      </c>
      <c r="B1847" s="1">
        <v>966200091</v>
      </c>
      <c r="C1847" s="1" t="str">
        <f>"تخليه - سيستان وبلوچستان -خاش-سنگ شکن آقاي آرامش"</f>
        <v>تخليه - سيستان وبلوچستان -خاش-سنگ شکن آقاي آرامش</v>
      </c>
      <c r="D1847" s="1">
        <v>12482</v>
      </c>
      <c r="E1847" s="1">
        <v>58000</v>
      </c>
      <c r="F1847" s="1">
        <v>96</v>
      </c>
      <c r="G1847" s="1">
        <v>0</v>
      </c>
      <c r="H1847" s="1" t="str">
        <f>"96/02/27"</f>
        <v>96/02/27</v>
      </c>
      <c r="I1847" s="1" t="str">
        <f>"كيلوگرم"</f>
        <v>كيلوگرم</v>
      </c>
      <c r="J1847" s="1" t="str">
        <f>"1000000003"</f>
        <v>1000000003</v>
      </c>
      <c r="K1847" s="1" t="str">
        <f>"قير MC250"</f>
        <v>قير MC250</v>
      </c>
      <c r="L1847" s="1">
        <v>100</v>
      </c>
      <c r="M1847" s="1" t="str">
        <f>"مخازن قير اصفهان"</f>
        <v>مخازن قير اصفهان</v>
      </c>
      <c r="N1847" s="1">
        <v>11360</v>
      </c>
      <c r="O1847" s="1">
        <v>50034861</v>
      </c>
      <c r="P1847" s="1" t="str">
        <f>"  پارت سازان هامون"</f>
        <v xml:space="preserve">  پارت سازان هامون</v>
      </c>
      <c r="Q1847" s="1">
        <v>62</v>
      </c>
      <c r="R1847" s="1" t="str">
        <f>"فروش داخلي - سازمان بنيادمسكن انقلاب اسلامي"</f>
        <v>فروش داخلي - سازمان بنيادمسكن انقلاب اسلامي</v>
      </c>
      <c r="S1847" s="1" t="str">
        <f>"قرارداد فروش"</f>
        <v>قرارداد فروش</v>
      </c>
      <c r="T1847" s="1" t="str">
        <f>"ندارد"</f>
        <v>ندارد</v>
      </c>
      <c r="U1847" s="1" t="str">
        <f>"قانعي محمدرضا(1011ج89)"</f>
        <v>قانعي محمدرضا(1011ج89)</v>
      </c>
      <c r="V1847" s="1">
        <v>966200091</v>
      </c>
      <c r="W1847" s="1">
        <v>966200091</v>
      </c>
      <c r="X1847" s="1" t="str">
        <f>"1396481876"</f>
        <v>1396481876</v>
      </c>
      <c r="Y1847" s="1" t="str">
        <f>"96/02/27"</f>
        <v>96/02/27</v>
      </c>
      <c r="Z1847" s="1" t="str">
        <f>"6832/د"</f>
        <v>6832/د</v>
      </c>
      <c r="AA1847" s="1" t="str">
        <f>"بنيادمسكن انقلاب اسلامي"</f>
        <v>بنيادمسكن انقلاب اسلامي</v>
      </c>
      <c r="AB1847" s="1" t="str">
        <f>"96/02/25"</f>
        <v>96/02/25</v>
      </c>
      <c r="AC1847" s="1" t="str">
        <f>"استان سيستان بلوچستان"</f>
        <v>استان سيستان بلوچستان</v>
      </c>
      <c r="AD1847" s="1" t="str">
        <f>"96/02/27"</f>
        <v>96/02/27</v>
      </c>
      <c r="AE1847" s="1" t="str">
        <f>"اختتام"</f>
        <v>اختتام</v>
      </c>
      <c r="AF1847" s="1" t="str">
        <f>""</f>
        <v/>
      </c>
      <c r="AG1847" s="1" t="str">
        <f>""</f>
        <v/>
      </c>
      <c r="AH1847" s="1" t="str">
        <f>""</f>
        <v/>
      </c>
      <c r="AI1847" s="1" t="str">
        <f>""</f>
        <v/>
      </c>
      <c r="AJ1847" s="1" t="str">
        <f>""</f>
        <v/>
      </c>
      <c r="AK1847" s="1" t="str">
        <f>""</f>
        <v/>
      </c>
    </row>
    <row r="1848" spans="1:37">
      <c r="A1848" s="1">
        <v>102000</v>
      </c>
      <c r="B1848" s="1">
        <v>966200207</v>
      </c>
      <c r="C1848" s="1" t="str">
        <f>"تخليه - سيستان و بلوچستان-هامون-شهرمحمدآباد -کارخانه آسفالت برادران طباطبايي"</f>
        <v>تخليه - سيستان و بلوچستان-هامون-شهرمحمدآباد -کارخانه آسفالت برادران طباطبايي</v>
      </c>
      <c r="D1848" s="1">
        <v>12222</v>
      </c>
      <c r="E1848" s="1">
        <v>99820</v>
      </c>
      <c r="F1848" s="1">
        <v>96</v>
      </c>
      <c r="G1848" s="1">
        <v>2180</v>
      </c>
      <c r="H1848" s="1" t="str">
        <f>"96/05/31"</f>
        <v>96/05/31</v>
      </c>
      <c r="I1848" s="1" t="str">
        <f>"كيلوگرم"</f>
        <v>كيلوگرم</v>
      </c>
      <c r="J1848" s="1" t="str">
        <f>"1000000003"</f>
        <v>1000000003</v>
      </c>
      <c r="K1848" s="1" t="str">
        <f>"قير MC250"</f>
        <v>قير MC250</v>
      </c>
      <c r="L1848" s="1">
        <v>100</v>
      </c>
      <c r="M1848" s="1" t="str">
        <f>"مخازن قير اصفهان"</f>
        <v>مخازن قير اصفهان</v>
      </c>
      <c r="N1848" s="1">
        <v>11360</v>
      </c>
      <c r="O1848" s="1">
        <v>50035773</v>
      </c>
      <c r="P1848" s="1" t="str">
        <f>"  پارت سازان هامون"</f>
        <v xml:space="preserve">  پارت سازان هامون</v>
      </c>
      <c r="Q1848" s="1">
        <v>62</v>
      </c>
      <c r="R1848" s="1" t="str">
        <f>"فروش داخلي - سازمان بنيادمسكن انقلاب اسلامي"</f>
        <v>فروش داخلي - سازمان بنيادمسكن انقلاب اسلامي</v>
      </c>
      <c r="S1848" s="1" t="str">
        <f>"قرارداد فروش"</f>
        <v>قرارداد فروش</v>
      </c>
      <c r="T1848" s="1" t="str">
        <f>"ندارد"</f>
        <v>ندارد</v>
      </c>
      <c r="U1848" s="1" t="str">
        <f>"قانعي محمدرضا(1011ج89)"</f>
        <v>قانعي محمدرضا(1011ج89)</v>
      </c>
      <c r="V1848" s="1">
        <v>966200207</v>
      </c>
      <c r="W1848" s="1">
        <v>966200207</v>
      </c>
      <c r="X1848" s="1" t="str">
        <f>"1396507047"</f>
        <v>1396507047</v>
      </c>
      <c r="Y1848" s="1" t="str">
        <f>"96/05/31"</f>
        <v>96/05/31</v>
      </c>
      <c r="Z1848" s="1" t="str">
        <f>"23009/د"</f>
        <v>23009/د</v>
      </c>
      <c r="AA1848" s="1" t="str">
        <f>"بنيادمسكن انقلاب اسلامي"</f>
        <v>بنيادمسكن انقلاب اسلامي</v>
      </c>
      <c r="AB1848" s="1" t="str">
        <f>"96/05/29"</f>
        <v>96/05/29</v>
      </c>
      <c r="AC1848" s="1" t="str">
        <f>"استان سيستان بلوچستان"</f>
        <v>استان سيستان بلوچستان</v>
      </c>
      <c r="AD1848" s="1" t="str">
        <f>"96/05/31"</f>
        <v>96/05/31</v>
      </c>
      <c r="AE1848" s="1" t="str">
        <f>"اختتام"</f>
        <v>اختتام</v>
      </c>
      <c r="AF1848" s="1" t="str">
        <f>""</f>
        <v/>
      </c>
      <c r="AG1848" s="1" t="str">
        <f>""</f>
        <v/>
      </c>
      <c r="AH1848" s="1" t="str">
        <f>""</f>
        <v/>
      </c>
      <c r="AI1848" s="1" t="str">
        <f>""</f>
        <v/>
      </c>
      <c r="AJ1848" s="1" t="str">
        <f>""</f>
        <v/>
      </c>
      <c r="AK1848" s="1" t="str">
        <f>""</f>
        <v/>
      </c>
    </row>
    <row r="1849" spans="1:37">
      <c r="A1849" s="1">
        <v>241000</v>
      </c>
      <c r="B1849" s="1">
        <v>966200210</v>
      </c>
      <c r="C1849" s="1" t="str">
        <f>"تخليه - سيستان و بلو چستان-سراوران-کيلومتر 15 جاده سراوران-کهک-کارگاه شن و ماسه دهواري"</f>
        <v>تخليه - سيستان و بلو چستان-سراوران-کيلومتر 15 جاده سراوران-کهک-کارگاه شن و ماسه دهواري</v>
      </c>
      <c r="D1849" s="1">
        <v>12222</v>
      </c>
      <c r="E1849" s="1">
        <v>235980</v>
      </c>
      <c r="F1849" s="1">
        <v>96</v>
      </c>
      <c r="G1849" s="1">
        <v>5020</v>
      </c>
      <c r="H1849" s="1" t="str">
        <f>"96/05/31"</f>
        <v>96/05/31</v>
      </c>
      <c r="I1849" s="1" t="str">
        <f>"كيلوگرم"</f>
        <v>كيلوگرم</v>
      </c>
      <c r="J1849" s="1" t="str">
        <f>"1000000003"</f>
        <v>1000000003</v>
      </c>
      <c r="K1849" s="1" t="str">
        <f>"قير MC250"</f>
        <v>قير MC250</v>
      </c>
      <c r="L1849" s="1">
        <v>100</v>
      </c>
      <c r="M1849" s="1" t="str">
        <f>"مخازن قير اصفهان"</f>
        <v>مخازن قير اصفهان</v>
      </c>
      <c r="N1849" s="1">
        <v>11393</v>
      </c>
      <c r="O1849" s="1">
        <v>50035894</v>
      </c>
      <c r="P1849" s="1" t="str">
        <f>"  پيام گوي سرحد"</f>
        <v xml:space="preserve">  پيام گوي سرحد</v>
      </c>
      <c r="Q1849" s="1">
        <v>62</v>
      </c>
      <c r="R1849" s="1" t="str">
        <f>"فروش داخلي - سازمان بنيادمسكن انقلاب اسلامي"</f>
        <v>فروش داخلي - سازمان بنيادمسكن انقلاب اسلامي</v>
      </c>
      <c r="S1849" s="1" t="str">
        <f>"قرارداد فروش"</f>
        <v>قرارداد فروش</v>
      </c>
      <c r="T1849" s="1" t="str">
        <f>"ندارد"</f>
        <v>ندارد</v>
      </c>
      <c r="U1849" s="1" t="str">
        <f>"تاج سعيد هوشنگ (1031ج 89)"</f>
        <v>تاج سعيد هوشنگ (1031ج 89)</v>
      </c>
      <c r="V1849" s="1">
        <v>966200210</v>
      </c>
      <c r="W1849" s="1">
        <v>966200210</v>
      </c>
      <c r="X1849" s="1" t="str">
        <f>"1396507047"</f>
        <v>1396507047</v>
      </c>
      <c r="Y1849" s="1" t="str">
        <f>"96/05/31"</f>
        <v>96/05/31</v>
      </c>
      <c r="Z1849" s="1" t="str">
        <f>"23010/د"</f>
        <v>23010/د</v>
      </c>
      <c r="AA1849" s="1" t="str">
        <f>"بنيادمسكن انقلاب اسلامي"</f>
        <v>بنيادمسكن انقلاب اسلامي</v>
      </c>
      <c r="AB1849" s="1" t="str">
        <f>"96/05/29"</f>
        <v>96/05/29</v>
      </c>
      <c r="AC1849" s="1" t="str">
        <f>"استان سيستان بلوچستان"</f>
        <v>استان سيستان بلوچستان</v>
      </c>
      <c r="AD1849" s="1" t="str">
        <f>"96/05/31"</f>
        <v>96/05/31</v>
      </c>
      <c r="AE1849" s="1" t="str">
        <f>"اختتام"</f>
        <v>اختتام</v>
      </c>
      <c r="AF1849" s="1" t="str">
        <f>""</f>
        <v/>
      </c>
      <c r="AG1849" s="1" t="str">
        <f>""</f>
        <v/>
      </c>
      <c r="AH1849" s="1" t="str">
        <f>""</f>
        <v/>
      </c>
      <c r="AI1849" s="1" t="str">
        <f>""</f>
        <v/>
      </c>
      <c r="AJ1849" s="1" t="str">
        <f>""</f>
        <v/>
      </c>
      <c r="AK1849" s="1" t="str">
        <f>""</f>
        <v/>
      </c>
    </row>
    <row r="1850" spans="1:37">
      <c r="A1850" s="1">
        <v>140000</v>
      </c>
      <c r="B1850" s="1">
        <v>966200562</v>
      </c>
      <c r="C1850" s="1" t="str">
        <f>"تخليه - سيستان و بلو چستان-چابهار-بخش دشتياري-کارگاه شن و ماسه آواي توسعه مکران"</f>
        <v>تخليه - سيستان و بلو چستان-چابهار-بخش دشتياري-کارگاه شن و ماسه آواي توسعه مکران</v>
      </c>
      <c r="D1850" s="1">
        <v>16500</v>
      </c>
      <c r="E1850" s="1">
        <v>138500</v>
      </c>
      <c r="F1850" s="1">
        <v>96</v>
      </c>
      <c r="G1850" s="1">
        <v>1500</v>
      </c>
      <c r="H1850" s="1" t="str">
        <f>"96/11/14"</f>
        <v>96/11/14</v>
      </c>
      <c r="I1850" s="1" t="str">
        <f>"كيلوگرم"</f>
        <v>كيلوگرم</v>
      </c>
      <c r="J1850" s="1" t="str">
        <f>"1000000003"</f>
        <v>1000000003</v>
      </c>
      <c r="K1850" s="1" t="str">
        <f>"قير MC250"</f>
        <v>قير MC250</v>
      </c>
      <c r="L1850" s="1">
        <v>100</v>
      </c>
      <c r="M1850" s="1" t="str">
        <f>"مخازن قير اصفهان"</f>
        <v>مخازن قير اصفهان</v>
      </c>
      <c r="N1850" s="1">
        <v>11536</v>
      </c>
      <c r="O1850" s="1">
        <v>50038371</v>
      </c>
      <c r="P1850" s="1" t="str">
        <f>"  راه و ساختمان ايزدياردشتياري"</f>
        <v xml:space="preserve">  راه و ساختمان ايزدياردشتياري</v>
      </c>
      <c r="Q1850" s="1">
        <v>62</v>
      </c>
      <c r="R1850" s="1" t="str">
        <f>"فروش داخلي - سازمان بنيادمسكن انقلاب اسلامي"</f>
        <v>فروش داخلي - سازمان بنيادمسكن انقلاب اسلامي</v>
      </c>
      <c r="S1850" s="1" t="str">
        <f>"قرارداد فروش"</f>
        <v>قرارداد فروش</v>
      </c>
      <c r="T1850" s="1" t="str">
        <f>"ندارد"</f>
        <v>ندارد</v>
      </c>
      <c r="U1850" s="1" t="str">
        <f>"عزيزي صفر(1006ج 89)"</f>
        <v>عزيزي صفر(1006ج 89)</v>
      </c>
      <c r="V1850" s="1">
        <v>966200562</v>
      </c>
      <c r="W1850" s="1">
        <v>966200562</v>
      </c>
      <c r="X1850" s="1" t="str">
        <f>"1396545123"</f>
        <v>1396545123</v>
      </c>
      <c r="Y1850" s="1" t="str">
        <f>"96/11/14"</f>
        <v>96/11/14</v>
      </c>
      <c r="Z1850" s="1" t="str">
        <f>"50727/د"</f>
        <v>50727/د</v>
      </c>
      <c r="AA1850" s="1" t="str">
        <f>"بنيادمسكن انقلاب اسلامي"</f>
        <v>بنيادمسكن انقلاب اسلامي</v>
      </c>
      <c r="AB1850" s="1" t="str">
        <f>"96/11/11"</f>
        <v>96/11/11</v>
      </c>
      <c r="AC1850" s="1" t="str">
        <f>"استان سيستان بلوچستان"</f>
        <v>استان سيستان بلوچستان</v>
      </c>
      <c r="AD1850" s="1" t="str">
        <f>"96/11/14"</f>
        <v>96/11/14</v>
      </c>
      <c r="AE1850" s="1" t="str">
        <f>"اختتام"</f>
        <v>اختتام</v>
      </c>
      <c r="AF1850" s="1" t="str">
        <f>""</f>
        <v/>
      </c>
      <c r="AG1850" s="1" t="str">
        <f>""</f>
        <v/>
      </c>
      <c r="AH1850" s="1" t="str">
        <f>""</f>
        <v/>
      </c>
      <c r="AI1850" s="1" t="str">
        <f>""</f>
        <v/>
      </c>
      <c r="AJ1850" s="1" t="str">
        <f>""</f>
        <v/>
      </c>
      <c r="AK1850" s="1" t="str">
        <f>""</f>
        <v/>
      </c>
    </row>
    <row r="1851" spans="1:37">
      <c r="A1851" s="1">
        <v>42424</v>
      </c>
      <c r="B1851" s="1">
        <v>962000448</v>
      </c>
      <c r="C1851" s="1" t="str">
        <f>"تخليه - اصفهان - خيابان 22 بهمن- جاده چشمه لاك پشت-کارخانه آسفالت شهرداري فريدونشهر"</f>
        <v>تخليه - اصفهان - خيابان 22 بهمن- جاده چشمه لاك پشت-کارخانه آسفالت شهرداري فريدونشهر</v>
      </c>
      <c r="D1851" s="1">
        <v>12820</v>
      </c>
      <c r="E1851" s="1">
        <v>41378</v>
      </c>
      <c r="F1851" s="1">
        <v>96</v>
      </c>
      <c r="G1851" s="1">
        <v>1046</v>
      </c>
      <c r="H1851" s="1" t="str">
        <f>"96/09/20"</f>
        <v>96/09/20</v>
      </c>
      <c r="I1851" s="1" t="str">
        <f>"كيلوگرم"</f>
        <v>كيلوگرم</v>
      </c>
      <c r="J1851" s="1" t="str">
        <f>"0000000076"</f>
        <v>0000000076</v>
      </c>
      <c r="K1851" s="1" t="str">
        <f>"قير 60/70 - فله"</f>
        <v>قير 60/70 - فله</v>
      </c>
      <c r="L1851" s="1">
        <v>100</v>
      </c>
      <c r="M1851" s="1" t="str">
        <f>"مخازن قير اصفهان"</f>
        <v>مخازن قير اصفهان</v>
      </c>
      <c r="N1851" s="1">
        <v>1292</v>
      </c>
      <c r="O1851" s="1">
        <v>50037770</v>
      </c>
      <c r="P1851" s="1" t="str">
        <f>"  شهرداري فريدونشهر"</f>
        <v xml:space="preserve">  شهرداري فريدونشهر</v>
      </c>
      <c r="Q1851" s="1">
        <v>20</v>
      </c>
      <c r="R1851" s="1" t="str">
        <f>"فروش داخلي - سازمان شهرداري ها و دهياري هاي كشور"</f>
        <v>فروش داخلي - سازمان شهرداري ها و دهياري هاي كشور</v>
      </c>
      <c r="S1851" s="1" t="str">
        <f>"قرارداد فروش"</f>
        <v>قرارداد فروش</v>
      </c>
      <c r="T1851" s="1" t="str">
        <f>"ندارد"</f>
        <v>ندارد</v>
      </c>
      <c r="U1851" s="1" t="str">
        <f>"تعاوني جم گستر (1001 ج 89)"</f>
        <v>تعاوني جم گستر (1001 ج 89)</v>
      </c>
      <c r="V1851" s="1">
        <v>962000448</v>
      </c>
      <c r="W1851" s="1">
        <v>962000448</v>
      </c>
      <c r="X1851" s="1" t="str">
        <f>"1396529711"</f>
        <v>1396529711</v>
      </c>
      <c r="Y1851" s="1" t="str">
        <f>"96/09/20"</f>
        <v>96/09/20</v>
      </c>
      <c r="Z1851" s="1" t="str">
        <f>"37188مرحله دوم"</f>
        <v>37188مرحله دوم</v>
      </c>
      <c r="AA1851" s="1" t="str">
        <f>"شهرداريها"</f>
        <v>شهرداريها</v>
      </c>
      <c r="AB1851" s="1" t="str">
        <f>"96/09/05"</f>
        <v>96/09/05</v>
      </c>
      <c r="AC1851" s="1" t="str">
        <f>"استان اصفهان"</f>
        <v>استان اصفهان</v>
      </c>
      <c r="AD1851" s="1" t="str">
        <f>"96/09/13"</f>
        <v>96/09/13</v>
      </c>
      <c r="AE1851" s="1" t="str">
        <f>"تاييدشده"</f>
        <v>تاييدشده</v>
      </c>
      <c r="AF1851" s="1" t="str">
        <f>""</f>
        <v/>
      </c>
      <c r="AG1851" s="1" t="str">
        <f>""</f>
        <v/>
      </c>
      <c r="AH1851" s="1" t="str">
        <f>""</f>
        <v/>
      </c>
      <c r="AI1851" s="1" t="str">
        <f>""</f>
        <v/>
      </c>
      <c r="AJ1851" s="1" t="str">
        <f>""</f>
        <v/>
      </c>
      <c r="AK1851" s="1" t="str">
        <f>""</f>
        <v/>
      </c>
    </row>
    <row r="1852" spans="1:37">
      <c r="A1852" s="1">
        <v>100000</v>
      </c>
      <c r="B1852" s="1">
        <v>961100073</v>
      </c>
      <c r="C1852" s="1" t="str">
        <f>"تخليه -دليجان -شهرک صنعتي -سراپوش دليجان"</f>
        <v>تخليه -دليجان -شهرک صنعتي -سراپوش دليجان</v>
      </c>
      <c r="D1852" s="1">
        <v>9113</v>
      </c>
      <c r="E1852" s="1">
        <v>99620</v>
      </c>
      <c r="F1852" s="1">
        <v>96</v>
      </c>
      <c r="G1852" s="1">
        <v>380</v>
      </c>
      <c r="H1852" s="1" t="str">
        <f>"96/07/17"</f>
        <v>96/07/17</v>
      </c>
      <c r="I1852" s="1" t="str">
        <f>"كيلوگرم"</f>
        <v>كيلوگرم</v>
      </c>
      <c r="J1852" s="1" t="str">
        <f>"0000000076"</f>
        <v>0000000076</v>
      </c>
      <c r="K1852" s="1" t="str">
        <f>"قير 60/70 - فله"</f>
        <v>قير 60/70 - فله</v>
      </c>
      <c r="L1852" s="1">
        <v>100</v>
      </c>
      <c r="M1852" s="1" t="str">
        <f>"مخازن قير اصفهان"</f>
        <v>مخازن قير اصفهان</v>
      </c>
      <c r="N1852" s="1">
        <v>1545</v>
      </c>
      <c r="O1852" s="1">
        <v>50036600</v>
      </c>
      <c r="P1852" s="1" t="str">
        <f>"  سرا پوش دليجان"</f>
        <v xml:space="preserve">  سرا پوش دليجان</v>
      </c>
      <c r="Q1852" s="1">
        <v>11</v>
      </c>
      <c r="R1852" s="1" t="str">
        <f>"فروش داخلي تهران - بورس"</f>
        <v>فروش داخلي تهران - بورس</v>
      </c>
      <c r="S1852" s="1" t="str">
        <f>"قرارداد فروش"</f>
        <v>قرارداد فروش</v>
      </c>
      <c r="T1852" s="1" t="str">
        <f>"ندارد"</f>
        <v>ندارد</v>
      </c>
      <c r="U1852" s="1" t="str">
        <f>"قره باغي مجيد(1871065)"</f>
        <v>قره باغي مجيد(1871065)</v>
      </c>
      <c r="V1852" s="1">
        <v>961100073</v>
      </c>
      <c r="W1852" s="1">
        <v>961100073</v>
      </c>
      <c r="X1852" s="1" t="str">
        <f>"1396515743"</f>
        <v>1396515743</v>
      </c>
      <c r="Y1852" s="1" t="str">
        <f>"96/07/16"</f>
        <v>96/07/16</v>
      </c>
      <c r="Z1852" s="1" t="str">
        <f>"96-36323"</f>
        <v>96-36323</v>
      </c>
      <c r="AA1852" s="1" t="str">
        <f>"ايزوگام"</f>
        <v>ايزوگام</v>
      </c>
      <c r="AB1852" s="1" t="str">
        <f>"96/07/16"</f>
        <v>96/07/16</v>
      </c>
      <c r="AC1852" s="1" t="str">
        <f>"استان اصفهان"</f>
        <v>استان اصفهان</v>
      </c>
      <c r="AD1852" s="1" t="str">
        <f>"96/07/10"</f>
        <v>96/07/10</v>
      </c>
      <c r="AE1852" s="1" t="str">
        <f>"اختتام"</f>
        <v>اختتام</v>
      </c>
      <c r="AF1852" s="1" t="str">
        <f>""</f>
        <v/>
      </c>
      <c r="AG1852" s="1" t="str">
        <f>""</f>
        <v/>
      </c>
      <c r="AH1852" s="1" t="str">
        <f>""</f>
        <v/>
      </c>
      <c r="AI1852" s="1" t="str">
        <f>""</f>
        <v/>
      </c>
      <c r="AJ1852" s="1" t="str">
        <f>""</f>
        <v/>
      </c>
      <c r="AK1852" s="1" t="str">
        <f>""</f>
        <v/>
      </c>
    </row>
    <row r="1853" spans="1:37">
      <c r="A1853" s="1">
        <v>50000</v>
      </c>
      <c r="B1853" s="1">
        <v>966200243</v>
      </c>
      <c r="C1853" s="1" t="str">
        <f>"تخليه خراسان رضوي -کيلومتر5جاده گناباد-قاين-کارخانه آسفالت شهرداري بيدخت"</f>
        <v>تخليه خراسان رضوي -کيلومتر5جاده گناباد-قاين-کارخانه آسفالت شهرداري بيدخت</v>
      </c>
      <c r="D1853" s="1">
        <v>8954</v>
      </c>
      <c r="E1853" s="1">
        <v>49080</v>
      </c>
      <c r="F1853" s="1">
        <v>96</v>
      </c>
      <c r="G1853" s="1">
        <v>920</v>
      </c>
      <c r="H1853" s="1" t="str">
        <f>"96/06/22"</f>
        <v>96/06/22</v>
      </c>
      <c r="I1853" s="1" t="str">
        <f>"كيلوگرم"</f>
        <v>كيلوگرم</v>
      </c>
      <c r="J1853" s="1" t="str">
        <f>"0000000076"</f>
        <v>0000000076</v>
      </c>
      <c r="K1853" s="1" t="str">
        <f>"قير 60/70 - فله"</f>
        <v>قير 60/70 - فله</v>
      </c>
      <c r="L1853" s="1">
        <v>100</v>
      </c>
      <c r="M1853" s="1" t="str">
        <f>"مخازن قير اصفهان"</f>
        <v>مخازن قير اصفهان</v>
      </c>
      <c r="N1853" s="1">
        <v>4030</v>
      </c>
      <c r="O1853" s="1">
        <v>50036029</v>
      </c>
      <c r="P1853" s="1" t="str">
        <f>"  شهرداري بيدخت"</f>
        <v xml:space="preserve">  شهرداري بيدخت</v>
      </c>
      <c r="Q1853" s="1">
        <v>62</v>
      </c>
      <c r="R1853" s="1" t="str">
        <f>"فروش داخلي - سازمان بنيادمسكن انقلاب اسلامي"</f>
        <v>فروش داخلي - سازمان بنيادمسكن انقلاب اسلامي</v>
      </c>
      <c r="S1853" s="1" t="str">
        <f>"قرارداد فروش"</f>
        <v>قرارداد فروش</v>
      </c>
      <c r="T1853" s="1" t="str">
        <f>"ندارد"</f>
        <v>ندارد</v>
      </c>
      <c r="U1853" s="1" t="str">
        <f>"آقا علي منوچهر(1016ج89)"</f>
        <v>آقا علي منوچهر(1016ج89)</v>
      </c>
      <c r="V1853" s="1">
        <v>966200243</v>
      </c>
      <c r="W1853" s="1">
        <v>966200243</v>
      </c>
      <c r="X1853" s="1" t="str">
        <f>"1396512368"</f>
        <v>1396512368</v>
      </c>
      <c r="Y1853" s="1" t="str">
        <f>"96/06/22"</f>
        <v>96/06/22</v>
      </c>
      <c r="Z1853" s="1" t="str">
        <f>"27197/د"</f>
        <v>27197/د</v>
      </c>
      <c r="AA1853" s="1" t="str">
        <f>"بنيادمسكن انقلاب اسلامي"</f>
        <v>بنيادمسكن انقلاب اسلامي</v>
      </c>
      <c r="AB1853" s="1" t="str">
        <f>"96/06/21"</f>
        <v>96/06/21</v>
      </c>
      <c r="AC1853" s="1" t="str">
        <f>"خراسان رضوي"</f>
        <v>خراسان رضوي</v>
      </c>
      <c r="AD1853" s="1" t="str">
        <f>"96/06/22"</f>
        <v>96/06/22</v>
      </c>
      <c r="AE1853" s="1" t="str">
        <f>"اختتام"</f>
        <v>اختتام</v>
      </c>
      <c r="AF1853" s="1" t="str">
        <f>""</f>
        <v/>
      </c>
      <c r="AG1853" s="1" t="str">
        <f>""</f>
        <v/>
      </c>
      <c r="AH1853" s="1" t="str">
        <f>""</f>
        <v/>
      </c>
      <c r="AI1853" s="1" t="str">
        <f>""</f>
        <v/>
      </c>
      <c r="AJ1853" s="1" t="str">
        <f>""</f>
        <v/>
      </c>
      <c r="AK1853" s="1" t="str">
        <f>""</f>
        <v/>
      </c>
    </row>
    <row r="1854" spans="1:37">
      <c r="A1854" s="1">
        <v>200000</v>
      </c>
      <c r="B1854" s="1">
        <v>966200299</v>
      </c>
      <c r="C1854" s="1" t="str">
        <f>"تخليه خراسان رضوي -کيلومتر5جاده گناباد-قاين-کارخانه آسفالت شهرداري بيدخت"</f>
        <v>تخليه خراسان رضوي -کيلومتر5جاده گناباد-قاين-کارخانه آسفالت شهرداري بيدخت</v>
      </c>
      <c r="D1854" s="1">
        <v>9113</v>
      </c>
      <c r="E1854" s="1">
        <v>199140</v>
      </c>
      <c r="F1854" s="1">
        <v>96</v>
      </c>
      <c r="G1854" s="1">
        <v>860</v>
      </c>
      <c r="H1854" s="1" t="str">
        <f>"96/07/15"</f>
        <v>96/07/15</v>
      </c>
      <c r="I1854" s="1" t="str">
        <f>"كيلوگرم"</f>
        <v>كيلوگرم</v>
      </c>
      <c r="J1854" s="1" t="str">
        <f>"0000000076"</f>
        <v>0000000076</v>
      </c>
      <c r="K1854" s="1" t="str">
        <f>"قير 60/70 - فله"</f>
        <v>قير 60/70 - فله</v>
      </c>
      <c r="L1854" s="1">
        <v>100</v>
      </c>
      <c r="M1854" s="1" t="str">
        <f>"مخازن قير اصفهان"</f>
        <v>مخازن قير اصفهان</v>
      </c>
      <c r="N1854" s="1">
        <v>4030</v>
      </c>
      <c r="O1854" s="1">
        <v>50036560</v>
      </c>
      <c r="P1854" s="1" t="str">
        <f>"  شهرداري بيدخت"</f>
        <v xml:space="preserve">  شهرداري بيدخت</v>
      </c>
      <c r="Q1854" s="1">
        <v>62</v>
      </c>
      <c r="R1854" s="1" t="str">
        <f>"فروش داخلي - سازمان بنيادمسكن انقلاب اسلامي"</f>
        <v>فروش داخلي - سازمان بنيادمسكن انقلاب اسلامي</v>
      </c>
      <c r="S1854" s="1" t="str">
        <f>"قرارداد فروش"</f>
        <v>قرارداد فروش</v>
      </c>
      <c r="T1854" s="1" t="str">
        <f>"ندارد"</f>
        <v>ندارد</v>
      </c>
      <c r="U1854" s="1" t="str">
        <f>"آقا علي منوچهر(1016ج89)"</f>
        <v>آقا علي منوچهر(1016ج89)</v>
      </c>
      <c r="V1854" s="1">
        <v>966200299</v>
      </c>
      <c r="W1854" s="1">
        <v>966200299</v>
      </c>
      <c r="X1854" s="1" t="str">
        <f>"1396516997"</f>
        <v>1396516997</v>
      </c>
      <c r="Y1854" s="1" t="str">
        <f>"96/07/15"</f>
        <v>96/07/15</v>
      </c>
      <c r="Z1854" s="1" t="str">
        <f>"30880/د"</f>
        <v>30880/د</v>
      </c>
      <c r="AA1854" s="1" t="str">
        <f>"بنيادمسكن انقلاب اسلامي"</f>
        <v>بنيادمسكن انقلاب اسلامي</v>
      </c>
      <c r="AB1854" s="1" t="str">
        <f>"96/07/12"</f>
        <v>96/07/12</v>
      </c>
      <c r="AC1854" s="1" t="str">
        <f>"خراسان رضوي"</f>
        <v>خراسان رضوي</v>
      </c>
      <c r="AD1854" s="1" t="str">
        <f>"96/07/15"</f>
        <v>96/07/15</v>
      </c>
      <c r="AE1854" s="1" t="str">
        <f>"اختتام"</f>
        <v>اختتام</v>
      </c>
      <c r="AF1854" s="1" t="str">
        <f>""</f>
        <v/>
      </c>
      <c r="AG1854" s="1" t="str">
        <f>""</f>
        <v/>
      </c>
      <c r="AH1854" s="1" t="str">
        <f>""</f>
        <v/>
      </c>
      <c r="AI1854" s="1" t="str">
        <f>""</f>
        <v/>
      </c>
      <c r="AJ1854" s="1" t="str">
        <f>""</f>
        <v/>
      </c>
      <c r="AK1854" s="1" t="str">
        <f>""</f>
        <v/>
      </c>
    </row>
    <row r="1855" spans="1:37">
      <c r="A1855" s="1">
        <v>190468</v>
      </c>
      <c r="B1855" s="1">
        <v>962000189</v>
      </c>
      <c r="C1855" s="1" t="str">
        <f>"تخليه خراسان رضوي كيلومتر10جاده گنابادمشهدكارخانه آسفالت شهرداري گناباد"</f>
        <v>تخليه خراسان رضوي كيلومتر10جاده گنابادمشهدكارخانه آسفالت شهرداري گناباد</v>
      </c>
      <c r="D1855" s="1">
        <v>9113</v>
      </c>
      <c r="E1855" s="1">
        <v>190468</v>
      </c>
      <c r="F1855" s="1">
        <v>96</v>
      </c>
      <c r="G1855" s="1">
        <v>0</v>
      </c>
      <c r="H1855" s="1" t="str">
        <f>"96/07/03"</f>
        <v>96/07/03</v>
      </c>
      <c r="I1855" s="1" t="str">
        <f>"كيلوگرم"</f>
        <v>كيلوگرم</v>
      </c>
      <c r="J1855" s="1" t="str">
        <f>"0000000076"</f>
        <v>0000000076</v>
      </c>
      <c r="K1855" s="1" t="str">
        <f>"قير 60/70 - فله"</f>
        <v>قير 60/70 - فله</v>
      </c>
      <c r="L1855" s="1">
        <v>100</v>
      </c>
      <c r="M1855" s="1" t="str">
        <f>"مخازن قير اصفهان"</f>
        <v>مخازن قير اصفهان</v>
      </c>
      <c r="N1855" s="1">
        <v>4045</v>
      </c>
      <c r="O1855" s="1">
        <v>50036395</v>
      </c>
      <c r="P1855" s="1" t="str">
        <f>"  شهرداري گناباد(00146)"</f>
        <v xml:space="preserve">  شهرداري گناباد(00146)</v>
      </c>
      <c r="Q1855" s="1">
        <v>20</v>
      </c>
      <c r="R1855" s="1" t="str">
        <f>"فروش داخلي - سازمان شهرداري ها و دهياري هاي كشور"</f>
        <v>فروش داخلي - سازمان شهرداري ها و دهياري هاي كشور</v>
      </c>
      <c r="S1855" s="1" t="str">
        <f>"قرارداد فروش"</f>
        <v>قرارداد فروش</v>
      </c>
      <c r="T1855" s="1" t="str">
        <f>"ندارد"</f>
        <v>ندارد</v>
      </c>
      <c r="U1855" s="1" t="str">
        <f>"تعاوني جم گستر (1001 ج 89)"</f>
        <v>تعاوني جم گستر (1001 ج 89)</v>
      </c>
      <c r="V1855" s="1">
        <v>962000189</v>
      </c>
      <c r="W1855" s="1">
        <v>962000189</v>
      </c>
      <c r="X1855" s="1" t="str">
        <f>"1396514467"</f>
        <v>1396514467</v>
      </c>
      <c r="Y1855" s="1" t="str">
        <f>"96/07/03"</f>
        <v>96/07/03</v>
      </c>
      <c r="Z1855" s="1" t="str">
        <f>"26676مرحله اول"</f>
        <v>26676مرحله اول</v>
      </c>
      <c r="AA1855" s="1" t="str">
        <f>"شهرداريها"</f>
        <v>شهرداريها</v>
      </c>
      <c r="AB1855" s="1" t="str">
        <f>"96/06/29"</f>
        <v>96/06/29</v>
      </c>
      <c r="AC1855" s="1" t="str">
        <f>"خراسان رضوي"</f>
        <v>خراسان رضوي</v>
      </c>
      <c r="AD1855" s="1" t="str">
        <f>"96/07/03"</f>
        <v>96/07/03</v>
      </c>
      <c r="AE1855" s="1" t="str">
        <f>"اختتام"</f>
        <v>اختتام</v>
      </c>
      <c r="AF1855" s="1" t="str">
        <f>""</f>
        <v/>
      </c>
      <c r="AG1855" s="1" t="str">
        <f>""</f>
        <v/>
      </c>
      <c r="AH1855" s="1" t="str">
        <f>""</f>
        <v/>
      </c>
      <c r="AI1855" s="1" t="str">
        <f>""</f>
        <v/>
      </c>
      <c r="AJ1855" s="1" t="str">
        <f>""</f>
        <v/>
      </c>
      <c r="AK1855" s="1" t="str">
        <f>""</f>
        <v/>
      </c>
    </row>
    <row r="1856" spans="1:37">
      <c r="A1856" s="1">
        <v>65506</v>
      </c>
      <c r="B1856" s="1">
        <v>962000276</v>
      </c>
      <c r="C1856" s="1" t="str">
        <f>"تخليه -خراسان رضوي شهرستان بجستان كارخانه آسفالت شهرداري بجستان"</f>
        <v>تخليه -خراسان رضوي شهرستان بجستان كارخانه آسفالت شهرداري بجستان</v>
      </c>
      <c r="D1856" s="1">
        <v>9113</v>
      </c>
      <c r="E1856" s="1">
        <v>63368</v>
      </c>
      <c r="F1856" s="1">
        <v>96</v>
      </c>
      <c r="G1856" s="1">
        <v>2138</v>
      </c>
      <c r="H1856" s="1" t="str">
        <f>"96/09/13"</f>
        <v>96/09/13</v>
      </c>
      <c r="I1856" s="1" t="str">
        <f>"كيلوگرم"</f>
        <v>كيلوگرم</v>
      </c>
      <c r="J1856" s="1" t="str">
        <f>"0000000076"</f>
        <v>0000000076</v>
      </c>
      <c r="K1856" s="1" t="str">
        <f>"قير 60/70 - فله"</f>
        <v>قير 60/70 - فله</v>
      </c>
      <c r="L1856" s="1">
        <v>100</v>
      </c>
      <c r="M1856" s="1" t="str">
        <f>"مخازن قير اصفهان"</f>
        <v>مخازن قير اصفهان</v>
      </c>
      <c r="N1856" s="1">
        <v>4093</v>
      </c>
      <c r="O1856" s="1">
        <v>50037474</v>
      </c>
      <c r="P1856" s="1" t="str">
        <f>"  شهرداري بجستان"</f>
        <v xml:space="preserve">  شهرداري بجستان</v>
      </c>
      <c r="Q1856" s="1">
        <v>20</v>
      </c>
      <c r="R1856" s="1" t="str">
        <f>"فروش داخلي - سازمان شهرداري ها و دهياري هاي كشور"</f>
        <v>فروش داخلي - سازمان شهرداري ها و دهياري هاي كشور</v>
      </c>
      <c r="S1856" s="1" t="str">
        <f>"قرارداد فروش"</f>
        <v>قرارداد فروش</v>
      </c>
      <c r="T1856" s="1" t="str">
        <f>"ندارد"</f>
        <v>ندارد</v>
      </c>
      <c r="U1856" s="1" t="str">
        <f>"تعاوني جم گستر (1001 ج 89)"</f>
        <v>تعاوني جم گستر (1001 ج 89)</v>
      </c>
      <c r="V1856" s="1">
        <v>962000276</v>
      </c>
      <c r="W1856" s="1">
        <v>962000276</v>
      </c>
      <c r="X1856" s="1" t="str">
        <f>"1396514467"</f>
        <v>1396514467</v>
      </c>
      <c r="Y1856" s="1" t="str">
        <f>"96/09/12"</f>
        <v>96/09/12</v>
      </c>
      <c r="Z1856" s="1" t="str">
        <f>"37012مرحله دوم"</f>
        <v>37012مرحله دوم</v>
      </c>
      <c r="AA1856" s="1" t="str">
        <f>"شهرداريها"</f>
        <v>شهرداريها</v>
      </c>
      <c r="AB1856" s="1" t="str">
        <f>"96/09/04"</f>
        <v>96/09/04</v>
      </c>
      <c r="AC1856" s="1" t="str">
        <f>"خراسان رضوي"</f>
        <v>خراسان رضوي</v>
      </c>
      <c r="AD1856" s="1" t="str">
        <f>"96/07/03"</f>
        <v>96/07/03</v>
      </c>
      <c r="AE1856" s="1" t="str">
        <f>"اختتام"</f>
        <v>اختتام</v>
      </c>
      <c r="AF1856" s="1" t="str">
        <f>""</f>
        <v/>
      </c>
      <c r="AG1856" s="1" t="str">
        <f>""</f>
        <v/>
      </c>
      <c r="AH1856" s="1" t="str">
        <f>""</f>
        <v/>
      </c>
      <c r="AI1856" s="1" t="str">
        <f>""</f>
        <v/>
      </c>
      <c r="AJ1856" s="1" t="str">
        <f>""</f>
        <v/>
      </c>
      <c r="AK1856" s="1" t="str">
        <f>""</f>
        <v/>
      </c>
    </row>
    <row r="1857" spans="1:37">
      <c r="A1857" s="1">
        <v>105000</v>
      </c>
      <c r="B1857" s="1">
        <v>966200105</v>
      </c>
      <c r="C1857" s="1" t="str">
        <f>"تخليه-جاده اصفهان-تهران-نرسيده به شهر وزوان-سمت راست-کارخانه آسفالت محمدرضا مزروعي"</f>
        <v>تخليه-جاده اصفهان-تهران-نرسيده به شهر وزوان-سمت راست-کارخانه آسفالت محمدرضا مزروعي</v>
      </c>
      <c r="D1857" s="1">
        <v>9204</v>
      </c>
      <c r="E1857" s="1">
        <v>103840</v>
      </c>
      <c r="F1857" s="1">
        <v>96</v>
      </c>
      <c r="G1857" s="1">
        <v>1160</v>
      </c>
      <c r="H1857" s="1" t="str">
        <f>"96/03/03"</f>
        <v>96/03/03</v>
      </c>
      <c r="I1857" s="1" t="str">
        <f>"كيلوگرم"</f>
        <v>كيلوگرم</v>
      </c>
      <c r="J1857" s="1" t="str">
        <f>"0000000076"</f>
        <v>0000000076</v>
      </c>
      <c r="K1857" s="1" t="str">
        <f>"قير 60/70 - فله"</f>
        <v>قير 60/70 - فله</v>
      </c>
      <c r="L1857" s="1">
        <v>100</v>
      </c>
      <c r="M1857" s="1" t="str">
        <f>"مخازن قير اصفهان"</f>
        <v>مخازن قير اصفهان</v>
      </c>
      <c r="N1857" s="1">
        <v>7002</v>
      </c>
      <c r="O1857" s="1">
        <v>50034893</v>
      </c>
      <c r="P1857" s="1" t="str">
        <f>"  راه و ساختمان خاكپي"</f>
        <v xml:space="preserve">  راه و ساختمان خاكپي</v>
      </c>
      <c r="Q1857" s="1">
        <v>62</v>
      </c>
      <c r="R1857" s="1" t="str">
        <f>"فروش داخلي - سازمان بنيادمسكن انقلاب اسلامي"</f>
        <v>فروش داخلي - سازمان بنيادمسكن انقلاب اسلامي</v>
      </c>
      <c r="S1857" s="1" t="str">
        <f>"قرارداد فروش"</f>
        <v>قرارداد فروش</v>
      </c>
      <c r="T1857" s="1" t="str">
        <f>"ندارد"</f>
        <v>ندارد</v>
      </c>
      <c r="U1857" s="1" t="str">
        <f>"ريسماني حسن(1007ج89)"</f>
        <v>ريسماني حسن(1007ج89)</v>
      </c>
      <c r="V1857" s="1">
        <v>966200105</v>
      </c>
      <c r="W1857" s="1">
        <v>966200105</v>
      </c>
      <c r="X1857" s="1" t="str">
        <f>"1396483414"</f>
        <v>1396483414</v>
      </c>
      <c r="Y1857" s="1" t="str">
        <f>"96/03/03"</f>
        <v>96/03/03</v>
      </c>
      <c r="Z1857" s="1" t="str">
        <f>"7610/د"</f>
        <v>7610/د</v>
      </c>
      <c r="AA1857" s="1" t="str">
        <f>"بنيادمسكن انقلاب اسلامي"</f>
        <v>بنيادمسكن انقلاب اسلامي</v>
      </c>
      <c r="AB1857" s="1" t="str">
        <f>"96/02/31"</f>
        <v>96/02/31</v>
      </c>
      <c r="AC1857" s="1" t="str">
        <f>"استان اصفهان"</f>
        <v>استان اصفهان</v>
      </c>
      <c r="AD1857" s="1" t="str">
        <f>"96/03/03"</f>
        <v>96/03/03</v>
      </c>
      <c r="AE1857" s="1" t="str">
        <f>"اختتام"</f>
        <v>اختتام</v>
      </c>
      <c r="AF1857" s="1" t="str">
        <f>""</f>
        <v/>
      </c>
      <c r="AG1857" s="1" t="str">
        <f>""</f>
        <v/>
      </c>
      <c r="AH1857" s="1" t="str">
        <f>""</f>
        <v/>
      </c>
      <c r="AI1857" s="1" t="str">
        <f>""</f>
        <v/>
      </c>
      <c r="AJ1857" s="1" t="str">
        <f>""</f>
        <v/>
      </c>
      <c r="AK1857" s="1" t="str">
        <f>""</f>
        <v/>
      </c>
    </row>
    <row r="1858" spans="1:37">
      <c r="A1858" s="1">
        <v>100000</v>
      </c>
      <c r="B1858" s="1">
        <v>966300005</v>
      </c>
      <c r="C1858" s="1" t="str">
        <f>"اصفهان شهرک صنعتي مورچه خورت خ بوعلي انتهاي بوعلي پلاک 503"</f>
        <v>اصفهان شهرک صنعتي مورچه خورت خ بوعلي انتهاي بوعلي پلاک 503</v>
      </c>
      <c r="D1858" s="1">
        <v>9113</v>
      </c>
      <c r="E1858" s="1">
        <v>100000</v>
      </c>
      <c r="F1858" s="1">
        <v>96</v>
      </c>
      <c r="G1858" s="1">
        <v>0</v>
      </c>
      <c r="H1858" s="1" t="str">
        <f>"96/07/29"</f>
        <v>96/07/29</v>
      </c>
      <c r="I1858" s="1" t="str">
        <f>"كيلوگرم"</f>
        <v>كيلوگرم</v>
      </c>
      <c r="J1858" s="1" t="str">
        <f>"0000000076"</f>
        <v>0000000076</v>
      </c>
      <c r="K1858" s="1" t="str">
        <f>"قير 60/70 - فله"</f>
        <v>قير 60/70 - فله</v>
      </c>
      <c r="L1858" s="1">
        <v>100</v>
      </c>
      <c r="M1858" s="1" t="str">
        <f>"مخازن قير اصفهان"</f>
        <v>مخازن قير اصفهان</v>
      </c>
      <c r="N1858" s="1">
        <v>7056</v>
      </c>
      <c r="O1858" s="1">
        <v>50036855</v>
      </c>
      <c r="P1858" s="1" t="str">
        <f>"  عايق بام سايبان"</f>
        <v xml:space="preserve">  عايق بام سايبان</v>
      </c>
      <c r="Q1858" s="1">
        <v>63</v>
      </c>
      <c r="R1858" s="1" t="str">
        <f>"سازمان نوسازي،توسعه و تجهيز مدارس كشور"</f>
        <v>سازمان نوسازي،توسعه و تجهيز مدارس كشور</v>
      </c>
      <c r="S1858" s="1" t="str">
        <f>"قرارداد فروش"</f>
        <v>قرارداد فروش</v>
      </c>
      <c r="T1858" s="1" t="str">
        <f>"ندارد"</f>
        <v>ندارد</v>
      </c>
      <c r="U1858" s="1" t="str">
        <f>"اسماعيلي پور امين (1013ج89)"</f>
        <v>اسماعيلي پور امين (1013ج89)</v>
      </c>
      <c r="V1858" s="1">
        <v>966300005</v>
      </c>
      <c r="W1858" s="1">
        <v>966300005</v>
      </c>
      <c r="X1858" s="1" t="str">
        <f>"1396520115"</f>
        <v>1396520115</v>
      </c>
      <c r="Y1858" s="1" t="str">
        <f>"96/07/29"</f>
        <v>96/07/29</v>
      </c>
      <c r="Z1858" s="1" t="str">
        <f>"3-96/424-19673"</f>
        <v>3-96/424-19673</v>
      </c>
      <c r="AA1858" s="1" t="str">
        <f>"سازمان نوسازي توسعه وتجهيزمدارس كشور"</f>
        <v>سازمان نوسازي توسعه وتجهيزمدارس كشور</v>
      </c>
      <c r="AB1858" s="1" t="str">
        <f>"96/07/24"</f>
        <v>96/07/24</v>
      </c>
      <c r="AC1858" s="1" t="str">
        <f>"استان اصفهان"</f>
        <v>استان اصفهان</v>
      </c>
      <c r="AD1858" s="1" t="str">
        <f>"96/07/29"</f>
        <v>96/07/29</v>
      </c>
      <c r="AE1858" s="1" t="str">
        <f>"اختتام"</f>
        <v>اختتام</v>
      </c>
      <c r="AF1858" s="1" t="str">
        <f>""</f>
        <v/>
      </c>
      <c r="AG1858" s="1" t="str">
        <f>""</f>
        <v/>
      </c>
      <c r="AH1858" s="1" t="str">
        <f>""</f>
        <v/>
      </c>
      <c r="AI1858" s="1" t="str">
        <f>""</f>
        <v/>
      </c>
      <c r="AJ1858" s="1" t="str">
        <f>""</f>
        <v/>
      </c>
      <c r="AK1858" s="1" t="str">
        <f>""</f>
        <v/>
      </c>
    </row>
    <row r="1859" spans="1:37">
      <c r="A1859" s="1">
        <v>125000</v>
      </c>
      <c r="B1859" s="1">
        <v>966300070</v>
      </c>
      <c r="C1859" s="1" t="str">
        <f>"اصفهان شهرک صنعتي مورچه خورت خ بوعلي انتهاي بوعلي پلاک 503"</f>
        <v>اصفهان شهرک صنعتي مورچه خورت خ بوعلي انتهاي بوعلي پلاک 503</v>
      </c>
      <c r="D1859" s="1">
        <v>13350</v>
      </c>
      <c r="E1859" s="1">
        <v>121000</v>
      </c>
      <c r="F1859" s="1">
        <v>96</v>
      </c>
      <c r="G1859" s="1">
        <v>4000</v>
      </c>
      <c r="H1859" s="1" t="str">
        <f>"96/12/07"</f>
        <v>96/12/07</v>
      </c>
      <c r="I1859" s="1" t="str">
        <f>"كيلوگرم"</f>
        <v>كيلوگرم</v>
      </c>
      <c r="J1859" s="1" t="str">
        <f>"0000000076"</f>
        <v>0000000076</v>
      </c>
      <c r="K1859" s="1" t="str">
        <f>"قير 60/70 - فله"</f>
        <v>قير 60/70 - فله</v>
      </c>
      <c r="L1859" s="1">
        <v>100</v>
      </c>
      <c r="M1859" s="1" t="str">
        <f>"مخازن قير اصفهان"</f>
        <v>مخازن قير اصفهان</v>
      </c>
      <c r="N1859" s="1">
        <v>7056</v>
      </c>
      <c r="O1859" s="1">
        <v>50038632</v>
      </c>
      <c r="P1859" s="1" t="str">
        <f>"  عايق بام سايبان"</f>
        <v xml:space="preserve">  عايق بام سايبان</v>
      </c>
      <c r="Q1859" s="1">
        <v>63</v>
      </c>
      <c r="R1859" s="1" t="str">
        <f>"سازمان نوسازي،توسعه و تجهيز مدارس كشور"</f>
        <v>سازمان نوسازي،توسعه و تجهيز مدارس كشور</v>
      </c>
      <c r="S1859" s="1" t="str">
        <f>"قرارداد فروش"</f>
        <v>قرارداد فروش</v>
      </c>
      <c r="T1859" s="1" t="str">
        <f>"ندارد"</f>
        <v>ندارد</v>
      </c>
      <c r="U1859" s="1" t="str">
        <f>"اسماعيلي پور امين (1013ج89)"</f>
        <v>اسماعيلي پور امين (1013ج89)</v>
      </c>
      <c r="V1859" s="1">
        <v>966300070</v>
      </c>
      <c r="W1859" s="1">
        <v>966300070</v>
      </c>
      <c r="X1859" s="1" t="str">
        <f>"1396550587"</f>
        <v>1396550587</v>
      </c>
      <c r="Y1859" s="1" t="str">
        <f>"96/12/07"</f>
        <v>96/12/07</v>
      </c>
      <c r="Z1859" s="1" t="str">
        <f>"3-96/422-31885"</f>
        <v>3-96/422-31885</v>
      </c>
      <c r="AA1859" s="1" t="str">
        <f>"سازمان نوسازي توسعه وتجهيزمدارس كشور"</f>
        <v>سازمان نوسازي توسعه وتجهيزمدارس كشور</v>
      </c>
      <c r="AB1859" s="1" t="str">
        <f>"96/11/29"</f>
        <v>96/11/29</v>
      </c>
      <c r="AC1859" s="1" t="str">
        <f>"استان اصفهان"</f>
        <v>استان اصفهان</v>
      </c>
      <c r="AD1859" s="1" t="str">
        <f>"96/12/07"</f>
        <v>96/12/07</v>
      </c>
      <c r="AE1859" s="1" t="str">
        <f>"اختتام"</f>
        <v>اختتام</v>
      </c>
      <c r="AF1859" s="1" t="str">
        <f>""</f>
        <v/>
      </c>
      <c r="AG1859" s="1" t="str">
        <f>""</f>
        <v/>
      </c>
      <c r="AH1859" s="1" t="str">
        <f>""</f>
        <v/>
      </c>
      <c r="AI1859" s="1" t="str">
        <f>""</f>
        <v/>
      </c>
      <c r="AJ1859" s="1" t="str">
        <f>""</f>
        <v/>
      </c>
      <c r="AK1859" s="1" t="str">
        <f>""</f>
        <v/>
      </c>
    </row>
    <row r="1860" spans="1:37">
      <c r="A1860" s="1">
        <v>16000</v>
      </c>
      <c r="B1860" s="1">
        <v>961100015</v>
      </c>
      <c r="C1860" s="1" t="str">
        <f>"تخليه -اصفهان جاده دولت آباد خيابان اكباتان"</f>
        <v>تخليه -اصفهان جاده دولت آباد خيابان اكباتان</v>
      </c>
      <c r="D1860" s="1">
        <v>8918</v>
      </c>
      <c r="E1860" s="1">
        <v>16000</v>
      </c>
      <c r="F1860" s="1">
        <v>96</v>
      </c>
      <c r="G1860" s="1">
        <v>0</v>
      </c>
      <c r="H1860" s="1" t="str">
        <f>"96/02/17"</f>
        <v>96/02/17</v>
      </c>
      <c r="I1860" s="1" t="str">
        <f>"كيلوگرم"</f>
        <v>كيلوگرم</v>
      </c>
      <c r="J1860" s="1" t="str">
        <f>"0000000076"</f>
        <v>0000000076</v>
      </c>
      <c r="K1860" s="1" t="str">
        <f>"قير 60/70 - فله"</f>
        <v>قير 60/70 - فله</v>
      </c>
      <c r="L1860" s="1">
        <v>100</v>
      </c>
      <c r="M1860" s="1" t="str">
        <f>"مخازن قير اصفهان"</f>
        <v>مخازن قير اصفهان</v>
      </c>
      <c r="N1860" s="1">
        <v>7078</v>
      </c>
      <c r="O1860" s="1">
        <v>50034782</v>
      </c>
      <c r="P1860" s="1" t="str">
        <f>"  آينده شيمي اصفهان"</f>
        <v xml:space="preserve">  آينده شيمي اصفهان</v>
      </c>
      <c r="Q1860" s="1">
        <v>11</v>
      </c>
      <c r="R1860" s="1" t="str">
        <f>"فروش داخلي تهران - بورس"</f>
        <v>فروش داخلي تهران - بورس</v>
      </c>
      <c r="S1860" s="1" t="str">
        <f>"قرارداد فروش"</f>
        <v>قرارداد فروش</v>
      </c>
      <c r="T1860" s="1" t="str">
        <f>"ندارد"</f>
        <v>ندارد</v>
      </c>
      <c r="U1860" s="1" t="str">
        <f>"تعاوني جم گستر (1001 ج 89)"</f>
        <v>تعاوني جم گستر (1001 ج 89)</v>
      </c>
      <c r="V1860" s="1">
        <v>961100015</v>
      </c>
      <c r="W1860" s="1">
        <v>961100015</v>
      </c>
      <c r="X1860" s="1" t="str">
        <f>"1396478791"</f>
        <v>1396478791</v>
      </c>
      <c r="Y1860" s="1" t="str">
        <f>"96/02/16"</f>
        <v>96/02/16</v>
      </c>
      <c r="Z1860" s="1" t="str">
        <f>"96/12"</f>
        <v>96/12</v>
      </c>
      <c r="AA1860" s="1" t="str">
        <f>"عايق كاران"</f>
        <v>عايق كاران</v>
      </c>
      <c r="AB1860" s="1" t="str">
        <f>"96/02/13"</f>
        <v>96/02/13</v>
      </c>
      <c r="AC1860" s="1" t="str">
        <f>"استان اصفهان"</f>
        <v>استان اصفهان</v>
      </c>
      <c r="AD1860" s="1" t="str">
        <f>"96/02/13"</f>
        <v>96/02/13</v>
      </c>
      <c r="AE1860" s="1" t="str">
        <f>"اختتام"</f>
        <v>اختتام</v>
      </c>
      <c r="AF1860" s="1" t="str">
        <f>""</f>
        <v/>
      </c>
      <c r="AG1860" s="1" t="str">
        <f>""</f>
        <v/>
      </c>
      <c r="AH1860" s="1" t="str">
        <f>""</f>
        <v/>
      </c>
      <c r="AI1860" s="1" t="str">
        <f>""</f>
        <v/>
      </c>
      <c r="AJ1860" s="1" t="str">
        <f>""</f>
        <v/>
      </c>
      <c r="AK1860" s="1" t="str">
        <f>""</f>
        <v/>
      </c>
    </row>
    <row r="1861" spans="1:37">
      <c r="A1861" s="1">
        <v>160000</v>
      </c>
      <c r="B1861" s="1">
        <v>961100079</v>
      </c>
      <c r="C1861" s="1" t="str">
        <f>"تخليه -كيلومتر20اول جاده بويين زهرا-رنگرز-شركت ساوه شن"</f>
        <v>تخليه -كيلومتر20اول جاده بويين زهرا-رنگرز-شركت ساوه شن</v>
      </c>
      <c r="D1861" s="1">
        <v>9113</v>
      </c>
      <c r="E1861" s="1">
        <v>160000</v>
      </c>
      <c r="F1861" s="1">
        <v>96</v>
      </c>
      <c r="G1861" s="1">
        <v>0</v>
      </c>
      <c r="H1861" s="1" t="str">
        <f>"96/07/22"</f>
        <v>96/07/22</v>
      </c>
      <c r="I1861" s="1" t="str">
        <f>"كيلوگرم"</f>
        <v>كيلوگرم</v>
      </c>
      <c r="J1861" s="1" t="str">
        <f>"0000000076"</f>
        <v>0000000076</v>
      </c>
      <c r="K1861" s="1" t="str">
        <f>"قير 60/70 - فله"</f>
        <v>قير 60/70 - فله</v>
      </c>
      <c r="L1861" s="1">
        <v>100</v>
      </c>
      <c r="M1861" s="1" t="str">
        <f>"مخازن قير اصفهان"</f>
        <v>مخازن قير اصفهان</v>
      </c>
      <c r="N1861" s="1">
        <v>7117</v>
      </c>
      <c r="O1861" s="1">
        <v>50036701</v>
      </c>
      <c r="P1861" s="1" t="str">
        <f>"  ساوه شن"</f>
        <v xml:space="preserve">  ساوه شن</v>
      </c>
      <c r="Q1861" s="1">
        <v>11</v>
      </c>
      <c r="R1861" s="1" t="str">
        <f>"فروش داخلي تهران - بورس"</f>
        <v>فروش داخلي تهران - بورس</v>
      </c>
      <c r="S1861" s="1" t="str">
        <f>"قرارداد فروش"</f>
        <v>قرارداد فروش</v>
      </c>
      <c r="T1861" s="1" t="str">
        <f>"ندارد"</f>
        <v>ندارد</v>
      </c>
      <c r="U1861" s="1" t="str">
        <f>"اميري علي(2842011)"</f>
        <v>اميري علي(2842011)</v>
      </c>
      <c r="V1861" s="1">
        <v>961100079</v>
      </c>
      <c r="W1861" s="1">
        <v>961100079</v>
      </c>
      <c r="X1861" s="1" t="str">
        <f>"1396517666"</f>
        <v>1396517666</v>
      </c>
      <c r="Y1861" s="1" t="str">
        <f>"96/07/20"</f>
        <v>96/07/20</v>
      </c>
      <c r="Z1861" s="1" t="str">
        <f>"96-36358"</f>
        <v>96-36358</v>
      </c>
      <c r="AA1861" s="1" t="str">
        <f>"راه سازي"</f>
        <v>راه سازي</v>
      </c>
      <c r="AB1861" s="1" t="str">
        <f>"96/07/19"</f>
        <v>96/07/19</v>
      </c>
      <c r="AC1861" s="1" t="str">
        <f>"استان مركزي"</f>
        <v>استان مركزي</v>
      </c>
      <c r="AD1861" s="1" t="str">
        <f>"96/07/18"</f>
        <v>96/07/18</v>
      </c>
      <c r="AE1861" s="1" t="str">
        <f>"اختتام"</f>
        <v>اختتام</v>
      </c>
      <c r="AF1861" s="1" t="str">
        <f>""</f>
        <v/>
      </c>
      <c r="AG1861" s="1" t="str">
        <f>""</f>
        <v/>
      </c>
      <c r="AH1861" s="1" t="str">
        <f>""</f>
        <v/>
      </c>
      <c r="AI1861" s="1" t="str">
        <f>""</f>
        <v/>
      </c>
      <c r="AJ1861" s="1" t="str">
        <f>""</f>
        <v/>
      </c>
      <c r="AK1861" s="1" t="str">
        <f>""</f>
        <v/>
      </c>
    </row>
    <row r="1862" spans="1:37">
      <c r="A1862" s="1">
        <v>50000</v>
      </c>
      <c r="B1862" s="1">
        <v>961100094</v>
      </c>
      <c r="C1862" s="1" t="str">
        <f>"تخليه -كيلومتر20اول جاده بويين زهرا-رنگرز-شركت ساوه شن"</f>
        <v>تخليه -كيلومتر20اول جاده بويين زهرا-رنگرز-شركت ساوه شن</v>
      </c>
      <c r="D1862" s="1">
        <v>9416</v>
      </c>
      <c r="E1862" s="1">
        <v>48060</v>
      </c>
      <c r="F1862" s="1">
        <v>96</v>
      </c>
      <c r="G1862" s="1">
        <v>1940</v>
      </c>
      <c r="H1862" s="1" t="str">
        <f>"96/08/21"</f>
        <v>96/08/21</v>
      </c>
      <c r="I1862" s="1" t="str">
        <f>"كيلوگرم"</f>
        <v>كيلوگرم</v>
      </c>
      <c r="J1862" s="1" t="str">
        <f>"0000000076"</f>
        <v>0000000076</v>
      </c>
      <c r="K1862" s="1" t="str">
        <f>"قير 60/70 - فله"</f>
        <v>قير 60/70 - فله</v>
      </c>
      <c r="L1862" s="1">
        <v>100</v>
      </c>
      <c r="M1862" s="1" t="str">
        <f>"مخازن قير اصفهان"</f>
        <v>مخازن قير اصفهان</v>
      </c>
      <c r="N1862" s="1">
        <v>7117</v>
      </c>
      <c r="O1862" s="1">
        <v>50037182</v>
      </c>
      <c r="P1862" s="1" t="str">
        <f>"  ساوه شن"</f>
        <v xml:space="preserve">  ساوه شن</v>
      </c>
      <c r="Q1862" s="1">
        <v>11</v>
      </c>
      <c r="R1862" s="1" t="str">
        <f>"فروش داخلي تهران - بورس"</f>
        <v>فروش داخلي تهران - بورس</v>
      </c>
      <c r="S1862" s="1" t="str">
        <f>"قرارداد فروش"</f>
        <v>قرارداد فروش</v>
      </c>
      <c r="T1862" s="1" t="str">
        <f>"ندارد"</f>
        <v>ندارد</v>
      </c>
      <c r="U1862" s="1" t="str">
        <f>"اميري علي(2842011)"</f>
        <v>اميري علي(2842011)</v>
      </c>
      <c r="V1862" s="1">
        <v>961100094</v>
      </c>
      <c r="W1862" s="1">
        <v>961100094</v>
      </c>
      <c r="X1862" s="1" t="str">
        <f>"1396524776"</f>
        <v>1396524776</v>
      </c>
      <c r="Y1862" s="1" t="str">
        <f>"96/08/20"</f>
        <v>96/08/20</v>
      </c>
      <c r="Z1862" s="1" t="str">
        <f>"96-36572"</f>
        <v>96-36572</v>
      </c>
      <c r="AA1862" s="1" t="str">
        <f>"راه سازي"</f>
        <v>راه سازي</v>
      </c>
      <c r="AB1862" s="1" t="str">
        <f>"96/08/20"</f>
        <v>96/08/20</v>
      </c>
      <c r="AC1862" s="1" t="str">
        <f>"استان مركزي"</f>
        <v>استان مركزي</v>
      </c>
      <c r="AD1862" s="1" t="str">
        <f>"96/08/17"</f>
        <v>96/08/17</v>
      </c>
      <c r="AE1862" s="1" t="str">
        <f>"اختتام"</f>
        <v>اختتام</v>
      </c>
      <c r="AF1862" s="1" t="str">
        <f>""</f>
        <v/>
      </c>
      <c r="AG1862" s="1" t="str">
        <f>""</f>
        <v/>
      </c>
      <c r="AH1862" s="1" t="str">
        <f>""</f>
        <v/>
      </c>
      <c r="AI1862" s="1" t="str">
        <f>""</f>
        <v/>
      </c>
      <c r="AJ1862" s="1" t="str">
        <f>""</f>
        <v/>
      </c>
      <c r="AK1862" s="1" t="str">
        <f>""</f>
        <v/>
      </c>
    </row>
    <row r="1863" spans="1:37">
      <c r="A1863" s="1">
        <v>55738</v>
      </c>
      <c r="B1863" s="1">
        <v>962000339</v>
      </c>
      <c r="C1863" s="1" t="str">
        <f>"تخليه -خراسان جنوبي -كيلومتر5جاده فردوس -سرايان كارخانه آسفالت شهرداري سرايان"</f>
        <v>تخليه -خراسان جنوبي -كيلومتر5جاده فردوس -سرايان كارخانه آسفالت شهرداري سرايان</v>
      </c>
      <c r="D1863" s="1">
        <v>12820</v>
      </c>
      <c r="E1863" s="1">
        <v>55077</v>
      </c>
      <c r="F1863" s="1">
        <v>96</v>
      </c>
      <c r="G1863" s="1">
        <v>661</v>
      </c>
      <c r="H1863" s="1" t="str">
        <f>"96/09/14"</f>
        <v>96/09/14</v>
      </c>
      <c r="I1863" s="1" t="str">
        <f>"كيلوگرم"</f>
        <v>كيلوگرم</v>
      </c>
      <c r="J1863" s="1" t="str">
        <f>"0000000076"</f>
        <v>0000000076</v>
      </c>
      <c r="K1863" s="1" t="str">
        <f>"قير 60/70 - فله"</f>
        <v>قير 60/70 - فله</v>
      </c>
      <c r="L1863" s="1">
        <v>100</v>
      </c>
      <c r="M1863" s="1" t="str">
        <f>"مخازن قير اصفهان"</f>
        <v>مخازن قير اصفهان</v>
      </c>
      <c r="N1863" s="1">
        <v>7170</v>
      </c>
      <c r="O1863" s="1">
        <v>50037590</v>
      </c>
      <c r="P1863" s="1" t="str">
        <f>"  شهرداري سرايان"</f>
        <v xml:space="preserve">  شهرداري سرايان</v>
      </c>
      <c r="Q1863" s="1">
        <v>20</v>
      </c>
      <c r="R1863" s="1" t="str">
        <f>"فروش داخلي - سازمان شهرداري ها و دهياري هاي كشور"</f>
        <v>فروش داخلي - سازمان شهرداري ها و دهياري هاي كشور</v>
      </c>
      <c r="S1863" s="1" t="str">
        <f>"قرارداد فروش"</f>
        <v>قرارداد فروش</v>
      </c>
      <c r="T1863" s="1" t="str">
        <f>"ندارد"</f>
        <v>ندارد</v>
      </c>
      <c r="U1863" s="1" t="str">
        <f>"تعاوني جم گستر (1001 ج 89)"</f>
        <v>تعاوني جم گستر (1001 ج 89)</v>
      </c>
      <c r="V1863" s="1">
        <v>962000339</v>
      </c>
      <c r="W1863" s="1">
        <v>962000339</v>
      </c>
      <c r="X1863" s="1" t="str">
        <f>"1396529711"</f>
        <v>1396529711</v>
      </c>
      <c r="Y1863" s="1" t="str">
        <f>"96/09/13"</f>
        <v>96/09/13</v>
      </c>
      <c r="Z1863" s="1" t="str">
        <f>"37084مرحله دوم"</f>
        <v>37084مرحله دوم</v>
      </c>
      <c r="AA1863" s="1" t="str">
        <f>"شهرداريها"</f>
        <v>شهرداريها</v>
      </c>
      <c r="AB1863" s="1" t="str">
        <f>"96/09/04"</f>
        <v>96/09/04</v>
      </c>
      <c r="AC1863" s="1" t="str">
        <f>"خراسان جنوبي"</f>
        <v>خراسان جنوبي</v>
      </c>
      <c r="AD1863" s="1" t="str">
        <f>"96/09/13"</f>
        <v>96/09/13</v>
      </c>
      <c r="AE1863" s="1" t="str">
        <f>"اختتام"</f>
        <v>اختتام</v>
      </c>
      <c r="AF1863" s="1" t="str">
        <f>""</f>
        <v/>
      </c>
      <c r="AG1863" s="1" t="str">
        <f>""</f>
        <v/>
      </c>
      <c r="AH1863" s="1" t="str">
        <f>""</f>
        <v/>
      </c>
      <c r="AI1863" s="1" t="str">
        <f>""</f>
        <v/>
      </c>
      <c r="AJ1863" s="1" t="str">
        <f>""</f>
        <v/>
      </c>
      <c r="AK1863" s="1" t="str">
        <f>""</f>
        <v/>
      </c>
    </row>
    <row r="1864" spans="1:37">
      <c r="A1864" s="1">
        <v>250000</v>
      </c>
      <c r="B1864" s="1">
        <v>966200014</v>
      </c>
      <c r="C1864" s="1" t="str">
        <f>"تخليه -اصفهان - كاشان - كيلومتر 19محور كاشان - قم شركت درم"</f>
        <v>تخليه -اصفهان - كاشان - كيلومتر 19محور كاشان - قم شركت درم</v>
      </c>
      <c r="D1864" s="1">
        <v>8198</v>
      </c>
      <c r="E1864" s="1">
        <v>248820</v>
      </c>
      <c r="F1864" s="1">
        <v>96</v>
      </c>
      <c r="G1864" s="1">
        <v>1180</v>
      </c>
      <c r="H1864" s="1" t="str">
        <f>"96/01/21"</f>
        <v>96/01/21</v>
      </c>
      <c r="I1864" s="1" t="str">
        <f>"كيلوگرم"</f>
        <v>كيلوگرم</v>
      </c>
      <c r="J1864" s="1" t="str">
        <f>"0000000076"</f>
        <v>0000000076</v>
      </c>
      <c r="K1864" s="1" t="str">
        <f>"قير 60/70 - فله"</f>
        <v>قير 60/70 - فله</v>
      </c>
      <c r="L1864" s="1">
        <v>100</v>
      </c>
      <c r="M1864" s="1" t="str">
        <f>"مخازن قير اصفهان"</f>
        <v>مخازن قير اصفهان</v>
      </c>
      <c r="N1864" s="1">
        <v>8073</v>
      </c>
      <c r="O1864" s="1">
        <v>50034474</v>
      </c>
      <c r="P1864" s="1" t="str">
        <f>"  درم"</f>
        <v xml:space="preserve">  درم</v>
      </c>
      <c r="Q1864" s="1">
        <v>62</v>
      </c>
      <c r="R1864" s="1" t="str">
        <f>"فروش داخلي - سازمان بنيادمسكن انقلاب اسلامي"</f>
        <v>فروش داخلي - سازمان بنيادمسكن انقلاب اسلامي</v>
      </c>
      <c r="S1864" s="1" t="str">
        <f>"قرارداد فروش"</f>
        <v>قرارداد فروش</v>
      </c>
      <c r="T1864" s="1" t="str">
        <f>"ندارد"</f>
        <v>ندارد</v>
      </c>
      <c r="U1864" s="1" t="str">
        <f>"كبيري رحمت اله(1024ج89)"</f>
        <v>كبيري رحمت اله(1024ج89)</v>
      </c>
      <c r="V1864" s="1">
        <v>966200014</v>
      </c>
      <c r="W1864" s="1">
        <v>966200014</v>
      </c>
      <c r="X1864" s="1" t="str">
        <f>"1396472723"</f>
        <v>1396472723</v>
      </c>
      <c r="Y1864" s="1" t="str">
        <f>"96/01/21"</f>
        <v>96/01/21</v>
      </c>
      <c r="Z1864" s="1" t="str">
        <f>"1087/د"</f>
        <v>1087/د</v>
      </c>
      <c r="AA1864" s="1" t="str">
        <f>"بنيادمسكن انقلاب اسلامي"</f>
        <v>بنيادمسكن انقلاب اسلامي</v>
      </c>
      <c r="AB1864" s="1" t="str">
        <f>"96/01/19"</f>
        <v>96/01/19</v>
      </c>
      <c r="AC1864" s="1" t="str">
        <f>"استان اصفهان"</f>
        <v>استان اصفهان</v>
      </c>
      <c r="AD1864" s="1" t="str">
        <f>"96/01/20"</f>
        <v>96/01/20</v>
      </c>
      <c r="AE1864" s="1" t="str">
        <f>"اختتام"</f>
        <v>اختتام</v>
      </c>
      <c r="AF1864" s="1" t="str">
        <f>""</f>
        <v/>
      </c>
      <c r="AG1864" s="1" t="str">
        <f>""</f>
        <v/>
      </c>
      <c r="AH1864" s="1" t="str">
        <f>""</f>
        <v/>
      </c>
      <c r="AI1864" s="1" t="str">
        <f>""</f>
        <v/>
      </c>
      <c r="AJ1864" s="1" t="str">
        <f>""</f>
        <v/>
      </c>
      <c r="AK1864" s="1" t="str">
        <f>""</f>
        <v/>
      </c>
    </row>
    <row r="1865" spans="1:37">
      <c r="A1865" s="1">
        <v>288000</v>
      </c>
      <c r="B1865" s="1">
        <v>966200404</v>
      </c>
      <c r="C1865" s="1" t="str">
        <f>"تخليه -اصفهان - كاشان - كيلومتر 19محور كاشان - قم شركت درم"</f>
        <v>تخليه -اصفهان - كاشان - كيلومتر 19محور كاشان - قم شركت درم</v>
      </c>
      <c r="D1865" s="1">
        <v>12820</v>
      </c>
      <c r="E1865" s="1">
        <v>287400</v>
      </c>
      <c r="F1865" s="1">
        <v>96</v>
      </c>
      <c r="G1865" s="1">
        <v>600</v>
      </c>
      <c r="H1865" s="1" t="str">
        <f>"96/09/08"</f>
        <v>96/09/08</v>
      </c>
      <c r="I1865" s="1" t="str">
        <f>"كيلوگرم"</f>
        <v>كيلوگرم</v>
      </c>
      <c r="J1865" s="1" t="str">
        <f>"0000000076"</f>
        <v>0000000076</v>
      </c>
      <c r="K1865" s="1" t="str">
        <f>"قير 60/70 - فله"</f>
        <v>قير 60/70 - فله</v>
      </c>
      <c r="L1865" s="1">
        <v>100</v>
      </c>
      <c r="M1865" s="1" t="str">
        <f>"مخازن قير اصفهان"</f>
        <v>مخازن قير اصفهان</v>
      </c>
      <c r="N1865" s="1">
        <v>8073</v>
      </c>
      <c r="O1865" s="1">
        <v>50037368</v>
      </c>
      <c r="P1865" s="1" t="str">
        <f>"  درم"</f>
        <v xml:space="preserve">  درم</v>
      </c>
      <c r="Q1865" s="1">
        <v>62</v>
      </c>
      <c r="R1865" s="1" t="str">
        <f>"فروش داخلي - سازمان بنيادمسكن انقلاب اسلامي"</f>
        <v>فروش داخلي - سازمان بنيادمسكن انقلاب اسلامي</v>
      </c>
      <c r="S1865" s="1" t="str">
        <f>"قرارداد فروش"</f>
        <v>قرارداد فروش</v>
      </c>
      <c r="T1865" s="1" t="str">
        <f>"ندارد"</f>
        <v>ندارد</v>
      </c>
      <c r="U1865" s="1" t="str">
        <f>"كبيري رحمت اله(1024ج89)"</f>
        <v>كبيري رحمت اله(1024ج89)</v>
      </c>
      <c r="V1865" s="1">
        <v>966200404</v>
      </c>
      <c r="W1865" s="1">
        <v>966200404</v>
      </c>
      <c r="X1865" s="1" t="str">
        <f>"1396529172"</f>
        <v>1396529172</v>
      </c>
      <c r="Y1865" s="1" t="str">
        <f>"96/09/08"</f>
        <v>96/09/08</v>
      </c>
      <c r="Z1865" s="1" t="str">
        <f>"37749/د"</f>
        <v>37749/د</v>
      </c>
      <c r="AA1865" s="1" t="str">
        <f>"بنيادمسكن انقلاب اسلامي"</f>
        <v>بنيادمسكن انقلاب اسلامي</v>
      </c>
      <c r="AB1865" s="1" t="str">
        <f>"96/08/23"</f>
        <v>96/08/23</v>
      </c>
      <c r="AC1865" s="1" t="str">
        <f>"استان اصفهان"</f>
        <v>استان اصفهان</v>
      </c>
      <c r="AD1865" s="1" t="str">
        <f>"96/09/08"</f>
        <v>96/09/08</v>
      </c>
      <c r="AE1865" s="1" t="str">
        <f>"اختتام"</f>
        <v>اختتام</v>
      </c>
      <c r="AF1865" s="1" t="str">
        <f>""</f>
        <v/>
      </c>
      <c r="AG1865" s="1" t="str">
        <f>""</f>
        <v/>
      </c>
      <c r="AH1865" s="1" t="str">
        <f>""</f>
        <v/>
      </c>
      <c r="AI1865" s="1" t="str">
        <f>""</f>
        <v/>
      </c>
      <c r="AJ1865" s="1" t="str">
        <f>""</f>
        <v/>
      </c>
      <c r="AK1865" s="1" t="str">
        <f>""</f>
        <v/>
      </c>
    </row>
    <row r="1866" spans="1:37">
      <c r="A1866" s="1">
        <v>190000</v>
      </c>
      <c r="B1866" s="1">
        <v>966200683</v>
      </c>
      <c r="C1866" s="1" t="str">
        <f>"تخليه -اصفهان - كاشان - كيلومتر 19محور كاشان - قم شركت درم"</f>
        <v>تخليه -اصفهان - كاشان - كيلومتر 19محور كاشان - قم شركت درم</v>
      </c>
      <c r="D1866" s="1">
        <v>13350</v>
      </c>
      <c r="E1866" s="1">
        <v>189880</v>
      </c>
      <c r="F1866" s="1">
        <v>96</v>
      </c>
      <c r="G1866" s="1">
        <v>120</v>
      </c>
      <c r="H1866" s="1" t="str">
        <f>"96/12/20"</f>
        <v>96/12/20</v>
      </c>
      <c r="I1866" s="1" t="str">
        <f>"كيلوگرم"</f>
        <v>كيلوگرم</v>
      </c>
      <c r="J1866" s="1" t="str">
        <f>"0000000076"</f>
        <v>0000000076</v>
      </c>
      <c r="K1866" s="1" t="str">
        <f>"قير 60/70 - فله"</f>
        <v>قير 60/70 - فله</v>
      </c>
      <c r="L1866" s="1">
        <v>100</v>
      </c>
      <c r="M1866" s="1" t="str">
        <f>"مخازن قير اصفهان"</f>
        <v>مخازن قير اصفهان</v>
      </c>
      <c r="N1866" s="1">
        <v>8073</v>
      </c>
      <c r="O1866" s="1">
        <v>50038875</v>
      </c>
      <c r="P1866" s="1" t="str">
        <f>"  درم"</f>
        <v xml:space="preserve">  درم</v>
      </c>
      <c r="Q1866" s="1">
        <v>62</v>
      </c>
      <c r="R1866" s="1" t="str">
        <f>"فروش داخلي - سازمان بنيادمسكن انقلاب اسلامي"</f>
        <v>فروش داخلي - سازمان بنيادمسكن انقلاب اسلامي</v>
      </c>
      <c r="S1866" s="1" t="str">
        <f>"قرارداد فروش"</f>
        <v>قرارداد فروش</v>
      </c>
      <c r="T1866" s="1" t="str">
        <f>"ندارد"</f>
        <v>ندارد</v>
      </c>
      <c r="U1866" s="1" t="str">
        <f>"كبيري رحمت اله(1024ج89)"</f>
        <v>كبيري رحمت اله(1024ج89)</v>
      </c>
      <c r="V1866" s="1">
        <v>966200683</v>
      </c>
      <c r="W1866" s="1">
        <v>966200683</v>
      </c>
      <c r="X1866" s="1" t="str">
        <f>"1396553921"</f>
        <v>1396553921</v>
      </c>
      <c r="Y1866" s="1" t="str">
        <f>"96/12/20"</f>
        <v>96/12/20</v>
      </c>
      <c r="Z1866" s="1" t="str">
        <f>"58145/د"</f>
        <v>58145/د</v>
      </c>
      <c r="AA1866" s="1" t="str">
        <f>"بنيادمسكن انقلاب اسلامي"</f>
        <v>بنيادمسكن انقلاب اسلامي</v>
      </c>
      <c r="AB1866" s="1" t="str">
        <f>"96/12/19"</f>
        <v>96/12/19</v>
      </c>
      <c r="AC1866" s="1" t="str">
        <f>"استان اصفهان"</f>
        <v>استان اصفهان</v>
      </c>
      <c r="AD1866" s="1" t="str">
        <f>"96/12/20"</f>
        <v>96/12/20</v>
      </c>
      <c r="AE1866" s="1" t="str">
        <f>"اختتام"</f>
        <v>اختتام</v>
      </c>
      <c r="AF1866" s="1" t="str">
        <f>""</f>
        <v/>
      </c>
      <c r="AG1866" s="1" t="str">
        <f>""</f>
        <v/>
      </c>
      <c r="AH1866" s="1" t="str">
        <f>""</f>
        <v/>
      </c>
      <c r="AI1866" s="1" t="str">
        <f>""</f>
        <v/>
      </c>
      <c r="AJ1866" s="1" t="str">
        <f>""</f>
        <v/>
      </c>
      <c r="AK1866" s="1" t="str">
        <f>""</f>
        <v/>
      </c>
    </row>
    <row r="1867" spans="1:37">
      <c r="A1867" s="1">
        <v>170000</v>
      </c>
      <c r="B1867" s="1">
        <v>966200348</v>
      </c>
      <c r="C1867" s="1" t="str">
        <f>"تخليه -لرستان -شهرسلسله فيروزآباد"</f>
        <v>تخليه -لرستان -شهرسلسله فيروزآباد</v>
      </c>
      <c r="D1867" s="1">
        <v>9113</v>
      </c>
      <c r="E1867" s="1">
        <v>170000</v>
      </c>
      <c r="F1867" s="1">
        <v>96</v>
      </c>
      <c r="G1867" s="1">
        <v>0</v>
      </c>
      <c r="H1867" s="1" t="str">
        <f>"96/07/29"</f>
        <v>96/07/29</v>
      </c>
      <c r="I1867" s="1" t="str">
        <f>"كيلوگرم"</f>
        <v>كيلوگرم</v>
      </c>
      <c r="J1867" s="1" t="str">
        <f>"0000000076"</f>
        <v>0000000076</v>
      </c>
      <c r="K1867" s="1" t="str">
        <f>"قير 60/70 - فله"</f>
        <v>قير 60/70 - فله</v>
      </c>
      <c r="L1867" s="1">
        <v>100</v>
      </c>
      <c r="M1867" s="1" t="str">
        <f>"مخازن قير اصفهان"</f>
        <v>مخازن قير اصفهان</v>
      </c>
      <c r="N1867" s="1">
        <v>8147</v>
      </c>
      <c r="O1867" s="1">
        <v>50036846</v>
      </c>
      <c r="P1867" s="1" t="str">
        <f>"  زاگرس راه نصر"</f>
        <v xml:space="preserve">  زاگرس راه نصر</v>
      </c>
      <c r="Q1867" s="1">
        <v>62</v>
      </c>
      <c r="R1867" s="1" t="str">
        <f>"فروش داخلي - سازمان بنيادمسكن انقلاب اسلامي"</f>
        <v>فروش داخلي - سازمان بنيادمسكن انقلاب اسلامي</v>
      </c>
      <c r="S1867" s="1" t="str">
        <f>"قرارداد فروش"</f>
        <v>قرارداد فروش</v>
      </c>
      <c r="T1867" s="1" t="str">
        <f>"ندارد"</f>
        <v>ندارد</v>
      </c>
      <c r="U1867" s="1" t="str">
        <f>"عظيمي محمد(2842015)"</f>
        <v>عظيمي محمد(2842015)</v>
      </c>
      <c r="V1867" s="1">
        <v>966200348</v>
      </c>
      <c r="W1867" s="1">
        <v>966200348</v>
      </c>
      <c r="X1867" s="1" t="str">
        <f>"1396520117"</f>
        <v>1396520117</v>
      </c>
      <c r="Y1867" s="1" t="str">
        <f>"96/07/29"</f>
        <v>96/07/29</v>
      </c>
      <c r="Z1867" s="1" t="str">
        <f>"33193/د"</f>
        <v>33193/د</v>
      </c>
      <c r="AA1867" s="1" t="str">
        <f>"بنيادمسكن انقلاب اسلامي"</f>
        <v>بنيادمسكن انقلاب اسلامي</v>
      </c>
      <c r="AB1867" s="1" t="str">
        <f>"96/07/25"</f>
        <v>96/07/25</v>
      </c>
      <c r="AC1867" s="1" t="str">
        <f>"لرستان"</f>
        <v>لرستان</v>
      </c>
      <c r="AD1867" s="1" t="str">
        <f>"96/07/29"</f>
        <v>96/07/29</v>
      </c>
      <c r="AE1867" s="1" t="str">
        <f>"اختتام"</f>
        <v>اختتام</v>
      </c>
      <c r="AF1867" s="1" t="str">
        <f>""</f>
        <v/>
      </c>
      <c r="AG1867" s="1" t="str">
        <f>""</f>
        <v/>
      </c>
      <c r="AH1867" s="1" t="str">
        <f>""</f>
        <v/>
      </c>
      <c r="AI1867" s="1" t="str">
        <f>""</f>
        <v/>
      </c>
      <c r="AJ1867" s="1" t="str">
        <f>""</f>
        <v/>
      </c>
      <c r="AK1867" s="1" t="str">
        <f>""</f>
        <v/>
      </c>
    </row>
    <row r="1868" spans="1:37">
      <c r="A1868" s="1">
        <v>123329</v>
      </c>
      <c r="B1868" s="1">
        <v>962000201</v>
      </c>
      <c r="C1868" s="1" t="str">
        <f>"تخليه كرمان اناركيلومتر5جاده انار-بندرعباس كارگاه جهادنصر كرمان"</f>
        <v>تخليه كرمان اناركيلومتر5جاده انار-بندرعباس كارگاه جهادنصر كرمان</v>
      </c>
      <c r="D1868" s="1">
        <v>9113</v>
      </c>
      <c r="E1868" s="1">
        <v>123329</v>
      </c>
      <c r="F1868" s="1">
        <v>96</v>
      </c>
      <c r="G1868" s="1">
        <v>0</v>
      </c>
      <c r="H1868" s="1" t="str">
        <f>"96/07/03"</f>
        <v>96/07/03</v>
      </c>
      <c r="I1868" s="1" t="str">
        <f>"كيلوگرم"</f>
        <v>كيلوگرم</v>
      </c>
      <c r="J1868" s="1" t="str">
        <f>"0000000076"</f>
        <v>0000000076</v>
      </c>
      <c r="K1868" s="1" t="str">
        <f>"قير 60/70 - فله"</f>
        <v>قير 60/70 - فله</v>
      </c>
      <c r="L1868" s="1">
        <v>100</v>
      </c>
      <c r="M1868" s="1" t="str">
        <f>"مخازن قير اصفهان"</f>
        <v>مخازن قير اصفهان</v>
      </c>
      <c r="N1868" s="1">
        <v>8323</v>
      </c>
      <c r="O1868" s="1">
        <v>50036427</v>
      </c>
      <c r="P1868" s="1" t="str">
        <f>"  شهرداري انار"</f>
        <v xml:space="preserve">  شهرداري انار</v>
      </c>
      <c r="Q1868" s="1">
        <v>20</v>
      </c>
      <c r="R1868" s="1" t="str">
        <f>"فروش داخلي - سازمان شهرداري ها و دهياري هاي كشور"</f>
        <v>فروش داخلي - سازمان شهرداري ها و دهياري هاي كشور</v>
      </c>
      <c r="S1868" s="1" t="str">
        <f>"قرارداد فروش"</f>
        <v>قرارداد فروش</v>
      </c>
      <c r="T1868" s="1" t="str">
        <f>"ندارد"</f>
        <v>ندارد</v>
      </c>
      <c r="U1868" s="1" t="str">
        <f>"تعاوني جم گستر (1001 ج 89)"</f>
        <v>تعاوني جم گستر (1001 ج 89)</v>
      </c>
      <c r="V1868" s="1">
        <v>962000201</v>
      </c>
      <c r="W1868" s="1">
        <v>962000201</v>
      </c>
      <c r="X1868" s="1" t="str">
        <f>"1396514467"</f>
        <v>1396514467</v>
      </c>
      <c r="Y1868" s="1" t="str">
        <f>"96/07/03"</f>
        <v>96/07/03</v>
      </c>
      <c r="Z1868" s="1" t="str">
        <f>"26798مرحله اول"</f>
        <v>26798مرحله اول</v>
      </c>
      <c r="AA1868" s="1" t="str">
        <f>"شهرداريها"</f>
        <v>شهرداريها</v>
      </c>
      <c r="AB1868" s="1" t="str">
        <f>"96/06/29"</f>
        <v>96/06/29</v>
      </c>
      <c r="AC1868" s="1" t="str">
        <f>"استان كرمان"</f>
        <v>استان كرمان</v>
      </c>
      <c r="AD1868" s="1" t="str">
        <f>"93/07/03"</f>
        <v>93/07/03</v>
      </c>
      <c r="AE1868" s="1" t="str">
        <f>"اختتام"</f>
        <v>اختتام</v>
      </c>
      <c r="AF1868" s="1" t="str">
        <f>""</f>
        <v/>
      </c>
      <c r="AG1868" s="1" t="str">
        <f>""</f>
        <v/>
      </c>
      <c r="AH1868" s="1" t="str">
        <f>""</f>
        <v/>
      </c>
      <c r="AI1868" s="1" t="str">
        <f>""</f>
        <v/>
      </c>
      <c r="AJ1868" s="1" t="str">
        <f>""</f>
        <v/>
      </c>
      <c r="AK1868" s="1" t="str">
        <f>""</f>
        <v/>
      </c>
    </row>
    <row r="1869" spans="1:37">
      <c r="A1869" s="1">
        <v>43834</v>
      </c>
      <c r="B1869" s="1">
        <v>962000341</v>
      </c>
      <c r="C1869" s="1" t="str">
        <f>"تخليه كرمان اناركيلومتر13جاده سيريزبافق كارخانه آسفالت ميرمحمدي"</f>
        <v>تخليه كرمان اناركيلومتر13جاده سيريزبافق كارخانه آسفالت ميرمحمدي</v>
      </c>
      <c r="D1869" s="1">
        <v>12820</v>
      </c>
      <c r="E1869" s="1">
        <v>43834</v>
      </c>
      <c r="F1869" s="1">
        <v>96</v>
      </c>
      <c r="G1869" s="1">
        <v>0</v>
      </c>
      <c r="H1869" s="1" t="str">
        <f>"96/09/18"</f>
        <v>96/09/18</v>
      </c>
      <c r="I1869" s="1" t="str">
        <f>"كيلوگرم"</f>
        <v>كيلوگرم</v>
      </c>
      <c r="J1869" s="1" t="str">
        <f>"0000000076"</f>
        <v>0000000076</v>
      </c>
      <c r="K1869" s="1" t="str">
        <f>"قير 60/70 - فله"</f>
        <v>قير 60/70 - فله</v>
      </c>
      <c r="L1869" s="1">
        <v>100</v>
      </c>
      <c r="M1869" s="1" t="str">
        <f>"مخازن قير اصفهان"</f>
        <v>مخازن قير اصفهان</v>
      </c>
      <c r="N1869" s="1">
        <v>8323</v>
      </c>
      <c r="O1869" s="1">
        <v>50037594</v>
      </c>
      <c r="P1869" s="1" t="str">
        <f>"  شهرداري انار"</f>
        <v xml:space="preserve">  شهرداري انار</v>
      </c>
      <c r="Q1869" s="1">
        <v>20</v>
      </c>
      <c r="R1869" s="1" t="str">
        <f>"فروش داخلي - سازمان شهرداري ها و دهياري هاي كشور"</f>
        <v>فروش داخلي - سازمان شهرداري ها و دهياري هاي كشور</v>
      </c>
      <c r="S1869" s="1" t="str">
        <f>"قرارداد فروش"</f>
        <v>قرارداد فروش</v>
      </c>
      <c r="T1869" s="1" t="str">
        <f>"ندارد"</f>
        <v>ندارد</v>
      </c>
      <c r="U1869" s="1" t="str">
        <f>"تعاوني جم گستر (1001 ج 89)"</f>
        <v>تعاوني جم گستر (1001 ج 89)</v>
      </c>
      <c r="V1869" s="1">
        <v>962000341</v>
      </c>
      <c r="W1869" s="1">
        <v>962000341</v>
      </c>
      <c r="X1869" s="1" t="str">
        <f>"1396529711"</f>
        <v>1396529711</v>
      </c>
      <c r="Y1869" s="1" t="str">
        <f>"96/09/18"</f>
        <v>96/09/18</v>
      </c>
      <c r="Z1869" s="1" t="str">
        <f>"38578مرحله دوم"</f>
        <v>38578مرحله دوم</v>
      </c>
      <c r="AA1869" s="1" t="str">
        <f>"شهرداريها"</f>
        <v>شهرداريها</v>
      </c>
      <c r="AB1869" s="1" t="str">
        <f>"96/09/11"</f>
        <v>96/09/11</v>
      </c>
      <c r="AC1869" s="1" t="str">
        <f>"استان كرمان"</f>
        <v>استان كرمان</v>
      </c>
      <c r="AD1869" s="1" t="str">
        <f>"96/09/13"</f>
        <v>96/09/13</v>
      </c>
      <c r="AE1869" s="1" t="str">
        <f>"اختتام"</f>
        <v>اختتام</v>
      </c>
      <c r="AF1869" s="1" t="str">
        <f>""</f>
        <v/>
      </c>
      <c r="AG1869" s="1" t="str">
        <f>""</f>
        <v/>
      </c>
      <c r="AH1869" s="1" t="str">
        <f>""</f>
        <v/>
      </c>
      <c r="AI1869" s="1" t="str">
        <f>""</f>
        <v/>
      </c>
      <c r="AJ1869" s="1" t="str">
        <f>""</f>
        <v/>
      </c>
      <c r="AK1869" s="1" t="str">
        <f>""</f>
        <v/>
      </c>
    </row>
    <row r="1870" spans="1:37">
      <c r="A1870" s="1">
        <v>68695</v>
      </c>
      <c r="B1870" s="1">
        <v>962000247</v>
      </c>
      <c r="C1870" s="1" t="str">
        <f>"تخليه يزدچم كارخانه آسفالت سازمان همياري شهرداريها"</f>
        <v>تخليه يزدچم كارخانه آسفالت سازمان همياري شهرداريها</v>
      </c>
      <c r="D1870" s="1">
        <v>9113</v>
      </c>
      <c r="E1870" s="1">
        <v>68695</v>
      </c>
      <c r="F1870" s="1">
        <v>96</v>
      </c>
      <c r="G1870" s="1">
        <v>0</v>
      </c>
      <c r="H1870" s="1" t="str">
        <f>"96/09/07"</f>
        <v>96/09/07</v>
      </c>
      <c r="I1870" s="1" t="str">
        <f>"كيلوگرم"</f>
        <v>كيلوگرم</v>
      </c>
      <c r="J1870" s="1" t="str">
        <f>"0000000076"</f>
        <v>0000000076</v>
      </c>
      <c r="K1870" s="1" t="str">
        <f>"قير 60/70 - فله"</f>
        <v>قير 60/70 - فله</v>
      </c>
      <c r="L1870" s="1">
        <v>100</v>
      </c>
      <c r="M1870" s="1" t="str">
        <f>"مخازن قير اصفهان"</f>
        <v>مخازن قير اصفهان</v>
      </c>
      <c r="N1870" s="1">
        <v>8834</v>
      </c>
      <c r="O1870" s="1">
        <v>50037300</v>
      </c>
      <c r="P1870" s="1" t="str">
        <f>"  شهرداري شاهديه"</f>
        <v xml:space="preserve">  شهرداري شاهديه</v>
      </c>
      <c r="Q1870" s="1">
        <v>20</v>
      </c>
      <c r="R1870" s="1" t="str">
        <f>"فروش داخلي - سازمان شهرداري ها و دهياري هاي كشور"</f>
        <v>فروش داخلي - سازمان شهرداري ها و دهياري هاي كشور</v>
      </c>
      <c r="S1870" s="1" t="str">
        <f>"قرارداد فروش"</f>
        <v>قرارداد فروش</v>
      </c>
      <c r="T1870" s="1" t="str">
        <f>"ندارد"</f>
        <v>ندارد</v>
      </c>
      <c r="U1870" s="1" t="str">
        <f>"تعاوني جم گستر (1001 ج 89)"</f>
        <v>تعاوني جم گستر (1001 ج 89)</v>
      </c>
      <c r="V1870" s="1">
        <v>962000247</v>
      </c>
      <c r="W1870" s="1">
        <v>962000247</v>
      </c>
      <c r="X1870" s="1" t="str">
        <f>"1396514467"</f>
        <v>1396514467</v>
      </c>
      <c r="Y1870" s="1" t="str">
        <f>"96/09/07"</f>
        <v>96/09/07</v>
      </c>
      <c r="Z1870" s="1" t="str">
        <f>"36647مرحله دوم"</f>
        <v>36647مرحله دوم</v>
      </c>
      <c r="AA1870" s="1" t="str">
        <f>"شهرداريها"</f>
        <v>شهرداريها</v>
      </c>
      <c r="AB1870" s="1" t="str">
        <f>"96/09/01"</f>
        <v>96/09/01</v>
      </c>
      <c r="AC1870" s="1" t="str">
        <f>"استان يزد"</f>
        <v>استان يزد</v>
      </c>
      <c r="AD1870" s="1" t="str">
        <f>"96/07/03"</f>
        <v>96/07/03</v>
      </c>
      <c r="AE1870" s="1" t="str">
        <f>"تاييدشده"</f>
        <v>تاييدشده</v>
      </c>
      <c r="AF1870" s="1" t="str">
        <f>""</f>
        <v/>
      </c>
      <c r="AG1870" s="1" t="str">
        <f>""</f>
        <v/>
      </c>
      <c r="AH1870" s="1" t="str">
        <f>""</f>
        <v/>
      </c>
      <c r="AI1870" s="1" t="str">
        <f>""</f>
        <v/>
      </c>
      <c r="AJ1870" s="1" t="str">
        <f>""</f>
        <v/>
      </c>
      <c r="AK1870" s="1" t="str">
        <f>""</f>
        <v/>
      </c>
    </row>
    <row r="1871" spans="1:37">
      <c r="A1871" s="1">
        <v>156000</v>
      </c>
      <c r="B1871" s="1">
        <v>966200024</v>
      </c>
      <c r="C1871" s="1" t="str">
        <f>"تخليه - مازندران -بابل-جاده گنج افروز-کارخانه قائم آسفالت"</f>
        <v>تخليه - مازندران -بابل-جاده گنج افروز-کارخانه قائم آسفالت</v>
      </c>
      <c r="D1871" s="1">
        <v>8198</v>
      </c>
      <c r="E1871" s="1">
        <v>155400</v>
      </c>
      <c r="F1871" s="1">
        <v>96</v>
      </c>
      <c r="G1871" s="1">
        <v>600</v>
      </c>
      <c r="H1871" s="1" t="str">
        <f>"96/01/23"</f>
        <v>96/01/23</v>
      </c>
      <c r="I1871" s="1" t="str">
        <f>"كيلوگرم"</f>
        <v>كيلوگرم</v>
      </c>
      <c r="J1871" s="1" t="str">
        <f>"0000000076"</f>
        <v>0000000076</v>
      </c>
      <c r="K1871" s="1" t="str">
        <f>"قير 60/70 - فله"</f>
        <v>قير 60/70 - فله</v>
      </c>
      <c r="L1871" s="1">
        <v>100</v>
      </c>
      <c r="M1871" s="1" t="str">
        <f>"مخازن قير اصفهان"</f>
        <v>مخازن قير اصفهان</v>
      </c>
      <c r="N1871" s="1">
        <v>8903</v>
      </c>
      <c r="O1871" s="1">
        <v>50034535</v>
      </c>
      <c r="P1871" s="1" t="str">
        <f>"  بنيادمسكن انقلاب اسلامي مازندران"</f>
        <v xml:space="preserve">  بنيادمسكن انقلاب اسلامي مازندران</v>
      </c>
      <c r="Q1871" s="1">
        <v>62</v>
      </c>
      <c r="R1871" s="1" t="str">
        <f>"فروش داخلي - سازمان بنيادمسكن انقلاب اسلامي"</f>
        <v>فروش داخلي - سازمان بنيادمسكن انقلاب اسلامي</v>
      </c>
      <c r="S1871" s="1" t="str">
        <f>"قرارداد فروش"</f>
        <v>قرارداد فروش</v>
      </c>
      <c r="T1871" s="1" t="str">
        <f>"ندارد"</f>
        <v>ندارد</v>
      </c>
      <c r="U1871" s="1" t="str">
        <f>"شيشه بر كريم(1841016)"</f>
        <v>شيشه بر كريم(1841016)</v>
      </c>
      <c r="V1871" s="1">
        <v>966200024</v>
      </c>
      <c r="W1871" s="1">
        <v>966200024</v>
      </c>
      <c r="X1871" s="1" t="str">
        <f>"1396474034"</f>
        <v>1396474034</v>
      </c>
      <c r="Y1871" s="1" t="str">
        <f>"96/01/23"</f>
        <v>96/01/23</v>
      </c>
      <c r="Z1871" s="1" t="str">
        <f>"1455/د"</f>
        <v>1455/د</v>
      </c>
      <c r="AA1871" s="1" t="str">
        <f>"بنيادمسكن انقلاب اسلامي"</f>
        <v>بنيادمسكن انقلاب اسلامي</v>
      </c>
      <c r="AB1871" s="1" t="str">
        <f>"96/01/21"</f>
        <v>96/01/21</v>
      </c>
      <c r="AC1871" s="1" t="str">
        <f>"استان مازندران"</f>
        <v>استان مازندران</v>
      </c>
      <c r="AD1871" s="1" t="str">
        <f>"96/01/23"</f>
        <v>96/01/23</v>
      </c>
      <c r="AE1871" s="1" t="str">
        <f>"اختتام"</f>
        <v>اختتام</v>
      </c>
      <c r="AF1871" s="1" t="str">
        <f>""</f>
        <v/>
      </c>
      <c r="AG1871" s="1" t="str">
        <f>""</f>
        <v/>
      </c>
      <c r="AH1871" s="1" t="str">
        <f>""</f>
        <v/>
      </c>
      <c r="AI1871" s="1" t="str">
        <f>""</f>
        <v/>
      </c>
      <c r="AJ1871" s="1" t="str">
        <f>""</f>
        <v/>
      </c>
      <c r="AK1871" s="1" t="str">
        <f>""</f>
        <v/>
      </c>
    </row>
    <row r="1872" spans="1:37">
      <c r="A1872" s="1">
        <v>144000</v>
      </c>
      <c r="B1872" s="1">
        <v>966200172</v>
      </c>
      <c r="C1872" s="1" t="str">
        <f>"تخليه-مازندران-ساري-جاده کياسر-بالا هولار-روستاي علويکلا-کارخانه نوآوران مازند شمال"</f>
        <v>تخليه-مازندران-ساري-جاده کياسر-بالا هولار-روستاي علويکلا-کارخانه نوآوران مازند شمال</v>
      </c>
      <c r="D1872" s="1">
        <v>8704</v>
      </c>
      <c r="E1872" s="1">
        <v>144000</v>
      </c>
      <c r="F1872" s="1">
        <v>96</v>
      </c>
      <c r="G1872" s="1">
        <v>0</v>
      </c>
      <c r="H1872" s="1" t="str">
        <f>"96/05/15"</f>
        <v>96/05/15</v>
      </c>
      <c r="I1872" s="1" t="str">
        <f>"كيلوگرم"</f>
        <v>كيلوگرم</v>
      </c>
      <c r="J1872" s="1" t="str">
        <f>"0000000076"</f>
        <v>0000000076</v>
      </c>
      <c r="K1872" s="1" t="str">
        <f>"قير 60/70 - فله"</f>
        <v>قير 60/70 - فله</v>
      </c>
      <c r="L1872" s="1">
        <v>100</v>
      </c>
      <c r="M1872" s="1" t="str">
        <f>"مخازن قير اصفهان"</f>
        <v>مخازن قير اصفهان</v>
      </c>
      <c r="N1872" s="1">
        <v>8903</v>
      </c>
      <c r="O1872" s="1">
        <v>50035527</v>
      </c>
      <c r="P1872" s="1" t="str">
        <f>"  بنيادمسكن انقلاب اسلامي مازندران"</f>
        <v xml:space="preserve">  بنيادمسكن انقلاب اسلامي مازندران</v>
      </c>
      <c r="Q1872" s="1">
        <v>62</v>
      </c>
      <c r="R1872" s="1" t="str">
        <f>"فروش داخلي - سازمان بنيادمسكن انقلاب اسلامي"</f>
        <v>فروش داخلي - سازمان بنيادمسكن انقلاب اسلامي</v>
      </c>
      <c r="S1872" s="1" t="str">
        <f>"قرارداد فروش"</f>
        <v>قرارداد فروش</v>
      </c>
      <c r="T1872" s="1" t="str">
        <f>"ندارد"</f>
        <v>ندارد</v>
      </c>
      <c r="U1872" s="1" t="str">
        <f>"شيشه بر كريم(1841016)"</f>
        <v>شيشه بر كريم(1841016)</v>
      </c>
      <c r="V1872" s="1">
        <v>966200172</v>
      </c>
      <c r="W1872" s="1">
        <v>966200172</v>
      </c>
      <c r="X1872" s="1" t="str">
        <f>"1396502842"</f>
        <v>1396502842</v>
      </c>
      <c r="Y1872" s="1" t="str">
        <f>"96/05/15"</f>
        <v>96/05/15</v>
      </c>
      <c r="Z1872" s="1" t="str">
        <f>"19681/د"</f>
        <v>19681/د</v>
      </c>
      <c r="AA1872" s="1" t="str">
        <f>"بنيادمسكن انقلاب اسلامي"</f>
        <v>بنيادمسكن انقلاب اسلامي</v>
      </c>
      <c r="AB1872" s="1" t="str">
        <f>"96/05/11"</f>
        <v>96/05/11</v>
      </c>
      <c r="AC1872" s="1" t="str">
        <f>"استان مازندران"</f>
        <v>استان مازندران</v>
      </c>
      <c r="AD1872" s="1" t="str">
        <f>"96/05/15"</f>
        <v>96/05/15</v>
      </c>
      <c r="AE1872" s="1" t="str">
        <f>"اختتام"</f>
        <v>اختتام</v>
      </c>
      <c r="AF1872" s="1" t="str">
        <f>""</f>
        <v/>
      </c>
      <c r="AG1872" s="1" t="str">
        <f>""</f>
        <v/>
      </c>
      <c r="AH1872" s="1" t="str">
        <f>""</f>
        <v/>
      </c>
      <c r="AI1872" s="1" t="str">
        <f>""</f>
        <v/>
      </c>
      <c r="AJ1872" s="1" t="str">
        <f>""</f>
        <v/>
      </c>
      <c r="AK1872" s="1" t="str">
        <f>""</f>
        <v/>
      </c>
    </row>
    <row r="1873" spans="1:37">
      <c r="A1873" s="1">
        <v>63000</v>
      </c>
      <c r="B1873" s="1">
        <v>966200173</v>
      </c>
      <c r="C1873" s="1" t="str">
        <f>"تخليه-مازندران-کيلومتر 10 جاده آمل محمود آباد-پشت شهرک صنعتي تشبندان-کارخانه آسفالت ارجمنديان"</f>
        <v>تخليه-مازندران-کيلومتر 10 جاده آمل محمود آباد-پشت شهرک صنعتي تشبندان-کارخانه آسفالت ارجمنديان</v>
      </c>
      <c r="D1873" s="1">
        <v>8704</v>
      </c>
      <c r="E1873" s="1">
        <v>63000</v>
      </c>
      <c r="F1873" s="1">
        <v>96</v>
      </c>
      <c r="G1873" s="1">
        <v>0</v>
      </c>
      <c r="H1873" s="1" t="str">
        <f>"96/05/15"</f>
        <v>96/05/15</v>
      </c>
      <c r="I1873" s="1" t="str">
        <f>"كيلوگرم"</f>
        <v>كيلوگرم</v>
      </c>
      <c r="J1873" s="1" t="str">
        <f>"0000000076"</f>
        <v>0000000076</v>
      </c>
      <c r="K1873" s="1" t="str">
        <f>"قير 60/70 - فله"</f>
        <v>قير 60/70 - فله</v>
      </c>
      <c r="L1873" s="1">
        <v>100</v>
      </c>
      <c r="M1873" s="1" t="str">
        <f>"مخازن قير اصفهان"</f>
        <v>مخازن قير اصفهان</v>
      </c>
      <c r="N1873" s="1">
        <v>8903</v>
      </c>
      <c r="O1873" s="1">
        <v>50035528</v>
      </c>
      <c r="P1873" s="1" t="str">
        <f>"  بنيادمسكن انقلاب اسلامي مازندران"</f>
        <v xml:space="preserve">  بنيادمسكن انقلاب اسلامي مازندران</v>
      </c>
      <c r="Q1873" s="1">
        <v>62</v>
      </c>
      <c r="R1873" s="1" t="str">
        <f>"فروش داخلي - سازمان بنيادمسكن انقلاب اسلامي"</f>
        <v>فروش داخلي - سازمان بنيادمسكن انقلاب اسلامي</v>
      </c>
      <c r="S1873" s="1" t="str">
        <f>"قرارداد فروش"</f>
        <v>قرارداد فروش</v>
      </c>
      <c r="T1873" s="1" t="str">
        <f>"ندارد"</f>
        <v>ندارد</v>
      </c>
      <c r="U1873" s="1" t="str">
        <f>"شيشه بر كريم(1841016)"</f>
        <v>شيشه بر كريم(1841016)</v>
      </c>
      <c r="V1873" s="1">
        <v>966200173</v>
      </c>
      <c r="W1873" s="1">
        <v>966200173</v>
      </c>
      <c r="X1873" s="1" t="str">
        <f>"1396502842"</f>
        <v>1396502842</v>
      </c>
      <c r="Y1873" s="1" t="str">
        <f>"96/05/15"</f>
        <v>96/05/15</v>
      </c>
      <c r="Z1873" s="1" t="str">
        <f>"19679/د"</f>
        <v>19679/د</v>
      </c>
      <c r="AA1873" s="1" t="str">
        <f>"بنيادمسكن انقلاب اسلامي"</f>
        <v>بنيادمسكن انقلاب اسلامي</v>
      </c>
      <c r="AB1873" s="1" t="str">
        <f>"96/05/11"</f>
        <v>96/05/11</v>
      </c>
      <c r="AC1873" s="1" t="str">
        <f>"استان مازندران"</f>
        <v>استان مازندران</v>
      </c>
      <c r="AD1873" s="1" t="str">
        <f>"96/05/15"</f>
        <v>96/05/15</v>
      </c>
      <c r="AE1873" s="1" t="str">
        <f>"اختتام"</f>
        <v>اختتام</v>
      </c>
      <c r="AF1873" s="1" t="str">
        <f>""</f>
        <v/>
      </c>
      <c r="AG1873" s="1" t="str">
        <f>""</f>
        <v/>
      </c>
      <c r="AH1873" s="1" t="str">
        <f>""</f>
        <v/>
      </c>
      <c r="AI1873" s="1" t="str">
        <f>""</f>
        <v/>
      </c>
      <c r="AJ1873" s="1" t="str">
        <f>""</f>
        <v/>
      </c>
      <c r="AK1873" s="1" t="str">
        <f>""</f>
        <v/>
      </c>
    </row>
    <row r="1874" spans="1:37">
      <c r="A1874" s="1">
        <v>50000</v>
      </c>
      <c r="B1874" s="1">
        <v>966200174</v>
      </c>
      <c r="C1874" s="1" t="str">
        <f>"تخليه-مازندران-کيلومتر 10 جاده آمل محمود آباد-پشت شهرک صنعتي تشبندان-کارخانه آسفالت ارجمنديان"</f>
        <v>تخليه-مازندران-کيلومتر 10 جاده آمل محمود آباد-پشت شهرک صنعتي تشبندان-کارخانه آسفالت ارجمنديان</v>
      </c>
      <c r="D1874" s="1">
        <v>8704</v>
      </c>
      <c r="E1874" s="1">
        <v>50000</v>
      </c>
      <c r="F1874" s="1">
        <v>96</v>
      </c>
      <c r="G1874" s="1">
        <v>0</v>
      </c>
      <c r="H1874" s="1" t="str">
        <f>"96/05/15"</f>
        <v>96/05/15</v>
      </c>
      <c r="I1874" s="1" t="str">
        <f>"كيلوگرم"</f>
        <v>كيلوگرم</v>
      </c>
      <c r="J1874" s="1" t="str">
        <f>"0000000076"</f>
        <v>0000000076</v>
      </c>
      <c r="K1874" s="1" t="str">
        <f>"قير 60/70 - فله"</f>
        <v>قير 60/70 - فله</v>
      </c>
      <c r="L1874" s="1">
        <v>100</v>
      </c>
      <c r="M1874" s="1" t="str">
        <f>"مخازن قير اصفهان"</f>
        <v>مخازن قير اصفهان</v>
      </c>
      <c r="N1874" s="1">
        <v>8903</v>
      </c>
      <c r="O1874" s="1">
        <v>50035529</v>
      </c>
      <c r="P1874" s="1" t="str">
        <f>"  بنيادمسكن انقلاب اسلامي مازندران"</f>
        <v xml:space="preserve">  بنيادمسكن انقلاب اسلامي مازندران</v>
      </c>
      <c r="Q1874" s="1">
        <v>62</v>
      </c>
      <c r="R1874" s="1" t="str">
        <f>"فروش داخلي - سازمان بنيادمسكن انقلاب اسلامي"</f>
        <v>فروش داخلي - سازمان بنيادمسكن انقلاب اسلامي</v>
      </c>
      <c r="S1874" s="1" t="str">
        <f>"قرارداد فروش"</f>
        <v>قرارداد فروش</v>
      </c>
      <c r="T1874" s="1" t="str">
        <f>"ندارد"</f>
        <v>ندارد</v>
      </c>
      <c r="U1874" s="1" t="str">
        <f>"شيشه بر كريم(1841016)"</f>
        <v>شيشه بر كريم(1841016)</v>
      </c>
      <c r="V1874" s="1">
        <v>966200174</v>
      </c>
      <c r="W1874" s="1">
        <v>966200174</v>
      </c>
      <c r="X1874" s="1" t="str">
        <f>"1396502842"</f>
        <v>1396502842</v>
      </c>
      <c r="Y1874" s="1" t="str">
        <f>"96/05/15"</f>
        <v>96/05/15</v>
      </c>
      <c r="Z1874" s="1" t="str">
        <f>"19674/د"</f>
        <v>19674/د</v>
      </c>
      <c r="AA1874" s="1" t="str">
        <f>"بنيادمسكن انقلاب اسلامي"</f>
        <v>بنيادمسكن انقلاب اسلامي</v>
      </c>
      <c r="AB1874" s="1" t="str">
        <f>"96/05/11"</f>
        <v>96/05/11</v>
      </c>
      <c r="AC1874" s="1" t="str">
        <f>"استان مازندران"</f>
        <v>استان مازندران</v>
      </c>
      <c r="AD1874" s="1" t="str">
        <f>"96/05/15"</f>
        <v>96/05/15</v>
      </c>
      <c r="AE1874" s="1" t="str">
        <f>"اختتام"</f>
        <v>اختتام</v>
      </c>
      <c r="AF1874" s="1" t="str">
        <f>""</f>
        <v/>
      </c>
      <c r="AG1874" s="1" t="str">
        <f>""</f>
        <v/>
      </c>
      <c r="AH1874" s="1" t="str">
        <f>""</f>
        <v/>
      </c>
      <c r="AI1874" s="1" t="str">
        <f>""</f>
        <v/>
      </c>
      <c r="AJ1874" s="1" t="str">
        <f>""</f>
        <v/>
      </c>
      <c r="AK1874" s="1" t="str">
        <f>""</f>
        <v/>
      </c>
    </row>
    <row r="1875" spans="1:37">
      <c r="A1875" s="1">
        <v>113000</v>
      </c>
      <c r="B1875" s="1">
        <v>966200486</v>
      </c>
      <c r="C1875" s="1" t="str">
        <f>"تخليه-مازندران-کيلومتر 10 جاده آمل محمود آباد-پشت شهرک صنعتي تشبندان-کارخانه آسفالت ارجمنديان"</f>
        <v>تخليه-مازندران-کيلومتر 10 جاده آمل محمود آباد-پشت شهرک صنعتي تشبندان-کارخانه آسفالت ارجمنديان</v>
      </c>
      <c r="D1875" s="1">
        <v>12850</v>
      </c>
      <c r="E1875" s="1">
        <v>113000</v>
      </c>
      <c r="F1875" s="1">
        <v>96</v>
      </c>
      <c r="G1875" s="1">
        <v>0</v>
      </c>
      <c r="H1875" s="1" t="str">
        <f>"96/10/05"</f>
        <v>96/10/05</v>
      </c>
      <c r="I1875" s="1" t="str">
        <f>"كيلوگرم"</f>
        <v>كيلوگرم</v>
      </c>
      <c r="J1875" s="1" t="str">
        <f>"0000000076"</f>
        <v>0000000076</v>
      </c>
      <c r="K1875" s="1" t="str">
        <f>"قير 60/70 - فله"</f>
        <v>قير 60/70 - فله</v>
      </c>
      <c r="L1875" s="1">
        <v>100</v>
      </c>
      <c r="M1875" s="1" t="str">
        <f>"مخازن قير اصفهان"</f>
        <v>مخازن قير اصفهان</v>
      </c>
      <c r="N1875" s="1">
        <v>8903</v>
      </c>
      <c r="O1875" s="1">
        <v>50037968</v>
      </c>
      <c r="P1875" s="1" t="str">
        <f>"  بنيادمسكن انقلاب اسلامي مازندران"</f>
        <v xml:space="preserve">  بنيادمسكن انقلاب اسلامي مازندران</v>
      </c>
      <c r="Q1875" s="1">
        <v>62</v>
      </c>
      <c r="R1875" s="1" t="str">
        <f>"فروش داخلي - سازمان بنيادمسكن انقلاب اسلامي"</f>
        <v>فروش داخلي - سازمان بنيادمسكن انقلاب اسلامي</v>
      </c>
      <c r="S1875" s="1" t="str">
        <f>"قرارداد فروش"</f>
        <v>قرارداد فروش</v>
      </c>
      <c r="T1875" s="1" t="str">
        <f>"ندارد"</f>
        <v>ندارد</v>
      </c>
      <c r="U1875" s="1" t="str">
        <f>"شيشه بر كريم(1841016)"</f>
        <v>شيشه بر كريم(1841016)</v>
      </c>
      <c r="V1875" s="1">
        <v>966200486</v>
      </c>
      <c r="W1875" s="1">
        <v>966200486</v>
      </c>
      <c r="X1875" s="1" t="str">
        <f>"1396535037"</f>
        <v>1396535037</v>
      </c>
      <c r="Y1875" s="1" t="str">
        <f>"96/10/05"</f>
        <v>96/10/05</v>
      </c>
      <c r="Z1875" s="1" t="str">
        <f>"43942/د"</f>
        <v>43942/د</v>
      </c>
      <c r="AA1875" s="1" t="str">
        <f>"بنيادمسكن انقلاب اسلامي"</f>
        <v>بنيادمسكن انقلاب اسلامي</v>
      </c>
      <c r="AB1875" s="1" t="str">
        <f>"96/10/04"</f>
        <v>96/10/04</v>
      </c>
      <c r="AC1875" s="1" t="str">
        <f>"استان مازندران"</f>
        <v>استان مازندران</v>
      </c>
      <c r="AD1875" s="1" t="str">
        <f>"96/10/05"</f>
        <v>96/10/05</v>
      </c>
      <c r="AE1875" s="1" t="str">
        <f>"اختتام"</f>
        <v>اختتام</v>
      </c>
      <c r="AF1875" s="1" t="str">
        <f>""</f>
        <v/>
      </c>
      <c r="AG1875" s="1" t="str">
        <f>""</f>
        <v/>
      </c>
      <c r="AH1875" s="1" t="str">
        <f>""</f>
        <v/>
      </c>
      <c r="AI1875" s="1" t="str">
        <f>""</f>
        <v/>
      </c>
      <c r="AJ1875" s="1" t="str">
        <f>""</f>
        <v/>
      </c>
      <c r="AK1875" s="1" t="str">
        <f>""</f>
        <v/>
      </c>
    </row>
    <row r="1876" spans="1:37">
      <c r="A1876" s="1">
        <v>41000</v>
      </c>
      <c r="B1876" s="1">
        <v>966200499</v>
      </c>
      <c r="C1876" s="1" t="str">
        <f>"تخليه - مازندران -بابل-جاده گنج افروز-کارخانه قائم آسفالت"</f>
        <v>تخليه - مازندران -بابل-جاده گنج افروز-کارخانه قائم آسفالت</v>
      </c>
      <c r="D1876" s="1">
        <v>12850</v>
      </c>
      <c r="E1876" s="1">
        <v>41000</v>
      </c>
      <c r="F1876" s="1">
        <v>96</v>
      </c>
      <c r="G1876" s="1">
        <v>0</v>
      </c>
      <c r="H1876" s="1" t="str">
        <f>"96/10/12"</f>
        <v>96/10/12</v>
      </c>
      <c r="I1876" s="1" t="str">
        <f>"كيلوگرم"</f>
        <v>كيلوگرم</v>
      </c>
      <c r="J1876" s="1" t="str">
        <f>"0000000076"</f>
        <v>0000000076</v>
      </c>
      <c r="K1876" s="1" t="str">
        <f>"قير 60/70 - فله"</f>
        <v>قير 60/70 - فله</v>
      </c>
      <c r="L1876" s="1">
        <v>100</v>
      </c>
      <c r="M1876" s="1" t="str">
        <f>"مخازن قير اصفهان"</f>
        <v>مخازن قير اصفهان</v>
      </c>
      <c r="N1876" s="1">
        <v>8903</v>
      </c>
      <c r="O1876" s="1">
        <v>50038029</v>
      </c>
      <c r="P1876" s="1" t="str">
        <f>"  بنيادمسكن انقلاب اسلامي مازندران"</f>
        <v xml:space="preserve">  بنيادمسكن انقلاب اسلامي مازندران</v>
      </c>
      <c r="Q1876" s="1">
        <v>62</v>
      </c>
      <c r="R1876" s="1" t="str">
        <f>"فروش داخلي - سازمان بنيادمسكن انقلاب اسلامي"</f>
        <v>فروش داخلي - سازمان بنيادمسكن انقلاب اسلامي</v>
      </c>
      <c r="S1876" s="1" t="str">
        <f>"قرارداد فروش"</f>
        <v>قرارداد فروش</v>
      </c>
      <c r="T1876" s="1" t="str">
        <f>"ندارد"</f>
        <v>ندارد</v>
      </c>
      <c r="U1876" s="1" t="str">
        <f>"شيشه بر كريم(1841016)"</f>
        <v>شيشه بر كريم(1841016)</v>
      </c>
      <c r="V1876" s="1">
        <v>966200499</v>
      </c>
      <c r="W1876" s="1">
        <v>966200499</v>
      </c>
      <c r="X1876" s="1" t="str">
        <f>"1396536916"</f>
        <v>1396536916</v>
      </c>
      <c r="Y1876" s="1" t="str">
        <f>"96/10/12"</f>
        <v>96/10/12</v>
      </c>
      <c r="Z1876" s="1" t="str">
        <f>"45266/د"</f>
        <v>45266/د</v>
      </c>
      <c r="AA1876" s="1" t="str">
        <f>"بنيادمسكن انقلاب اسلامي"</f>
        <v>بنيادمسكن انقلاب اسلامي</v>
      </c>
      <c r="AB1876" s="1" t="str">
        <f>"96/10/12"</f>
        <v>96/10/12</v>
      </c>
      <c r="AC1876" s="1" t="str">
        <f>"استان مازندران"</f>
        <v>استان مازندران</v>
      </c>
      <c r="AD1876" s="1" t="str">
        <f>"96/10/12"</f>
        <v>96/10/12</v>
      </c>
      <c r="AE1876" s="1" t="str">
        <f>"اختتام"</f>
        <v>اختتام</v>
      </c>
      <c r="AF1876" s="1" t="str">
        <f>""</f>
        <v/>
      </c>
      <c r="AG1876" s="1" t="str">
        <f>""</f>
        <v/>
      </c>
      <c r="AH1876" s="1" t="str">
        <f>""</f>
        <v/>
      </c>
      <c r="AI1876" s="1" t="str">
        <f>""</f>
        <v/>
      </c>
      <c r="AJ1876" s="1" t="str">
        <f>""</f>
        <v/>
      </c>
      <c r="AK1876" s="1" t="str">
        <f>""</f>
        <v/>
      </c>
    </row>
    <row r="1877" spans="1:37">
      <c r="A1877" s="1">
        <v>109000</v>
      </c>
      <c r="B1877" s="1">
        <v>966200020</v>
      </c>
      <c r="C1877" s="1" t="str">
        <f>"تخليه -خراسان شمالي -شيروان -كيلومتر60جاده روستاي زيارت -روستاي شناقي -شركت تفتان رهسازپارس"</f>
        <v>تخليه -خراسان شمالي -شيروان -كيلومتر60جاده روستاي زيارت -روستاي شناقي -شركت تفتان رهسازپارس</v>
      </c>
      <c r="D1877" s="1">
        <v>8198</v>
      </c>
      <c r="E1877" s="1">
        <v>107340</v>
      </c>
      <c r="F1877" s="1">
        <v>96</v>
      </c>
      <c r="G1877" s="1">
        <v>1660</v>
      </c>
      <c r="H1877" s="1" t="str">
        <f>"96/01/21"</f>
        <v>96/01/21</v>
      </c>
      <c r="I1877" s="1" t="str">
        <f>"كيلوگرم"</f>
        <v>كيلوگرم</v>
      </c>
      <c r="J1877" s="1" t="str">
        <f>"0000000076"</f>
        <v>0000000076</v>
      </c>
      <c r="K1877" s="1" t="str">
        <f>"قير 60/70 - فله"</f>
        <v>قير 60/70 - فله</v>
      </c>
      <c r="L1877" s="1">
        <v>100</v>
      </c>
      <c r="M1877" s="1" t="str">
        <f>"مخازن قير اصفهان"</f>
        <v>مخازن قير اصفهان</v>
      </c>
      <c r="N1877" s="1">
        <v>9245</v>
      </c>
      <c r="O1877" s="1">
        <v>50034485</v>
      </c>
      <c r="P1877" s="1" t="str">
        <f>"  تفتان ره سازپارس"</f>
        <v xml:space="preserve">  تفتان ره سازپارس</v>
      </c>
      <c r="Q1877" s="1">
        <v>62</v>
      </c>
      <c r="R1877" s="1" t="str">
        <f>"فروش داخلي - سازمان بنيادمسكن انقلاب اسلامي"</f>
        <v>فروش داخلي - سازمان بنيادمسكن انقلاب اسلامي</v>
      </c>
      <c r="S1877" s="1" t="str">
        <f>"قرارداد فروش"</f>
        <v>قرارداد فروش</v>
      </c>
      <c r="T1877" s="1" t="str">
        <f>"ندارد"</f>
        <v>ندارد</v>
      </c>
      <c r="U1877" s="1" t="str">
        <f>"ولي اصلاني صداقت (1841054)"</f>
        <v>ولي اصلاني صداقت (1841054)</v>
      </c>
      <c r="V1877" s="1">
        <v>966200020</v>
      </c>
      <c r="W1877" s="1">
        <v>966200020</v>
      </c>
      <c r="X1877" s="1" t="str">
        <f>"1396472723"</f>
        <v>1396472723</v>
      </c>
      <c r="Y1877" s="1" t="str">
        <f>"96/01/21"</f>
        <v>96/01/21</v>
      </c>
      <c r="Z1877" s="1" t="str">
        <f>"997/د"</f>
        <v>997/د</v>
      </c>
      <c r="AA1877" s="1" t="str">
        <f>"بنيادمسكن انقلاب اسلامي"</f>
        <v>بنيادمسكن انقلاب اسلامي</v>
      </c>
      <c r="AB1877" s="1" t="str">
        <f>"96/01/19"</f>
        <v>96/01/19</v>
      </c>
      <c r="AC1877" s="1" t="str">
        <f>"خراسان شمالي"</f>
        <v>خراسان شمالي</v>
      </c>
      <c r="AD1877" s="1" t="str">
        <f>"96/01/20"</f>
        <v>96/01/20</v>
      </c>
      <c r="AE1877" s="1" t="str">
        <f>"اختتام"</f>
        <v>اختتام</v>
      </c>
      <c r="AF1877" s="1" t="str">
        <f>""</f>
        <v/>
      </c>
      <c r="AG1877" s="1" t="str">
        <f>""</f>
        <v/>
      </c>
      <c r="AH1877" s="1" t="str">
        <f>""</f>
        <v/>
      </c>
      <c r="AI1877" s="1" t="str">
        <f>""</f>
        <v/>
      </c>
      <c r="AJ1877" s="1" t="str">
        <f>""</f>
        <v/>
      </c>
      <c r="AK1877" s="1" t="str">
        <f>""</f>
        <v/>
      </c>
    </row>
    <row r="1878" spans="1:37">
      <c r="A1878" s="1">
        <v>110223</v>
      </c>
      <c r="B1878" s="1">
        <v>962000028</v>
      </c>
      <c r="C1878" s="1" t="str">
        <f>"تخليه - اصفهان - شهرک صنعتي اشترجان -انتهاي خيابان 11 شرکت ماژين چگاد"</f>
        <v>تخليه - اصفهان - شهرک صنعتي اشترجان -انتهاي خيابان 11 شرکت ماژين چگاد</v>
      </c>
      <c r="D1878" s="1">
        <v>9113</v>
      </c>
      <c r="E1878" s="1">
        <v>110223</v>
      </c>
      <c r="F1878" s="1">
        <v>96</v>
      </c>
      <c r="G1878" s="1">
        <v>0</v>
      </c>
      <c r="H1878" s="1" t="str">
        <f>"96/07/03"</f>
        <v>96/07/03</v>
      </c>
      <c r="I1878" s="1" t="str">
        <f>"كيلوگرم"</f>
        <v>كيلوگرم</v>
      </c>
      <c r="J1878" s="1" t="str">
        <f>"0000000076"</f>
        <v>0000000076</v>
      </c>
      <c r="K1878" s="1" t="str">
        <f>"قير 60/70 - فله"</f>
        <v>قير 60/70 - فله</v>
      </c>
      <c r="L1878" s="1">
        <v>100</v>
      </c>
      <c r="M1878" s="1" t="str">
        <f>"مخازن قير اصفهان"</f>
        <v>مخازن قير اصفهان</v>
      </c>
      <c r="N1878" s="1">
        <v>9294</v>
      </c>
      <c r="O1878" s="1">
        <v>50036169</v>
      </c>
      <c r="P1878" s="1" t="str">
        <f>"  شهرداري چمگردان"</f>
        <v xml:space="preserve">  شهرداري چمگردان</v>
      </c>
      <c r="Q1878" s="1">
        <v>20</v>
      </c>
      <c r="R1878" s="1" t="str">
        <f>"فروش داخلي - سازمان شهرداري ها و دهياري هاي كشور"</f>
        <v>فروش داخلي - سازمان شهرداري ها و دهياري هاي كشور</v>
      </c>
      <c r="S1878" s="1" t="str">
        <f>"قرارداد فروش"</f>
        <v>قرارداد فروش</v>
      </c>
      <c r="T1878" s="1" t="str">
        <f>"ندارد"</f>
        <v>ندارد</v>
      </c>
      <c r="U1878" s="1" t="str">
        <f>"تعاوني جم گستر (1001 ج 89)"</f>
        <v>تعاوني جم گستر (1001 ج 89)</v>
      </c>
      <c r="V1878" s="1">
        <v>962000028</v>
      </c>
      <c r="W1878" s="1">
        <v>962000028</v>
      </c>
      <c r="X1878" s="1" t="str">
        <f>"1396514467"</f>
        <v>1396514467</v>
      </c>
      <c r="Y1878" s="1" t="str">
        <f>"96/07/03"</f>
        <v>96/07/03</v>
      </c>
      <c r="Z1878" s="1" t="str">
        <f>"26852مرحله اول"</f>
        <v>26852مرحله اول</v>
      </c>
      <c r="AA1878" s="1" t="str">
        <f>"شهرداريها"</f>
        <v>شهرداريها</v>
      </c>
      <c r="AB1878" s="1" t="str">
        <f>"96/06/29"</f>
        <v>96/06/29</v>
      </c>
      <c r="AC1878" s="1" t="str">
        <f>"استان اصفهان"</f>
        <v>استان اصفهان</v>
      </c>
      <c r="AD1878" s="1" t="str">
        <f>"96/07/03"</f>
        <v>96/07/03</v>
      </c>
      <c r="AE1878" s="1" t="str">
        <f>"اختتام"</f>
        <v>اختتام</v>
      </c>
      <c r="AF1878" s="1" t="str">
        <f>""</f>
        <v/>
      </c>
      <c r="AG1878" s="1" t="str">
        <f>""</f>
        <v/>
      </c>
      <c r="AH1878" s="1" t="str">
        <f>""</f>
        <v/>
      </c>
      <c r="AI1878" s="1" t="str">
        <f>""</f>
        <v/>
      </c>
      <c r="AJ1878" s="1" t="str">
        <f>""</f>
        <v/>
      </c>
      <c r="AK1878" s="1" t="str">
        <f>""</f>
        <v/>
      </c>
    </row>
    <row r="1879" spans="1:37">
      <c r="A1879" s="1">
        <v>224000</v>
      </c>
      <c r="B1879" s="1">
        <v>966200554</v>
      </c>
      <c r="C1879" s="1" t="str">
        <f>"تخليه - کرمان-جيرفت-کيلومتر 12 جاده کهنوج کارخانه شرکت ره ياد سازه جنوب"</f>
        <v>تخليه - کرمان-جيرفت-کيلومتر 12 جاده کهنوج کارخانه شرکت ره ياد سازه جنوب</v>
      </c>
      <c r="D1879" s="1">
        <v>13200</v>
      </c>
      <c r="E1879" s="1">
        <v>222700</v>
      </c>
      <c r="F1879" s="1">
        <v>96</v>
      </c>
      <c r="G1879" s="1">
        <v>1300</v>
      </c>
      <c r="H1879" s="1" t="str">
        <f>"96/11/14"</f>
        <v>96/11/14</v>
      </c>
      <c r="I1879" s="1" t="str">
        <f>"كيلوگرم"</f>
        <v>كيلوگرم</v>
      </c>
      <c r="J1879" s="1" t="str">
        <f>"0000000076"</f>
        <v>0000000076</v>
      </c>
      <c r="K1879" s="1" t="str">
        <f>"قير 60/70 - فله"</f>
        <v>قير 60/70 - فله</v>
      </c>
      <c r="L1879" s="1">
        <v>100</v>
      </c>
      <c r="M1879" s="1" t="str">
        <f>"مخازن قير اصفهان"</f>
        <v>مخازن قير اصفهان</v>
      </c>
      <c r="N1879" s="1">
        <v>9424</v>
      </c>
      <c r="O1879" s="1">
        <v>50038360</v>
      </c>
      <c r="P1879" s="1" t="str">
        <f>"  راه وساختمان ره يادسازه جنوب"</f>
        <v xml:space="preserve">  راه وساختمان ره يادسازه جنوب</v>
      </c>
      <c r="Q1879" s="1">
        <v>62</v>
      </c>
      <c r="R1879" s="1" t="str">
        <f>"فروش داخلي - سازمان بنيادمسكن انقلاب اسلامي"</f>
        <v>فروش داخلي - سازمان بنيادمسكن انقلاب اسلامي</v>
      </c>
      <c r="S1879" s="1" t="str">
        <f>"قرارداد فروش"</f>
        <v>قرارداد فروش</v>
      </c>
      <c r="T1879" s="1" t="str">
        <f>"ندارد"</f>
        <v>ندارد</v>
      </c>
      <c r="U1879" s="1" t="str">
        <f>"حاصليان ترابرجنوب مرتضي حاصلي (4844006)"</f>
        <v>حاصليان ترابرجنوب مرتضي حاصلي (4844006)</v>
      </c>
      <c r="V1879" s="1">
        <v>966200554</v>
      </c>
      <c r="W1879" s="1">
        <v>966200554</v>
      </c>
      <c r="X1879" s="1" t="str">
        <f>"1396545121"</f>
        <v>1396545121</v>
      </c>
      <c r="Y1879" s="1" t="str">
        <f>"96/11/14"</f>
        <v>96/11/14</v>
      </c>
      <c r="Z1879" s="1" t="str">
        <f>"50740/د"</f>
        <v>50740/د</v>
      </c>
      <c r="AA1879" s="1" t="str">
        <f>"بنيادمسكن انقلاب اسلامي"</f>
        <v>بنيادمسكن انقلاب اسلامي</v>
      </c>
      <c r="AB1879" s="1" t="str">
        <f>"96/11/11"</f>
        <v>96/11/11</v>
      </c>
      <c r="AC1879" s="1" t="str">
        <f>"استان كرمان"</f>
        <v>استان كرمان</v>
      </c>
      <c r="AD1879" s="1" t="str">
        <f>"96/11/14"</f>
        <v>96/11/14</v>
      </c>
      <c r="AE1879" s="1" t="str">
        <f>"اختتام"</f>
        <v>اختتام</v>
      </c>
      <c r="AF1879" s="1" t="str">
        <f>""</f>
        <v/>
      </c>
      <c r="AG1879" s="1" t="str">
        <f>""</f>
        <v/>
      </c>
      <c r="AH1879" s="1" t="str">
        <f>""</f>
        <v/>
      </c>
      <c r="AI1879" s="1" t="str">
        <f>""</f>
        <v/>
      </c>
      <c r="AJ1879" s="1" t="str">
        <f>""</f>
        <v/>
      </c>
      <c r="AK1879" s="1" t="str">
        <f>""</f>
        <v/>
      </c>
    </row>
    <row r="1880" spans="1:37">
      <c r="A1880" s="1">
        <v>40906</v>
      </c>
      <c r="B1880" s="1">
        <v>962000450</v>
      </c>
      <c r="C1880" s="1" t="str">
        <f>"تخليه اصفهان اتوبان ذوب آهن منطقه صنعتي اشترجان خيابان يازدهم شركت ماژين سازه چكاد"</f>
        <v>تخليه اصفهان اتوبان ذوب آهن منطقه صنعتي اشترجان خيابان يازدهم شركت ماژين سازه چكاد</v>
      </c>
      <c r="D1880" s="1">
        <v>12820</v>
      </c>
      <c r="E1880" s="1">
        <v>40906</v>
      </c>
      <c r="F1880" s="1">
        <v>96</v>
      </c>
      <c r="G1880" s="1">
        <v>0</v>
      </c>
      <c r="H1880" s="1" t="str">
        <f>"96/09/20"</f>
        <v>96/09/20</v>
      </c>
      <c r="I1880" s="1" t="str">
        <f>"كيلوگرم"</f>
        <v>كيلوگرم</v>
      </c>
      <c r="J1880" s="1" t="str">
        <f>"0000000076"</f>
        <v>0000000076</v>
      </c>
      <c r="K1880" s="1" t="str">
        <f>"قير 60/70 - فله"</f>
        <v>قير 60/70 - فله</v>
      </c>
      <c r="L1880" s="1">
        <v>100</v>
      </c>
      <c r="M1880" s="1" t="str">
        <f>"مخازن قير اصفهان"</f>
        <v>مخازن قير اصفهان</v>
      </c>
      <c r="N1880" s="1">
        <v>9456</v>
      </c>
      <c r="O1880" s="1">
        <v>50037772</v>
      </c>
      <c r="P1880" s="1" t="str">
        <f>"  شهرداري ايمانشهر"</f>
        <v xml:space="preserve">  شهرداري ايمانشهر</v>
      </c>
      <c r="Q1880" s="1">
        <v>20</v>
      </c>
      <c r="R1880" s="1" t="str">
        <f>"فروش داخلي - سازمان شهرداري ها و دهياري هاي كشور"</f>
        <v>فروش داخلي - سازمان شهرداري ها و دهياري هاي كشور</v>
      </c>
      <c r="S1880" s="1" t="str">
        <f>"قرارداد فروش"</f>
        <v>قرارداد فروش</v>
      </c>
      <c r="T1880" s="1" t="str">
        <f>"ندارد"</f>
        <v>ندارد</v>
      </c>
      <c r="U1880" s="1" t="str">
        <f>"تعاوني جم گستر (1001 ج 89)"</f>
        <v>تعاوني جم گستر (1001 ج 89)</v>
      </c>
      <c r="V1880" s="1">
        <v>962000450</v>
      </c>
      <c r="W1880" s="1">
        <v>962000450</v>
      </c>
      <c r="X1880" s="1" t="str">
        <f>"1396529711"</f>
        <v>1396529711</v>
      </c>
      <c r="Y1880" s="1" t="str">
        <f>"96/09/20"</f>
        <v>96/09/20</v>
      </c>
      <c r="Z1880" s="1" t="str">
        <f>"37109مرحله دوم"</f>
        <v>37109مرحله دوم</v>
      </c>
      <c r="AA1880" s="1" t="str">
        <f>"شهرداريها"</f>
        <v>شهرداريها</v>
      </c>
      <c r="AB1880" s="1" t="str">
        <f>"96/09/04"</f>
        <v>96/09/04</v>
      </c>
      <c r="AC1880" s="1" t="str">
        <f>"استان اصفهان"</f>
        <v>استان اصفهان</v>
      </c>
      <c r="AD1880" s="1" t="str">
        <f>"96/09/13"</f>
        <v>96/09/13</v>
      </c>
      <c r="AE1880" s="1" t="str">
        <f>"اختتام"</f>
        <v>اختتام</v>
      </c>
      <c r="AF1880" s="1" t="str">
        <f>""</f>
        <v/>
      </c>
      <c r="AG1880" s="1" t="str">
        <f>""</f>
        <v/>
      </c>
      <c r="AH1880" s="1" t="str">
        <f>""</f>
        <v/>
      </c>
      <c r="AI1880" s="1" t="str">
        <f>""</f>
        <v/>
      </c>
      <c r="AJ1880" s="1" t="str">
        <f>""</f>
        <v/>
      </c>
      <c r="AK1880" s="1" t="str">
        <f>""</f>
        <v/>
      </c>
    </row>
    <row r="1881" spans="1:37">
      <c r="A1881" s="1">
        <v>140000</v>
      </c>
      <c r="B1881" s="1">
        <v>966200375</v>
      </c>
      <c r="C1881" s="1" t="str">
        <f>"تخليه-لرستان -دورودكيلومتر12جاده دورود-بروجرد-كارخانه آسفالت راه گستراحسان بروجرد"</f>
        <v>تخليه-لرستان -دورودكيلومتر12جاده دورود-بروجرد-كارخانه آسفالت راه گستراحسان بروجرد</v>
      </c>
      <c r="D1881" s="1">
        <v>9416</v>
      </c>
      <c r="E1881" s="1">
        <v>140000</v>
      </c>
      <c r="F1881" s="1">
        <v>96</v>
      </c>
      <c r="G1881" s="1">
        <v>0</v>
      </c>
      <c r="H1881" s="1" t="str">
        <f>"96/08/17"</f>
        <v>96/08/17</v>
      </c>
      <c r="I1881" s="1" t="str">
        <f>"كيلوگرم"</f>
        <v>كيلوگرم</v>
      </c>
      <c r="J1881" s="1" t="str">
        <f>"0000000076"</f>
        <v>0000000076</v>
      </c>
      <c r="K1881" s="1" t="str">
        <f>"قير 60/70 - فله"</f>
        <v>قير 60/70 - فله</v>
      </c>
      <c r="L1881" s="1">
        <v>100</v>
      </c>
      <c r="M1881" s="1" t="str">
        <f>"مخازن قير اصفهان"</f>
        <v>مخازن قير اصفهان</v>
      </c>
      <c r="N1881" s="1">
        <v>9480</v>
      </c>
      <c r="O1881" s="1">
        <v>50037122</v>
      </c>
      <c r="P1881" s="1" t="str">
        <f>"  راه گستراحسان بروجرد"</f>
        <v xml:space="preserve">  راه گستراحسان بروجرد</v>
      </c>
      <c r="Q1881" s="1">
        <v>62</v>
      </c>
      <c r="R1881" s="1" t="str">
        <f>"فروش داخلي - سازمان بنيادمسكن انقلاب اسلامي"</f>
        <v>فروش داخلي - سازمان بنيادمسكن انقلاب اسلامي</v>
      </c>
      <c r="S1881" s="1" t="str">
        <f>"قرارداد فروش"</f>
        <v>قرارداد فروش</v>
      </c>
      <c r="T1881" s="1" t="str">
        <f>"ندارد"</f>
        <v>ندارد</v>
      </c>
      <c r="U1881" s="1" t="str">
        <f>"ريسماني حسن(1007ج89)"</f>
        <v>ريسماني حسن(1007ج89)</v>
      </c>
      <c r="V1881" s="1">
        <v>966200375</v>
      </c>
      <c r="W1881" s="1">
        <v>966200375</v>
      </c>
      <c r="X1881" s="1" t="str">
        <f>"1396524777"</f>
        <v>1396524777</v>
      </c>
      <c r="Y1881" s="1" t="str">
        <f>"96/08/17"</f>
        <v>96/08/17</v>
      </c>
      <c r="Z1881" s="1" t="str">
        <f>"36783/د"</f>
        <v>36783/د</v>
      </c>
      <c r="AA1881" s="1" t="str">
        <f>"بنيادمسكن انقلاب اسلامي"</f>
        <v>بنيادمسكن انقلاب اسلامي</v>
      </c>
      <c r="AB1881" s="1" t="str">
        <f>"96/08/16"</f>
        <v>96/08/16</v>
      </c>
      <c r="AC1881" s="1" t="str">
        <f>"لرستان"</f>
        <v>لرستان</v>
      </c>
      <c r="AD1881" s="1" t="str">
        <f>"96/08/17"</f>
        <v>96/08/17</v>
      </c>
      <c r="AE1881" s="1" t="str">
        <f>"اختتام"</f>
        <v>اختتام</v>
      </c>
      <c r="AF1881" s="1" t="str">
        <f>""</f>
        <v/>
      </c>
      <c r="AG1881" s="1" t="str">
        <f>""</f>
        <v/>
      </c>
      <c r="AH1881" s="1" t="str">
        <f>""</f>
        <v/>
      </c>
      <c r="AI1881" s="1" t="str">
        <f>""</f>
        <v/>
      </c>
      <c r="AJ1881" s="1" t="str">
        <f>""</f>
        <v/>
      </c>
      <c r="AK1881" s="1" t="str">
        <f>""</f>
        <v/>
      </c>
    </row>
    <row r="1882" spans="1:37">
      <c r="A1882" s="1">
        <v>119714</v>
      </c>
      <c r="B1882" s="1">
        <v>962000227</v>
      </c>
      <c r="C1882" s="1" t="str">
        <f>"تخليه -يزد-ابركوه -كيلومتر10جاده شيراز-كارخانه آسفالت شهرداري ابركوه"</f>
        <v>تخليه -يزد-ابركوه -كيلومتر10جاده شيراز-كارخانه آسفالت شهرداري ابركوه</v>
      </c>
      <c r="D1882" s="1">
        <v>9113</v>
      </c>
      <c r="E1882" s="1">
        <v>119714</v>
      </c>
      <c r="F1882" s="1">
        <v>96</v>
      </c>
      <c r="G1882" s="1">
        <v>0</v>
      </c>
      <c r="H1882" s="1" t="str">
        <f>"96/07/03"</f>
        <v>96/07/03</v>
      </c>
      <c r="I1882" s="1" t="str">
        <f>"كيلوگرم"</f>
        <v>كيلوگرم</v>
      </c>
      <c r="J1882" s="1" t="str">
        <f>"0000000076"</f>
        <v>0000000076</v>
      </c>
      <c r="K1882" s="1" t="str">
        <f>"قير 60/70 - فله"</f>
        <v>قير 60/70 - فله</v>
      </c>
      <c r="L1882" s="1">
        <v>100</v>
      </c>
      <c r="M1882" s="1" t="str">
        <f>"مخازن قير اصفهان"</f>
        <v>مخازن قير اصفهان</v>
      </c>
      <c r="N1882" s="1">
        <v>9512</v>
      </c>
      <c r="O1882" s="1">
        <v>50036466</v>
      </c>
      <c r="P1882" s="1" t="str">
        <f>"  شهرداري مهردشت"</f>
        <v xml:space="preserve">  شهرداري مهردشت</v>
      </c>
      <c r="Q1882" s="1">
        <v>20</v>
      </c>
      <c r="R1882" s="1" t="str">
        <f>"فروش داخلي - سازمان شهرداري ها و دهياري هاي كشور"</f>
        <v>فروش داخلي - سازمان شهرداري ها و دهياري هاي كشور</v>
      </c>
      <c r="S1882" s="1" t="str">
        <f>"قرارداد فروش"</f>
        <v>قرارداد فروش</v>
      </c>
      <c r="T1882" s="1" t="str">
        <f>"ندارد"</f>
        <v>ندارد</v>
      </c>
      <c r="U1882" s="1" t="str">
        <f>"تعاوني جم گستر (1001 ج 89)"</f>
        <v>تعاوني جم گستر (1001 ج 89)</v>
      </c>
      <c r="V1882" s="1">
        <v>962000227</v>
      </c>
      <c r="W1882" s="1">
        <v>962000227</v>
      </c>
      <c r="X1882" s="1" t="str">
        <f>"1396514467"</f>
        <v>1396514467</v>
      </c>
      <c r="Y1882" s="1" t="str">
        <f>"96/07/03"</f>
        <v>96/07/03</v>
      </c>
      <c r="Z1882" s="1" t="str">
        <f>"26646مرحله اول"</f>
        <v>26646مرحله اول</v>
      </c>
      <c r="AA1882" s="1" t="str">
        <f>"شهرداريها"</f>
        <v>شهرداريها</v>
      </c>
      <c r="AB1882" s="1" t="str">
        <f>"96/06/29"</f>
        <v>96/06/29</v>
      </c>
      <c r="AC1882" s="1" t="str">
        <f>"استان يزد"</f>
        <v>استان يزد</v>
      </c>
      <c r="AD1882" s="1" t="str">
        <f>"96/07/03"</f>
        <v>96/07/03</v>
      </c>
      <c r="AE1882" s="1" t="str">
        <f>"اختتام"</f>
        <v>اختتام</v>
      </c>
      <c r="AF1882" s="1" t="str">
        <f>""</f>
        <v/>
      </c>
      <c r="AG1882" s="1" t="str">
        <f>""</f>
        <v/>
      </c>
      <c r="AH1882" s="1" t="str">
        <f>""</f>
        <v/>
      </c>
      <c r="AI1882" s="1" t="str">
        <f>""</f>
        <v/>
      </c>
      <c r="AJ1882" s="1" t="str">
        <f>""</f>
        <v/>
      </c>
      <c r="AK1882" s="1" t="str">
        <f>""</f>
        <v/>
      </c>
    </row>
    <row r="1883" spans="1:37">
      <c r="A1883" s="1">
        <v>103494</v>
      </c>
      <c r="B1883" s="1">
        <v>962000010</v>
      </c>
      <c r="C1883" s="1" t="str">
        <f>"تخليه - پنج کيلومتري شهرانارک-شرکت فرد سازه سپاهان"</f>
        <v>تخليه - پنج کيلومتري شهرانارک-شرکت فرد سازه سپاهان</v>
      </c>
      <c r="D1883" s="1">
        <v>9113</v>
      </c>
      <c r="E1883" s="1">
        <v>103494</v>
      </c>
      <c r="F1883" s="1">
        <v>96</v>
      </c>
      <c r="G1883" s="1">
        <v>0</v>
      </c>
      <c r="H1883" s="1" t="str">
        <f>"96/07/03"</f>
        <v>96/07/03</v>
      </c>
      <c r="I1883" s="1" t="str">
        <f>"كيلوگرم"</f>
        <v>كيلوگرم</v>
      </c>
      <c r="J1883" s="1" t="str">
        <f>"0000000076"</f>
        <v>0000000076</v>
      </c>
      <c r="K1883" s="1" t="str">
        <f>"قير 60/70 - فله"</f>
        <v>قير 60/70 - فله</v>
      </c>
      <c r="L1883" s="1">
        <v>100</v>
      </c>
      <c r="M1883" s="1" t="str">
        <f>"مخازن قير اصفهان"</f>
        <v>مخازن قير اصفهان</v>
      </c>
      <c r="N1883" s="1">
        <v>9521</v>
      </c>
      <c r="O1883" s="1">
        <v>50036149</v>
      </c>
      <c r="P1883" s="1" t="str">
        <f>"  شهرداري انارك"</f>
        <v xml:space="preserve">  شهرداري انارك</v>
      </c>
      <c r="Q1883" s="1">
        <v>20</v>
      </c>
      <c r="R1883" s="1" t="str">
        <f>"فروش داخلي - سازمان شهرداري ها و دهياري هاي كشور"</f>
        <v>فروش داخلي - سازمان شهرداري ها و دهياري هاي كشور</v>
      </c>
      <c r="S1883" s="1" t="str">
        <f>"قرارداد فروش"</f>
        <v>قرارداد فروش</v>
      </c>
      <c r="T1883" s="1" t="str">
        <f>"ندارد"</f>
        <v>ندارد</v>
      </c>
      <c r="U1883" s="1" t="str">
        <f>"تعاوني جم گستر (1001 ج 89)"</f>
        <v>تعاوني جم گستر (1001 ج 89)</v>
      </c>
      <c r="V1883" s="1">
        <v>962000010</v>
      </c>
      <c r="W1883" s="1">
        <v>962000010</v>
      </c>
      <c r="X1883" s="1" t="str">
        <f>"1396514467"</f>
        <v>1396514467</v>
      </c>
      <c r="Y1883" s="1" t="str">
        <f>"96/07/03"</f>
        <v>96/07/03</v>
      </c>
      <c r="Z1883" s="1" t="str">
        <f>"26829مرحله اول"</f>
        <v>26829مرحله اول</v>
      </c>
      <c r="AA1883" s="1" t="str">
        <f>"شهرداريها"</f>
        <v>شهرداريها</v>
      </c>
      <c r="AB1883" s="1" t="str">
        <f>"96/06/29"</f>
        <v>96/06/29</v>
      </c>
      <c r="AC1883" s="1" t="str">
        <f>"استان اصفهان"</f>
        <v>استان اصفهان</v>
      </c>
      <c r="AD1883" s="1" t="str">
        <f>"96/07/03"</f>
        <v>96/07/03</v>
      </c>
      <c r="AE1883" s="1" t="str">
        <f>"اختتام"</f>
        <v>اختتام</v>
      </c>
      <c r="AF1883" s="1" t="str">
        <f>""</f>
        <v/>
      </c>
      <c r="AG1883" s="1" t="str">
        <f>""</f>
        <v/>
      </c>
      <c r="AH1883" s="1" t="str">
        <f>""</f>
        <v/>
      </c>
      <c r="AI1883" s="1" t="str">
        <f>""</f>
        <v/>
      </c>
      <c r="AJ1883" s="1" t="str">
        <f>""</f>
        <v/>
      </c>
      <c r="AK1883" s="1" t="str">
        <f>""</f>
        <v/>
      </c>
    </row>
    <row r="1884" spans="1:37">
      <c r="A1884" s="1">
        <v>147835</v>
      </c>
      <c r="B1884" s="1">
        <v>962000066</v>
      </c>
      <c r="C1884" s="1" t="str">
        <f>"تخليه اتوبان ذوب آهن بعدازپليس راه قطب صنعتي اشترجان شركت ماژين سازه چكاد"</f>
        <v>تخليه اتوبان ذوب آهن بعدازپليس راه قطب صنعتي اشترجان شركت ماژين سازه چكاد</v>
      </c>
      <c r="D1884" s="1">
        <v>9113</v>
      </c>
      <c r="E1884" s="1">
        <v>147835</v>
      </c>
      <c r="F1884" s="1">
        <v>96</v>
      </c>
      <c r="G1884" s="1">
        <v>0</v>
      </c>
      <c r="H1884" s="1" t="str">
        <f>"96/07/03"</f>
        <v>96/07/03</v>
      </c>
      <c r="I1884" s="1" t="str">
        <f>"كيلوگرم"</f>
        <v>كيلوگرم</v>
      </c>
      <c r="J1884" s="1" t="str">
        <f>"0000000076"</f>
        <v>0000000076</v>
      </c>
      <c r="K1884" s="1" t="str">
        <f>"قير 60/70 - فله"</f>
        <v>قير 60/70 - فله</v>
      </c>
      <c r="L1884" s="1">
        <v>100</v>
      </c>
      <c r="M1884" s="1" t="str">
        <f>"مخازن قير اصفهان"</f>
        <v>مخازن قير اصفهان</v>
      </c>
      <c r="N1884" s="1">
        <v>9532</v>
      </c>
      <c r="O1884" s="1">
        <v>50036214</v>
      </c>
      <c r="P1884" s="1" t="str">
        <f>"  شهرداري قهدريجان"</f>
        <v xml:space="preserve">  شهرداري قهدريجان</v>
      </c>
      <c r="Q1884" s="1">
        <v>20</v>
      </c>
      <c r="R1884" s="1" t="str">
        <f>"فروش داخلي - سازمان شهرداري ها و دهياري هاي كشور"</f>
        <v>فروش داخلي - سازمان شهرداري ها و دهياري هاي كشور</v>
      </c>
      <c r="S1884" s="1" t="str">
        <f>"قرارداد فروش"</f>
        <v>قرارداد فروش</v>
      </c>
      <c r="T1884" s="1" t="str">
        <f>"ندارد"</f>
        <v>ندارد</v>
      </c>
      <c r="U1884" s="1" t="str">
        <f>"تعاوني جم گستر (1001 ج 89)"</f>
        <v>تعاوني جم گستر (1001 ج 89)</v>
      </c>
      <c r="V1884" s="1">
        <v>962000066</v>
      </c>
      <c r="W1884" s="1">
        <v>962000066</v>
      </c>
      <c r="X1884" s="1" t="str">
        <f>"1396514467"</f>
        <v>1396514467</v>
      </c>
      <c r="Y1884" s="1" t="str">
        <f>"96/07/03"</f>
        <v>96/07/03</v>
      </c>
      <c r="Z1884" s="1" t="str">
        <f>"26688مرحله اول"</f>
        <v>26688مرحله اول</v>
      </c>
      <c r="AA1884" s="1" t="str">
        <f>"شهرداريها"</f>
        <v>شهرداريها</v>
      </c>
      <c r="AB1884" s="1" t="str">
        <f>"96/06/29"</f>
        <v>96/06/29</v>
      </c>
      <c r="AC1884" s="1" t="str">
        <f>"استان اصفهان"</f>
        <v>استان اصفهان</v>
      </c>
      <c r="AD1884" s="1" t="str">
        <f>"96/07/03"</f>
        <v>96/07/03</v>
      </c>
      <c r="AE1884" s="1" t="str">
        <f>"تاييدشده"</f>
        <v>تاييدشده</v>
      </c>
      <c r="AF1884" s="1" t="str">
        <f>""</f>
        <v/>
      </c>
      <c r="AG1884" s="1" t="str">
        <f>""</f>
        <v/>
      </c>
      <c r="AH1884" s="1" t="str">
        <f>""</f>
        <v/>
      </c>
      <c r="AI1884" s="1" t="str">
        <f>""</f>
        <v/>
      </c>
      <c r="AJ1884" s="1" t="str">
        <f>""</f>
        <v/>
      </c>
      <c r="AK1884" s="1" t="str">
        <f>""</f>
        <v/>
      </c>
    </row>
    <row r="1885" spans="1:37">
      <c r="A1885" s="1">
        <v>15000</v>
      </c>
      <c r="B1885" s="1">
        <v>966300022</v>
      </c>
      <c r="C1885" s="1" t="str">
        <f>"كيلومتر 12 محور بيرجند به زاهدان كارخانه‌آسفالت شهرداري"</f>
        <v>كيلومتر 12 محور بيرجند به زاهدان كارخانه‌آسفالت شهرداري</v>
      </c>
      <c r="D1885" s="1">
        <v>12820</v>
      </c>
      <c r="E1885" s="1">
        <v>14420</v>
      </c>
      <c r="F1885" s="1">
        <v>96</v>
      </c>
      <c r="G1885" s="1">
        <v>580</v>
      </c>
      <c r="H1885" s="1" t="str">
        <f>"96/09/08"</f>
        <v>96/09/08</v>
      </c>
      <c r="I1885" s="1" t="str">
        <f>"كيلوگرم"</f>
        <v>كيلوگرم</v>
      </c>
      <c r="J1885" s="1" t="str">
        <f>"0000000076"</f>
        <v>0000000076</v>
      </c>
      <c r="K1885" s="1" t="str">
        <f>"قير 60/70 - فله"</f>
        <v>قير 60/70 - فله</v>
      </c>
      <c r="L1885" s="1">
        <v>100</v>
      </c>
      <c r="M1885" s="1" t="str">
        <f>"مخازن قير اصفهان"</f>
        <v>مخازن قير اصفهان</v>
      </c>
      <c r="N1885" s="1">
        <v>9573</v>
      </c>
      <c r="O1885" s="1">
        <v>50037335</v>
      </c>
      <c r="P1885" s="1" t="str">
        <f>"  سازمان عمران و بازآفريني فضاهاي شهري شهرداري بيرجند"</f>
        <v xml:space="preserve">  سازمان عمران و بازآفريني فضاهاي شهري شهرداري بيرجند</v>
      </c>
      <c r="Q1885" s="1">
        <v>63</v>
      </c>
      <c r="R1885" s="1" t="str">
        <f>"سازمان نوسازي،توسعه و تجهيز مدارس كشور"</f>
        <v>سازمان نوسازي،توسعه و تجهيز مدارس كشور</v>
      </c>
      <c r="S1885" s="1" t="str">
        <f>"قرارداد فروش"</f>
        <v>قرارداد فروش</v>
      </c>
      <c r="T1885" s="1" t="str">
        <f>"ندارد"</f>
        <v>ندارد</v>
      </c>
      <c r="U1885" s="1" t="str">
        <f>"آقا علي منوچهر(1016ج89)"</f>
        <v>آقا علي منوچهر(1016ج89)</v>
      </c>
      <c r="V1885" s="1">
        <v>966300022</v>
      </c>
      <c r="W1885" s="1">
        <v>966300022</v>
      </c>
      <c r="X1885" s="1" t="str">
        <f>"1396529161"</f>
        <v>1396529161</v>
      </c>
      <c r="Y1885" s="1" t="str">
        <f>"96/09/08"</f>
        <v>96/09/08</v>
      </c>
      <c r="Z1885" s="1" t="str">
        <f>"3096/19-7192"</f>
        <v>3096/19-7192</v>
      </c>
      <c r="AA1885" s="1" t="str">
        <f>"سازمان نوسازي توسعه وتجهيزمدارس كشور"</f>
        <v>سازمان نوسازي توسعه وتجهيزمدارس كشور</v>
      </c>
      <c r="AB1885" s="1" t="str">
        <f>"96/08/14"</f>
        <v>96/08/14</v>
      </c>
      <c r="AC1885" s="1" t="str">
        <f>"خراسان جنوبي"</f>
        <v>خراسان جنوبي</v>
      </c>
      <c r="AD1885" s="1" t="str">
        <f>"96/09/08"</f>
        <v>96/09/08</v>
      </c>
      <c r="AE1885" s="1" t="str">
        <f>"اختتام"</f>
        <v>اختتام</v>
      </c>
      <c r="AF1885" s="1" t="str">
        <f>""</f>
        <v/>
      </c>
      <c r="AG1885" s="1" t="str">
        <f>""</f>
        <v/>
      </c>
      <c r="AH1885" s="1" t="str">
        <f>""</f>
        <v/>
      </c>
      <c r="AI1885" s="1" t="str">
        <f>""</f>
        <v/>
      </c>
      <c r="AJ1885" s="1" t="str">
        <f>""</f>
        <v/>
      </c>
      <c r="AK1885" s="1" t="str">
        <f>""</f>
        <v/>
      </c>
    </row>
    <row r="1886" spans="1:37">
      <c r="A1886" s="1">
        <v>134126</v>
      </c>
      <c r="B1886" s="1">
        <v>962000141</v>
      </c>
      <c r="C1886" s="1" t="str">
        <f>"تخليه -خراسان جنوبي -شهرستان نهبندان -شهرداري نهبندان"</f>
        <v>تخليه -خراسان جنوبي -شهرستان نهبندان -شهرداري نهبندان</v>
      </c>
      <c r="D1886" s="1">
        <v>9113</v>
      </c>
      <c r="E1886" s="1">
        <v>134126</v>
      </c>
      <c r="F1886" s="1">
        <v>96</v>
      </c>
      <c r="G1886" s="1">
        <v>0</v>
      </c>
      <c r="H1886" s="1" t="str">
        <f>"96/07/03"</f>
        <v>96/07/03</v>
      </c>
      <c r="I1886" s="1" t="str">
        <f>"كيلوگرم"</f>
        <v>كيلوگرم</v>
      </c>
      <c r="J1886" s="1" t="str">
        <f>"0000000076"</f>
        <v>0000000076</v>
      </c>
      <c r="K1886" s="1" t="str">
        <f>"قير 60/70 - فله"</f>
        <v>قير 60/70 - فله</v>
      </c>
      <c r="L1886" s="1">
        <v>100</v>
      </c>
      <c r="M1886" s="1" t="str">
        <f>"مخازن قير اصفهان"</f>
        <v>مخازن قير اصفهان</v>
      </c>
      <c r="N1886" s="1">
        <v>9657</v>
      </c>
      <c r="O1886" s="1">
        <v>50036332</v>
      </c>
      <c r="P1886" s="1" t="str">
        <f>"  شهرداري شوسف"</f>
        <v xml:space="preserve">  شهرداري شوسف</v>
      </c>
      <c r="Q1886" s="1">
        <v>20</v>
      </c>
      <c r="R1886" s="1" t="str">
        <f>"فروش داخلي - سازمان شهرداري ها و دهياري هاي كشور"</f>
        <v>فروش داخلي - سازمان شهرداري ها و دهياري هاي كشور</v>
      </c>
      <c r="S1886" s="1" t="str">
        <f>"قرارداد فروش"</f>
        <v>قرارداد فروش</v>
      </c>
      <c r="T1886" s="1" t="str">
        <f>"ندارد"</f>
        <v>ندارد</v>
      </c>
      <c r="U1886" s="1" t="str">
        <f>"تعاوني جم گستر (1001 ج 89)"</f>
        <v>تعاوني جم گستر (1001 ج 89)</v>
      </c>
      <c r="V1886" s="1">
        <v>962000141</v>
      </c>
      <c r="W1886" s="1">
        <v>962000141</v>
      </c>
      <c r="X1886" s="1" t="str">
        <f>"1396514467"</f>
        <v>1396514467</v>
      </c>
      <c r="Y1886" s="1" t="str">
        <f>"96/07/03"</f>
        <v>96/07/03</v>
      </c>
      <c r="Z1886" s="1" t="str">
        <f>"26724مرحله اول"</f>
        <v>26724مرحله اول</v>
      </c>
      <c r="AA1886" s="1" t="str">
        <f>"شهرداريها"</f>
        <v>شهرداريها</v>
      </c>
      <c r="AB1886" s="1" t="str">
        <f>"96/06/29"</f>
        <v>96/06/29</v>
      </c>
      <c r="AC1886" s="1" t="str">
        <f>"خراسان جنوبي"</f>
        <v>خراسان جنوبي</v>
      </c>
      <c r="AD1886" s="1" t="str">
        <f>"96/07/03"</f>
        <v>96/07/03</v>
      </c>
      <c r="AE1886" s="1" t="str">
        <f>"اختتام"</f>
        <v>اختتام</v>
      </c>
      <c r="AF1886" s="1" t="str">
        <f>""</f>
        <v/>
      </c>
      <c r="AG1886" s="1" t="str">
        <f>""</f>
        <v/>
      </c>
      <c r="AH1886" s="1" t="str">
        <f>""</f>
        <v/>
      </c>
      <c r="AI1886" s="1" t="str">
        <f>""</f>
        <v/>
      </c>
      <c r="AJ1886" s="1" t="str">
        <f>""</f>
        <v/>
      </c>
      <c r="AK1886" s="1" t="str">
        <f>""</f>
        <v/>
      </c>
    </row>
    <row r="1887" spans="1:37">
      <c r="A1887" s="1">
        <v>66000</v>
      </c>
      <c r="B1887" s="1">
        <v>962000003</v>
      </c>
      <c r="C1887" s="1" t="str">
        <f>"تخليه -جاده قديم قم -اصفهان بعدازامامزاده عبدالله روبروي كارخانه سيمان نيزار-شركت فراسوي خزر"</f>
        <v>تخليه -جاده قديم قم -اصفهان بعدازامامزاده عبدالله روبروي كارخانه سيمان نيزار-شركت فراسوي خزر</v>
      </c>
      <c r="D1887" s="1">
        <v>8918</v>
      </c>
      <c r="E1887" s="1">
        <v>65100</v>
      </c>
      <c r="F1887" s="1">
        <v>96</v>
      </c>
      <c r="G1887" s="1">
        <v>900</v>
      </c>
      <c r="H1887" s="1" t="str">
        <f>"96/02/14"</f>
        <v>96/02/14</v>
      </c>
      <c r="I1887" s="1" t="str">
        <f>"كيلوگرم"</f>
        <v>كيلوگرم</v>
      </c>
      <c r="J1887" s="1" t="str">
        <f>"0000000076"</f>
        <v>0000000076</v>
      </c>
      <c r="K1887" s="1" t="str">
        <f>"قير 60/70 - فله"</f>
        <v>قير 60/70 - فله</v>
      </c>
      <c r="L1887" s="1">
        <v>100</v>
      </c>
      <c r="M1887" s="1" t="str">
        <f>"مخازن قير اصفهان"</f>
        <v>مخازن قير اصفهان</v>
      </c>
      <c r="N1887" s="1">
        <v>9660</v>
      </c>
      <c r="O1887" s="1">
        <v>50034767</v>
      </c>
      <c r="P1887" s="1" t="str">
        <f>"  شهرداري دستجرد"</f>
        <v xml:space="preserve">  شهرداري دستجرد</v>
      </c>
      <c r="Q1887" s="1">
        <v>20</v>
      </c>
      <c r="R1887" s="1" t="str">
        <f>"فروش داخلي - سازمان شهرداري ها و دهياري هاي كشور"</f>
        <v>فروش داخلي - سازمان شهرداري ها و دهياري هاي كشور</v>
      </c>
      <c r="S1887" s="1" t="str">
        <f>"قرارداد فروش"</f>
        <v>قرارداد فروش</v>
      </c>
      <c r="T1887" s="1" t="str">
        <f>"ندارد"</f>
        <v>ندارد</v>
      </c>
      <c r="U1887" s="1" t="str">
        <f>"محمدي نژاد خداوردي(2842024)"</f>
        <v>محمدي نژاد خداوردي(2842024)</v>
      </c>
      <c r="V1887" s="1">
        <v>962000003</v>
      </c>
      <c r="W1887" s="1">
        <v>962000003</v>
      </c>
      <c r="X1887" s="1" t="str">
        <f>"1396478790"</f>
        <v>1396478790</v>
      </c>
      <c r="Y1887" s="1" t="str">
        <f>"96/02/14"</f>
        <v>96/02/14</v>
      </c>
      <c r="Z1887" s="1" t="str">
        <f>"34984"</f>
        <v>34984</v>
      </c>
      <c r="AA1887" s="1" t="str">
        <f>"شهرداريها"</f>
        <v>شهرداريها</v>
      </c>
      <c r="AB1887" s="1" t="str">
        <f>"95/07/18"</f>
        <v>95/07/18</v>
      </c>
      <c r="AC1887" s="1" t="str">
        <f>"قم"</f>
        <v>قم</v>
      </c>
      <c r="AD1887" s="1" t="str">
        <f>"96/02/13"</f>
        <v>96/02/13</v>
      </c>
      <c r="AE1887" s="1" t="str">
        <f>"اختتام"</f>
        <v>اختتام</v>
      </c>
      <c r="AF1887" s="1" t="str">
        <f>""</f>
        <v/>
      </c>
      <c r="AG1887" s="1" t="str">
        <f>""</f>
        <v/>
      </c>
      <c r="AH1887" s="1" t="str">
        <f>""</f>
        <v/>
      </c>
      <c r="AI1887" s="1" t="str">
        <f>""</f>
        <v/>
      </c>
      <c r="AJ1887" s="1" t="str">
        <f>""</f>
        <v/>
      </c>
      <c r="AK1887" s="1" t="str">
        <f>""</f>
        <v/>
      </c>
    </row>
    <row r="1888" spans="1:37">
      <c r="A1888" s="1">
        <v>70025</v>
      </c>
      <c r="B1888" s="1">
        <v>962000242</v>
      </c>
      <c r="C1888" s="1" t="str">
        <f>"تخليه يزد-هرات خيابان شهيدصدوقي انبارشهرداري هرات"</f>
        <v>تخليه يزد-هرات خيابان شهيدصدوقي انبارشهرداري هرات</v>
      </c>
      <c r="D1888" s="1">
        <v>9113</v>
      </c>
      <c r="E1888" s="1">
        <v>70025</v>
      </c>
      <c r="F1888" s="1">
        <v>96</v>
      </c>
      <c r="G1888" s="1">
        <v>0</v>
      </c>
      <c r="H1888" s="1" t="str">
        <f>"96/09/07"</f>
        <v>96/09/07</v>
      </c>
      <c r="I1888" s="1" t="str">
        <f>"كيلوگرم"</f>
        <v>كيلوگرم</v>
      </c>
      <c r="J1888" s="1" t="str">
        <f>"0000000076"</f>
        <v>0000000076</v>
      </c>
      <c r="K1888" s="1" t="str">
        <f>"قير 60/70 - فله"</f>
        <v>قير 60/70 - فله</v>
      </c>
      <c r="L1888" s="1">
        <v>100</v>
      </c>
      <c r="M1888" s="1" t="str">
        <f>"مخازن قير اصفهان"</f>
        <v>مخازن قير اصفهان</v>
      </c>
      <c r="N1888" s="1">
        <v>9691</v>
      </c>
      <c r="O1888" s="1">
        <v>50037292</v>
      </c>
      <c r="P1888" s="1" t="str">
        <f>"  شهرداري هرات"</f>
        <v xml:space="preserve">  شهرداري هرات</v>
      </c>
      <c r="Q1888" s="1">
        <v>20</v>
      </c>
      <c r="R1888" s="1" t="str">
        <f>"فروش داخلي - سازمان شهرداري ها و دهياري هاي كشور"</f>
        <v>فروش داخلي - سازمان شهرداري ها و دهياري هاي كشور</v>
      </c>
      <c r="S1888" s="1" t="str">
        <f>"قرارداد فروش"</f>
        <v>قرارداد فروش</v>
      </c>
      <c r="T1888" s="1" t="str">
        <f>"ندارد"</f>
        <v>ندارد</v>
      </c>
      <c r="U1888" s="1" t="str">
        <f>"تعاوني جم گستر (1001 ج 89)"</f>
        <v>تعاوني جم گستر (1001 ج 89)</v>
      </c>
      <c r="V1888" s="1">
        <v>962000242</v>
      </c>
      <c r="W1888" s="1">
        <v>962000242</v>
      </c>
      <c r="X1888" s="1" t="str">
        <f>"1396514467"</f>
        <v>1396514467</v>
      </c>
      <c r="Y1888" s="1" t="str">
        <f>"96/09/07"</f>
        <v>96/09/07</v>
      </c>
      <c r="Z1888" s="1" t="str">
        <f>"36655مرحله دوم"</f>
        <v>36655مرحله دوم</v>
      </c>
      <c r="AA1888" s="1" t="str">
        <f>"شهرداريها"</f>
        <v>شهرداريها</v>
      </c>
      <c r="AB1888" s="1" t="str">
        <f>"96/09/01"</f>
        <v>96/09/01</v>
      </c>
      <c r="AC1888" s="1" t="str">
        <f>"استان يزد"</f>
        <v>استان يزد</v>
      </c>
      <c r="AD1888" s="1" t="str">
        <f>"96/07/03"</f>
        <v>96/07/03</v>
      </c>
      <c r="AE1888" s="1" t="str">
        <f>"اختتام"</f>
        <v>اختتام</v>
      </c>
      <c r="AF1888" s="1" t="str">
        <f>""</f>
        <v/>
      </c>
      <c r="AG1888" s="1" t="str">
        <f>""</f>
        <v/>
      </c>
      <c r="AH1888" s="1" t="str">
        <f>""</f>
        <v/>
      </c>
      <c r="AI1888" s="1" t="str">
        <f>""</f>
        <v/>
      </c>
      <c r="AJ1888" s="1" t="str">
        <f>""</f>
        <v/>
      </c>
      <c r="AK1888" s="1" t="str">
        <f>""</f>
        <v/>
      </c>
    </row>
    <row r="1889" spans="1:37">
      <c r="A1889" s="1">
        <v>119965</v>
      </c>
      <c r="B1889" s="1">
        <v>962000168</v>
      </c>
      <c r="C1889" s="1" t="str">
        <f>"تخليه خراسان رضوي كيلومتر12جاده فيروزه قوچان شركت دل حفره"</f>
        <v>تخليه خراسان رضوي كيلومتر12جاده فيروزه قوچان شركت دل حفره</v>
      </c>
      <c r="D1889" s="1">
        <v>9113</v>
      </c>
      <c r="E1889" s="1">
        <v>119965</v>
      </c>
      <c r="F1889" s="1">
        <v>96</v>
      </c>
      <c r="G1889" s="1">
        <v>0</v>
      </c>
      <c r="H1889" s="1" t="str">
        <f>"96/07/03"</f>
        <v>96/07/03</v>
      </c>
      <c r="I1889" s="1" t="str">
        <f>"كيلوگرم"</f>
        <v>كيلوگرم</v>
      </c>
      <c r="J1889" s="1" t="str">
        <f>"0000000076"</f>
        <v>0000000076</v>
      </c>
      <c r="K1889" s="1" t="str">
        <f>"قير 60/70 - فله"</f>
        <v>قير 60/70 - فله</v>
      </c>
      <c r="L1889" s="1">
        <v>100</v>
      </c>
      <c r="M1889" s="1" t="str">
        <f>"مخازن قير اصفهان"</f>
        <v>مخازن قير اصفهان</v>
      </c>
      <c r="N1889" s="1">
        <v>9786</v>
      </c>
      <c r="O1889" s="1">
        <v>50036373</v>
      </c>
      <c r="P1889" s="1" t="str">
        <f>"  شهرداري درود"</f>
        <v xml:space="preserve">  شهرداري درود</v>
      </c>
      <c r="Q1889" s="1">
        <v>20</v>
      </c>
      <c r="R1889" s="1" t="str">
        <f>"فروش داخلي - سازمان شهرداري ها و دهياري هاي كشور"</f>
        <v>فروش داخلي - سازمان شهرداري ها و دهياري هاي كشور</v>
      </c>
      <c r="S1889" s="1" t="str">
        <f>"قرارداد فروش"</f>
        <v>قرارداد فروش</v>
      </c>
      <c r="T1889" s="1" t="str">
        <f>"ندارد"</f>
        <v>ندارد</v>
      </c>
      <c r="U1889" s="1" t="str">
        <f>"تعاوني جم گستر (1001 ج 89)"</f>
        <v>تعاوني جم گستر (1001 ج 89)</v>
      </c>
      <c r="V1889" s="1">
        <v>962000168</v>
      </c>
      <c r="W1889" s="1">
        <v>962000168</v>
      </c>
      <c r="X1889" s="1" t="str">
        <f>"1396514467"</f>
        <v>1396514467</v>
      </c>
      <c r="Y1889" s="1" t="str">
        <f>"96/07/03"</f>
        <v>96/07/03</v>
      </c>
      <c r="Z1889" s="1" t="str">
        <f>"26809مرحله اول"</f>
        <v>26809مرحله اول</v>
      </c>
      <c r="AA1889" s="1" t="str">
        <f>"شهرداريها"</f>
        <v>شهرداريها</v>
      </c>
      <c r="AB1889" s="1" t="str">
        <f>"96/06/29"</f>
        <v>96/06/29</v>
      </c>
      <c r="AC1889" s="1" t="str">
        <f>"خراسان رضوي"</f>
        <v>خراسان رضوي</v>
      </c>
      <c r="AD1889" s="1" t="str">
        <f>"96/07/03"</f>
        <v>96/07/03</v>
      </c>
      <c r="AE1889" s="1" t="str">
        <f>"اختتام"</f>
        <v>اختتام</v>
      </c>
      <c r="AF1889" s="1" t="str">
        <f>""</f>
        <v/>
      </c>
      <c r="AG1889" s="1" t="str">
        <f>""</f>
        <v/>
      </c>
      <c r="AH1889" s="1" t="str">
        <f>""</f>
        <v/>
      </c>
      <c r="AI1889" s="1" t="str">
        <f>""</f>
        <v/>
      </c>
      <c r="AJ1889" s="1" t="str">
        <f>""</f>
        <v/>
      </c>
      <c r="AK1889" s="1" t="str">
        <f>""</f>
        <v/>
      </c>
    </row>
    <row r="1890" spans="1:37">
      <c r="A1890" s="1">
        <v>59982</v>
      </c>
      <c r="B1890" s="1">
        <v>962000336</v>
      </c>
      <c r="C1890" s="1" t="str">
        <f>"تخليه خراسان رضوي كيلومتر12جاده فيروزه قوچان شركت دل حفره"</f>
        <v>تخليه خراسان رضوي كيلومتر12جاده فيروزه قوچان شركت دل حفره</v>
      </c>
      <c r="D1890" s="1">
        <v>9113</v>
      </c>
      <c r="E1890" s="1">
        <v>58175</v>
      </c>
      <c r="F1890" s="1">
        <v>96</v>
      </c>
      <c r="G1890" s="1">
        <v>1807</v>
      </c>
      <c r="H1890" s="1" t="str">
        <f>"96/09/13"</f>
        <v>96/09/13</v>
      </c>
      <c r="I1890" s="1" t="str">
        <f>"كيلوگرم"</f>
        <v>كيلوگرم</v>
      </c>
      <c r="J1890" s="1" t="str">
        <f>"0000000076"</f>
        <v>0000000076</v>
      </c>
      <c r="K1890" s="1" t="str">
        <f>"قير 60/70 - فله"</f>
        <v>قير 60/70 - فله</v>
      </c>
      <c r="L1890" s="1">
        <v>100</v>
      </c>
      <c r="M1890" s="1" t="str">
        <f>"مخازن قير اصفهان"</f>
        <v>مخازن قير اصفهان</v>
      </c>
      <c r="N1890" s="1">
        <v>9786</v>
      </c>
      <c r="O1890" s="1">
        <v>50037545</v>
      </c>
      <c r="P1890" s="1" t="str">
        <f>"  شهرداري درود"</f>
        <v xml:space="preserve">  شهرداري درود</v>
      </c>
      <c r="Q1890" s="1">
        <v>20</v>
      </c>
      <c r="R1890" s="1" t="str">
        <f>"فروش داخلي - سازمان شهرداري ها و دهياري هاي كشور"</f>
        <v>فروش داخلي - سازمان شهرداري ها و دهياري هاي كشور</v>
      </c>
      <c r="S1890" s="1" t="str">
        <f>"قرارداد فروش"</f>
        <v>قرارداد فروش</v>
      </c>
      <c r="T1890" s="1" t="str">
        <f>"ندارد"</f>
        <v>ندارد</v>
      </c>
      <c r="U1890" s="1" t="str">
        <f>"تعاوني جم گستر (1001 ج 89)"</f>
        <v>تعاوني جم گستر (1001 ج 89)</v>
      </c>
      <c r="V1890" s="1">
        <v>962000336</v>
      </c>
      <c r="W1890" s="1">
        <v>962000336</v>
      </c>
      <c r="X1890" s="1" t="str">
        <f>"1396514467"</f>
        <v>1396514467</v>
      </c>
      <c r="Y1890" s="1" t="str">
        <f>"96/09/12"</f>
        <v>96/09/12</v>
      </c>
      <c r="Z1890" s="1" t="str">
        <f>"37022مرحله دوم"</f>
        <v>37022مرحله دوم</v>
      </c>
      <c r="AA1890" s="1" t="str">
        <f>"شهرداريها"</f>
        <v>شهرداريها</v>
      </c>
      <c r="AB1890" s="1" t="str">
        <f>"96/09/04"</f>
        <v>96/09/04</v>
      </c>
      <c r="AC1890" s="1" t="str">
        <f>"خراسان رضوي"</f>
        <v>خراسان رضوي</v>
      </c>
      <c r="AD1890" s="1" t="str">
        <f>"96/07/03"</f>
        <v>96/07/03</v>
      </c>
      <c r="AE1890" s="1" t="str">
        <f>"اختتام"</f>
        <v>اختتام</v>
      </c>
      <c r="AF1890" s="1" t="str">
        <f>""</f>
        <v/>
      </c>
      <c r="AG1890" s="1" t="str">
        <f>""</f>
        <v/>
      </c>
      <c r="AH1890" s="1" t="str">
        <f>""</f>
        <v/>
      </c>
      <c r="AI1890" s="1" t="str">
        <f>""</f>
        <v/>
      </c>
      <c r="AJ1890" s="1" t="str">
        <f>""</f>
        <v/>
      </c>
      <c r="AK1890" s="1" t="str">
        <f>""</f>
        <v/>
      </c>
    </row>
    <row r="1891" spans="1:37">
      <c r="A1891" s="1">
        <v>95000</v>
      </c>
      <c r="B1891" s="1">
        <v>966200638</v>
      </c>
      <c r="C1891" s="1" t="str">
        <f>"تخليه خرم آباد -كيلومتر13بعدازدانشگاه آزادمركزي ده پيرنرسيده به روستاي اسكين-شرکت پرتو صنعت نور"</f>
        <v>تخليه خرم آباد -كيلومتر13بعدازدانشگاه آزادمركزي ده پيرنرسيده به روستاي اسكين-شرکت پرتو صنعت نور</v>
      </c>
      <c r="D1891" s="1">
        <v>13350</v>
      </c>
      <c r="E1891" s="1">
        <v>95000</v>
      </c>
      <c r="F1891" s="1">
        <v>96</v>
      </c>
      <c r="G1891" s="1">
        <v>0</v>
      </c>
      <c r="H1891" s="1" t="str">
        <f>"96/12/14"</f>
        <v>96/12/14</v>
      </c>
      <c r="I1891" s="1" t="str">
        <f>"كيلوگرم"</f>
        <v>كيلوگرم</v>
      </c>
      <c r="J1891" s="1" t="str">
        <f>"0000000076"</f>
        <v>0000000076</v>
      </c>
      <c r="K1891" s="1" t="str">
        <f>"قير 60/70 - فله"</f>
        <v>قير 60/70 - فله</v>
      </c>
      <c r="L1891" s="1">
        <v>100</v>
      </c>
      <c r="M1891" s="1" t="str">
        <f>"مخازن قير اصفهان"</f>
        <v>مخازن قير اصفهان</v>
      </c>
      <c r="N1891" s="1">
        <v>10010</v>
      </c>
      <c r="O1891" s="1">
        <v>50038759</v>
      </c>
      <c r="P1891" s="1" t="str">
        <f>"  پرتوصنعت نور"</f>
        <v xml:space="preserve">  پرتوصنعت نور</v>
      </c>
      <c r="Q1891" s="1">
        <v>62</v>
      </c>
      <c r="R1891" s="1" t="str">
        <f>"فروش داخلي - سازمان بنيادمسكن انقلاب اسلامي"</f>
        <v>فروش داخلي - سازمان بنيادمسكن انقلاب اسلامي</v>
      </c>
      <c r="S1891" s="1" t="str">
        <f>"قرارداد فروش"</f>
        <v>قرارداد فروش</v>
      </c>
      <c r="T1891" s="1" t="str">
        <f>"ندارد"</f>
        <v>ندارد</v>
      </c>
      <c r="U1891" s="1" t="str">
        <f>"ريسماني حسن(1007ج89)"</f>
        <v>ريسماني حسن(1007ج89)</v>
      </c>
      <c r="V1891" s="1">
        <v>966200638</v>
      </c>
      <c r="W1891" s="1">
        <v>966200638</v>
      </c>
      <c r="X1891" s="1" t="str">
        <f>"1396552261"</f>
        <v>1396552261</v>
      </c>
      <c r="Y1891" s="1" t="str">
        <f>"96/12/14"</f>
        <v>96/12/14</v>
      </c>
      <c r="Z1891" s="1" t="str">
        <f>"56631/د"</f>
        <v>56631/د</v>
      </c>
      <c r="AA1891" s="1" t="str">
        <f>"بنيادمسكن انقلاب اسلامي"</f>
        <v>بنيادمسكن انقلاب اسلامي</v>
      </c>
      <c r="AB1891" s="1" t="str">
        <f>"96/12/13"</f>
        <v>96/12/13</v>
      </c>
      <c r="AC1891" s="1" t="str">
        <f>"لرستان"</f>
        <v>لرستان</v>
      </c>
      <c r="AD1891" s="1" t="str">
        <f>"96/12/14"</f>
        <v>96/12/14</v>
      </c>
      <c r="AE1891" s="1" t="str">
        <f>"اختتام"</f>
        <v>اختتام</v>
      </c>
      <c r="AF1891" s="1" t="str">
        <f>""</f>
        <v/>
      </c>
      <c r="AG1891" s="1" t="str">
        <f>""</f>
        <v/>
      </c>
      <c r="AH1891" s="1" t="str">
        <f>""</f>
        <v/>
      </c>
      <c r="AI1891" s="1" t="str">
        <f>""</f>
        <v/>
      </c>
      <c r="AJ1891" s="1" t="str">
        <f>""</f>
        <v/>
      </c>
      <c r="AK1891" s="1" t="str">
        <f>""</f>
        <v/>
      </c>
    </row>
    <row r="1892" spans="1:37">
      <c r="A1892" s="1">
        <v>284000</v>
      </c>
      <c r="B1892" s="1">
        <v>966200548</v>
      </c>
      <c r="C1892" s="1" t="str">
        <f>"تخليه -قزوين -آبگرم -روستاي نجف آباد-شركت آبان راه آرمان"</f>
        <v>تخليه -قزوين -آبگرم -روستاي نجف آباد-شركت آبان راه آرمان</v>
      </c>
      <c r="D1892" s="1">
        <v>13200</v>
      </c>
      <c r="E1892" s="1">
        <v>283680</v>
      </c>
      <c r="F1892" s="1">
        <v>96</v>
      </c>
      <c r="G1892" s="1">
        <v>320</v>
      </c>
      <c r="H1892" s="1" t="str">
        <f>"96/11/07"</f>
        <v>96/11/07</v>
      </c>
      <c r="I1892" s="1" t="str">
        <f>"كيلوگرم"</f>
        <v>كيلوگرم</v>
      </c>
      <c r="J1892" s="1" t="str">
        <f>"0000000076"</f>
        <v>0000000076</v>
      </c>
      <c r="K1892" s="1" t="str">
        <f>"قير 60/70 - فله"</f>
        <v>قير 60/70 - فله</v>
      </c>
      <c r="L1892" s="1">
        <v>100</v>
      </c>
      <c r="M1892" s="1" t="str">
        <f>"مخازن قير اصفهان"</f>
        <v>مخازن قير اصفهان</v>
      </c>
      <c r="N1892" s="1">
        <v>10024</v>
      </c>
      <c r="O1892" s="1">
        <v>50038306</v>
      </c>
      <c r="P1892" s="1" t="str">
        <f>"  آبان راه آرمان"</f>
        <v xml:space="preserve">  آبان راه آرمان</v>
      </c>
      <c r="Q1892" s="1">
        <v>62</v>
      </c>
      <c r="R1892" s="1" t="str">
        <f>"فروش داخلي - سازمان بنيادمسكن انقلاب اسلامي"</f>
        <v>فروش داخلي - سازمان بنيادمسكن انقلاب اسلامي</v>
      </c>
      <c r="S1892" s="1" t="str">
        <f>"قرارداد فروش"</f>
        <v>قرارداد فروش</v>
      </c>
      <c r="T1892" s="1" t="str">
        <f>"ندارد"</f>
        <v>ندارد</v>
      </c>
      <c r="U1892" s="1" t="str">
        <f>"قره باغي مجيد(1871065)"</f>
        <v>قره باغي مجيد(1871065)</v>
      </c>
      <c r="V1892" s="1">
        <v>966200548</v>
      </c>
      <c r="W1892" s="1">
        <v>966200548</v>
      </c>
      <c r="X1892" s="1" t="str">
        <f>"1396543412"</f>
        <v>1396543412</v>
      </c>
      <c r="Y1892" s="1" t="str">
        <f>"96/11/07"</f>
        <v>96/11/07</v>
      </c>
      <c r="Z1892" s="1" t="str">
        <f>"49451/د"</f>
        <v>49451/د</v>
      </c>
      <c r="AA1892" s="1" t="str">
        <f>"بنيادمسكن انقلاب اسلامي"</f>
        <v>بنيادمسكن انقلاب اسلامي</v>
      </c>
      <c r="AB1892" s="1" t="str">
        <f>"96/11/04"</f>
        <v>96/11/04</v>
      </c>
      <c r="AC1892" s="1" t="str">
        <f>"قزوين"</f>
        <v>قزوين</v>
      </c>
      <c r="AD1892" s="1" t="str">
        <f>"96/11/07"</f>
        <v>96/11/07</v>
      </c>
      <c r="AE1892" s="1" t="str">
        <f>"اختتام"</f>
        <v>اختتام</v>
      </c>
      <c r="AF1892" s="1" t="str">
        <f>""</f>
        <v/>
      </c>
      <c r="AG1892" s="1" t="str">
        <f>""</f>
        <v/>
      </c>
      <c r="AH1892" s="1" t="str">
        <f>""</f>
        <v/>
      </c>
      <c r="AI1892" s="1" t="str">
        <f>""</f>
        <v/>
      </c>
      <c r="AJ1892" s="1" t="str">
        <f>""</f>
        <v/>
      </c>
      <c r="AK1892" s="1" t="str">
        <f>""</f>
        <v/>
      </c>
    </row>
    <row r="1893" spans="1:37">
      <c r="A1893" s="1">
        <v>116199</v>
      </c>
      <c r="B1893" s="1">
        <v>962000094</v>
      </c>
      <c r="C1893" s="1" t="str">
        <f>"تخليه - اصفهان-جرقويه-کيلومتر16محورنيک آباد حسن آباد -شرکت گل راه نقش جهان"</f>
        <v>تخليه - اصفهان-جرقويه-کيلومتر16محورنيک آباد حسن آباد -شرکت گل راه نقش جهان</v>
      </c>
      <c r="D1893" s="1">
        <v>9113</v>
      </c>
      <c r="E1893" s="1">
        <v>116199</v>
      </c>
      <c r="F1893" s="1">
        <v>96</v>
      </c>
      <c r="G1893" s="1">
        <v>0</v>
      </c>
      <c r="H1893" s="1" t="str">
        <f>"96/07/03"</f>
        <v>96/07/03</v>
      </c>
      <c r="I1893" s="1" t="str">
        <f>"كيلوگرم"</f>
        <v>كيلوگرم</v>
      </c>
      <c r="J1893" s="1" t="str">
        <f>"0000000076"</f>
        <v>0000000076</v>
      </c>
      <c r="K1893" s="1" t="str">
        <f>"قير 60/70 - فله"</f>
        <v>قير 60/70 - فله</v>
      </c>
      <c r="L1893" s="1">
        <v>100</v>
      </c>
      <c r="M1893" s="1" t="str">
        <f>"مخازن قير اصفهان"</f>
        <v>مخازن قير اصفهان</v>
      </c>
      <c r="N1893" s="1">
        <v>10043</v>
      </c>
      <c r="O1893" s="1">
        <v>50036248</v>
      </c>
      <c r="P1893" s="1" t="str">
        <f>"  شهرداري ورزنه"</f>
        <v xml:space="preserve">  شهرداري ورزنه</v>
      </c>
      <c r="Q1893" s="1">
        <v>20</v>
      </c>
      <c r="R1893" s="1" t="str">
        <f>"فروش داخلي - سازمان شهرداري ها و دهياري هاي كشور"</f>
        <v>فروش داخلي - سازمان شهرداري ها و دهياري هاي كشور</v>
      </c>
      <c r="S1893" s="1" t="str">
        <f>"قرارداد فروش"</f>
        <v>قرارداد فروش</v>
      </c>
      <c r="T1893" s="1" t="str">
        <f>"ندارد"</f>
        <v>ندارد</v>
      </c>
      <c r="U1893" s="1" t="str">
        <f>"تعاوني جم گستر (1001 ج 89)"</f>
        <v>تعاوني جم گستر (1001 ج 89)</v>
      </c>
      <c r="V1893" s="1">
        <v>962000094</v>
      </c>
      <c r="W1893" s="1">
        <v>962000094</v>
      </c>
      <c r="X1893" s="1" t="str">
        <f>"1396514467"</f>
        <v>1396514467</v>
      </c>
      <c r="Y1893" s="1" t="str">
        <f>"96/07/03"</f>
        <v>96/07/03</v>
      </c>
      <c r="Z1893" s="1" t="str">
        <f>"26664مرحله اول"</f>
        <v>26664مرحله اول</v>
      </c>
      <c r="AA1893" s="1" t="str">
        <f>"شهرداريها"</f>
        <v>شهرداريها</v>
      </c>
      <c r="AB1893" s="1" t="str">
        <f>"96/06/29"</f>
        <v>96/06/29</v>
      </c>
      <c r="AC1893" s="1" t="str">
        <f>"استان اصفهان"</f>
        <v>استان اصفهان</v>
      </c>
      <c r="AD1893" s="1" t="str">
        <f>"96/07/03"</f>
        <v>96/07/03</v>
      </c>
      <c r="AE1893" s="1" t="str">
        <f>"تاييدشده"</f>
        <v>تاييدشده</v>
      </c>
      <c r="AF1893" s="1" t="str">
        <f>""</f>
        <v/>
      </c>
      <c r="AG1893" s="1" t="str">
        <f>""</f>
        <v/>
      </c>
      <c r="AH1893" s="1" t="str">
        <f>""</f>
        <v/>
      </c>
      <c r="AI1893" s="1" t="str">
        <f>""</f>
        <v/>
      </c>
      <c r="AJ1893" s="1" t="str">
        <f>""</f>
        <v/>
      </c>
      <c r="AK1893" s="1" t="str">
        <f>""</f>
        <v/>
      </c>
    </row>
    <row r="1894" spans="1:37">
      <c r="A1894" s="1">
        <v>41299</v>
      </c>
      <c r="B1894" s="1">
        <v>962000410</v>
      </c>
      <c r="C1894" s="1" t="str">
        <f>"تخليه - اصفهان-جرقويه-کيلومتر16محورنيک آباد حسن آباد -شرکت گل راه نقش جهان"</f>
        <v>تخليه - اصفهان-جرقويه-کيلومتر16محورنيک آباد حسن آباد -شرکت گل راه نقش جهان</v>
      </c>
      <c r="D1894" s="1">
        <v>12820</v>
      </c>
      <c r="E1894" s="1">
        <v>41299</v>
      </c>
      <c r="F1894" s="1">
        <v>96</v>
      </c>
      <c r="G1894" s="1">
        <v>0</v>
      </c>
      <c r="H1894" s="1" t="str">
        <f>"96/09/20"</f>
        <v>96/09/20</v>
      </c>
      <c r="I1894" s="1" t="str">
        <f>"كيلوگرم"</f>
        <v>كيلوگرم</v>
      </c>
      <c r="J1894" s="1" t="str">
        <f>"0000000076"</f>
        <v>0000000076</v>
      </c>
      <c r="K1894" s="1" t="str">
        <f>"قير 60/70 - فله"</f>
        <v>قير 60/70 - فله</v>
      </c>
      <c r="L1894" s="1">
        <v>100</v>
      </c>
      <c r="M1894" s="1" t="str">
        <f>"مخازن قير اصفهان"</f>
        <v>مخازن قير اصفهان</v>
      </c>
      <c r="N1894" s="1">
        <v>10043</v>
      </c>
      <c r="O1894" s="1">
        <v>50037723</v>
      </c>
      <c r="P1894" s="1" t="str">
        <f>"  شهرداري ورزنه"</f>
        <v xml:space="preserve">  شهرداري ورزنه</v>
      </c>
      <c r="Q1894" s="1">
        <v>20</v>
      </c>
      <c r="R1894" s="1" t="str">
        <f>"فروش داخلي - سازمان شهرداري ها و دهياري هاي كشور"</f>
        <v>فروش داخلي - سازمان شهرداري ها و دهياري هاي كشور</v>
      </c>
      <c r="S1894" s="1" t="str">
        <f>"قرارداد فروش"</f>
        <v>قرارداد فروش</v>
      </c>
      <c r="T1894" s="1" t="str">
        <f>"ندارد"</f>
        <v>ندارد</v>
      </c>
      <c r="U1894" s="1" t="str">
        <f>"تعاوني جم گستر (1001 ج 89)"</f>
        <v>تعاوني جم گستر (1001 ج 89)</v>
      </c>
      <c r="V1894" s="1">
        <v>962000410</v>
      </c>
      <c r="W1894" s="1">
        <v>962000410</v>
      </c>
      <c r="X1894" s="1" t="str">
        <f>"1396529711"</f>
        <v>1396529711</v>
      </c>
      <c r="Y1894" s="1" t="str">
        <f>"96/09/20"</f>
        <v>96/09/20</v>
      </c>
      <c r="Z1894" s="1" t="str">
        <f>"37277مرحله دوم"</f>
        <v>37277مرحله دوم</v>
      </c>
      <c r="AA1894" s="1" t="str">
        <f>"شهرداريها"</f>
        <v>شهرداريها</v>
      </c>
      <c r="AB1894" s="1" t="str">
        <f>"96/09/05"</f>
        <v>96/09/05</v>
      </c>
      <c r="AC1894" s="1" t="str">
        <f>"استان اصفهان"</f>
        <v>استان اصفهان</v>
      </c>
      <c r="AD1894" s="1" t="str">
        <f>"96/09/13"</f>
        <v>96/09/13</v>
      </c>
      <c r="AE1894" s="1" t="str">
        <f>"اختتام"</f>
        <v>اختتام</v>
      </c>
      <c r="AF1894" s="1" t="str">
        <f>""</f>
        <v/>
      </c>
      <c r="AG1894" s="1" t="str">
        <f>""</f>
        <v/>
      </c>
      <c r="AH1894" s="1" t="str">
        <f>""</f>
        <v/>
      </c>
      <c r="AI1894" s="1" t="str">
        <f>""</f>
        <v/>
      </c>
      <c r="AJ1894" s="1" t="str">
        <f>""</f>
        <v/>
      </c>
      <c r="AK1894" s="1" t="str">
        <f>""</f>
        <v/>
      </c>
    </row>
    <row r="1895" spans="1:37">
      <c r="A1895" s="1">
        <v>102590</v>
      </c>
      <c r="B1895" s="1">
        <v>962000073</v>
      </c>
      <c r="C1895" s="1" t="str">
        <f>"تخليه -اصفهان كيلومتر125محوراصفهان نائين شركت توليدآسفالت نوژان خشت"</f>
        <v>تخليه -اصفهان كيلومتر125محوراصفهان نائين شركت توليدآسفالت نوژان خشت</v>
      </c>
      <c r="D1895" s="1">
        <v>9113</v>
      </c>
      <c r="E1895" s="1">
        <v>102590</v>
      </c>
      <c r="F1895" s="1">
        <v>96</v>
      </c>
      <c r="G1895" s="1">
        <v>0</v>
      </c>
      <c r="H1895" s="1" t="str">
        <f>"96/07/03"</f>
        <v>96/07/03</v>
      </c>
      <c r="I1895" s="1" t="str">
        <f>"كيلوگرم"</f>
        <v>كيلوگرم</v>
      </c>
      <c r="J1895" s="1" t="str">
        <f>"0000000076"</f>
        <v>0000000076</v>
      </c>
      <c r="K1895" s="1" t="str">
        <f>"قير 60/70 - فله"</f>
        <v>قير 60/70 - فله</v>
      </c>
      <c r="L1895" s="1">
        <v>100</v>
      </c>
      <c r="M1895" s="1" t="str">
        <f>"مخازن قير اصفهان"</f>
        <v>مخازن قير اصفهان</v>
      </c>
      <c r="N1895" s="1">
        <v>10052</v>
      </c>
      <c r="O1895" s="1">
        <v>50036225</v>
      </c>
      <c r="P1895" s="1" t="str">
        <f>"  شهرداري كوهپايه"</f>
        <v xml:space="preserve">  شهرداري كوهپايه</v>
      </c>
      <c r="Q1895" s="1">
        <v>20</v>
      </c>
      <c r="R1895" s="1" t="str">
        <f>"فروش داخلي - سازمان شهرداري ها و دهياري هاي كشور"</f>
        <v>فروش داخلي - سازمان شهرداري ها و دهياري هاي كشور</v>
      </c>
      <c r="S1895" s="1" t="str">
        <f>"قرارداد فروش"</f>
        <v>قرارداد فروش</v>
      </c>
      <c r="T1895" s="1" t="str">
        <f>"ندارد"</f>
        <v>ندارد</v>
      </c>
      <c r="U1895" s="1" t="str">
        <f>"تعاوني جم گستر (1001 ج 89)"</f>
        <v>تعاوني جم گستر (1001 ج 89)</v>
      </c>
      <c r="V1895" s="1">
        <v>962000073</v>
      </c>
      <c r="W1895" s="1">
        <v>962000073</v>
      </c>
      <c r="X1895" s="1" t="str">
        <f>"1396514467"</f>
        <v>1396514467</v>
      </c>
      <c r="Y1895" s="1" t="str">
        <f>"96/07/03"</f>
        <v>96/07/03</v>
      </c>
      <c r="Z1895" s="1" t="str">
        <f>"26700مرحله اول"</f>
        <v>26700مرحله اول</v>
      </c>
      <c r="AA1895" s="1" t="str">
        <f>"شهرداريها"</f>
        <v>شهرداريها</v>
      </c>
      <c r="AB1895" s="1" t="str">
        <f>"96/06/29"</f>
        <v>96/06/29</v>
      </c>
      <c r="AC1895" s="1" t="str">
        <f>"استان اصفهان"</f>
        <v>استان اصفهان</v>
      </c>
      <c r="AD1895" s="1" t="str">
        <f>"96/07/03"</f>
        <v>96/07/03</v>
      </c>
      <c r="AE1895" s="1" t="str">
        <f>"اختتام"</f>
        <v>اختتام</v>
      </c>
      <c r="AF1895" s="1" t="str">
        <f>""</f>
        <v/>
      </c>
      <c r="AG1895" s="1" t="str">
        <f>""</f>
        <v/>
      </c>
      <c r="AH1895" s="1" t="str">
        <f>""</f>
        <v/>
      </c>
      <c r="AI1895" s="1" t="str">
        <f>""</f>
        <v/>
      </c>
      <c r="AJ1895" s="1" t="str">
        <f>""</f>
        <v/>
      </c>
      <c r="AK1895" s="1" t="str">
        <f>""</f>
        <v/>
      </c>
    </row>
    <row r="1896" spans="1:37">
      <c r="A1896" s="1">
        <v>37212</v>
      </c>
      <c r="B1896" s="1">
        <v>962000396</v>
      </c>
      <c r="C1896" s="1" t="str">
        <f>"تخليه -اصفهان -كاشان كيلومتر17جاده قمصر-شركت بتن آسفالت مهر"</f>
        <v>تخليه -اصفهان -كاشان كيلومتر17جاده قمصر-شركت بتن آسفالت مهر</v>
      </c>
      <c r="D1896" s="1">
        <v>12820</v>
      </c>
      <c r="E1896" s="1">
        <v>37212</v>
      </c>
      <c r="F1896" s="1">
        <v>96</v>
      </c>
      <c r="G1896" s="1">
        <v>0</v>
      </c>
      <c r="H1896" s="1" t="str">
        <f>"96/09/20"</f>
        <v>96/09/20</v>
      </c>
      <c r="I1896" s="1" t="str">
        <f>"كيلوگرم"</f>
        <v>كيلوگرم</v>
      </c>
      <c r="J1896" s="1" t="str">
        <f>"0000000076"</f>
        <v>0000000076</v>
      </c>
      <c r="K1896" s="1" t="str">
        <f>"قير 60/70 - فله"</f>
        <v>قير 60/70 - فله</v>
      </c>
      <c r="L1896" s="1">
        <v>100</v>
      </c>
      <c r="M1896" s="1" t="str">
        <f>"مخازن قير اصفهان"</f>
        <v>مخازن قير اصفهان</v>
      </c>
      <c r="N1896" s="1">
        <v>10084</v>
      </c>
      <c r="O1896" s="1">
        <v>50037708</v>
      </c>
      <c r="P1896" s="1" t="str">
        <f>"  شهرداري نوش آباد"</f>
        <v xml:space="preserve">  شهرداري نوش آباد</v>
      </c>
      <c r="Q1896" s="1">
        <v>20</v>
      </c>
      <c r="R1896" s="1" t="str">
        <f>"فروش داخلي - سازمان شهرداري ها و دهياري هاي كشور"</f>
        <v>فروش داخلي - سازمان شهرداري ها و دهياري هاي كشور</v>
      </c>
      <c r="S1896" s="1" t="str">
        <f>"قرارداد فروش"</f>
        <v>قرارداد فروش</v>
      </c>
      <c r="T1896" s="1" t="str">
        <f>"ندارد"</f>
        <v>ندارد</v>
      </c>
      <c r="U1896" s="1" t="str">
        <f>"تعاوني جم گستر (1001 ج 89)"</f>
        <v>تعاوني جم گستر (1001 ج 89)</v>
      </c>
      <c r="V1896" s="1">
        <v>962000396</v>
      </c>
      <c r="W1896" s="1">
        <v>962000396</v>
      </c>
      <c r="X1896" s="1" t="str">
        <f>"1396529711"</f>
        <v>1396529711</v>
      </c>
      <c r="Y1896" s="1" t="str">
        <f>"96/09/20"</f>
        <v>96/09/20</v>
      </c>
      <c r="Z1896" s="1" t="str">
        <f>"37274مرحله دوم"</f>
        <v>37274مرحله دوم</v>
      </c>
      <c r="AA1896" s="1" t="str">
        <f>"شهرداريها"</f>
        <v>شهرداريها</v>
      </c>
      <c r="AB1896" s="1" t="str">
        <f>"96/09/05"</f>
        <v>96/09/05</v>
      </c>
      <c r="AC1896" s="1" t="str">
        <f>"استان اصفهان"</f>
        <v>استان اصفهان</v>
      </c>
      <c r="AD1896" s="1" t="str">
        <f>"96/09/13"</f>
        <v>96/09/13</v>
      </c>
      <c r="AE1896" s="1" t="str">
        <f>"اختتام"</f>
        <v>اختتام</v>
      </c>
      <c r="AF1896" s="1" t="str">
        <f>""</f>
        <v/>
      </c>
      <c r="AG1896" s="1" t="str">
        <f>""</f>
        <v/>
      </c>
      <c r="AH1896" s="1" t="str">
        <f>""</f>
        <v/>
      </c>
      <c r="AI1896" s="1" t="str">
        <f>""</f>
        <v/>
      </c>
      <c r="AJ1896" s="1" t="str">
        <f>""</f>
        <v/>
      </c>
      <c r="AK1896" s="1" t="str">
        <f>""</f>
        <v/>
      </c>
    </row>
    <row r="1897" spans="1:37">
      <c r="A1897" s="1">
        <v>500000</v>
      </c>
      <c r="B1897" s="1">
        <v>961100111</v>
      </c>
      <c r="C1897" s="1" t="str">
        <f>"تخليه -يزد-ميبد-شهرك صنعتي جهان آباد-شركت هميارجي يزد"</f>
        <v>تخليه -يزد-ميبد-شهرك صنعتي جهان آباد-شركت هميارجي يزد</v>
      </c>
      <c r="D1897" s="1">
        <v>12850</v>
      </c>
      <c r="E1897" s="1">
        <v>499460</v>
      </c>
      <c r="F1897" s="1">
        <v>96</v>
      </c>
      <c r="G1897" s="1">
        <v>540</v>
      </c>
      <c r="H1897" s="1" t="str">
        <f>"96/10/27"</f>
        <v>96/10/27</v>
      </c>
      <c r="I1897" s="1" t="str">
        <f>"كيلوگرم"</f>
        <v>كيلوگرم</v>
      </c>
      <c r="J1897" s="1" t="str">
        <f>"0000000076"</f>
        <v>0000000076</v>
      </c>
      <c r="K1897" s="1" t="str">
        <f>"قير 60/70 - فله"</f>
        <v>قير 60/70 - فله</v>
      </c>
      <c r="L1897" s="1">
        <v>100</v>
      </c>
      <c r="M1897" s="1" t="str">
        <f>"مخازن قير اصفهان"</f>
        <v>مخازن قير اصفهان</v>
      </c>
      <c r="N1897" s="1">
        <v>10092</v>
      </c>
      <c r="O1897" s="1">
        <v>50038212</v>
      </c>
      <c r="P1897" s="1" t="str">
        <f>"  هميارجي يزد"</f>
        <v xml:space="preserve">  هميارجي يزد</v>
      </c>
      <c r="Q1897" s="1">
        <v>11</v>
      </c>
      <c r="R1897" s="1" t="str">
        <f>"فروش داخلي تهران - بورس"</f>
        <v>فروش داخلي تهران - بورس</v>
      </c>
      <c r="S1897" s="1" t="str">
        <f>"قرارداد فروش"</f>
        <v>قرارداد فروش</v>
      </c>
      <c r="T1897" s="1" t="str">
        <f>"ندارد"</f>
        <v>ندارد</v>
      </c>
      <c r="U1897" s="1" t="str">
        <f>"قره باغي مجيد(1871065)"</f>
        <v>قره باغي مجيد(1871065)</v>
      </c>
      <c r="V1897" s="1">
        <v>961100111</v>
      </c>
      <c r="W1897" s="1">
        <v>961100111</v>
      </c>
      <c r="X1897" s="1" t="str">
        <f>"1396540564"</f>
        <v>1396540564</v>
      </c>
      <c r="Y1897" s="1" t="str">
        <f>"96/10/27"</f>
        <v>96/10/27</v>
      </c>
      <c r="Z1897" s="1" t="str">
        <f>"96/10474"</f>
        <v>96/10474</v>
      </c>
      <c r="AA1897" s="1" t="str">
        <f>"توليد قيراموليسون"</f>
        <v>توليد قيراموليسون</v>
      </c>
      <c r="AB1897" s="1" t="str">
        <f>"96/10/23"</f>
        <v>96/10/23</v>
      </c>
      <c r="AC1897" s="1" t="str">
        <f>"استان يزد"</f>
        <v>استان يزد</v>
      </c>
      <c r="AD1897" s="1" t="str">
        <f>"96/10/26"</f>
        <v>96/10/26</v>
      </c>
      <c r="AE1897" s="1" t="str">
        <f>"اختتام"</f>
        <v>اختتام</v>
      </c>
      <c r="AF1897" s="1" t="str">
        <f>""</f>
        <v/>
      </c>
      <c r="AG1897" s="1" t="str">
        <f>""</f>
        <v/>
      </c>
      <c r="AH1897" s="1" t="str">
        <f>""</f>
        <v/>
      </c>
      <c r="AI1897" s="1" t="str">
        <f>""</f>
        <v/>
      </c>
      <c r="AJ1897" s="1" t="str">
        <f>""</f>
        <v/>
      </c>
      <c r="AK1897" s="1" t="str">
        <f>""</f>
        <v/>
      </c>
    </row>
    <row r="1898" spans="1:37">
      <c r="A1898" s="1">
        <v>136000</v>
      </c>
      <c r="B1898" s="1">
        <v>966300015</v>
      </c>
      <c r="C1898" s="1" t="str">
        <f>"تخليه آباده شيرازسورمق روبروي كارخانه سيمان شركت توليدي عايق هاي رطوبتي شرق دنيا"</f>
        <v>تخليه آباده شيرازسورمق روبروي كارخانه سيمان شركت توليدي عايق هاي رطوبتي شرق دنيا</v>
      </c>
      <c r="D1898" s="1">
        <v>9416</v>
      </c>
      <c r="E1898" s="1">
        <v>134580</v>
      </c>
      <c r="F1898" s="1">
        <v>96</v>
      </c>
      <c r="G1898" s="1">
        <v>1420</v>
      </c>
      <c r="H1898" s="1" t="str">
        <f>"96/08/14"</f>
        <v>96/08/14</v>
      </c>
      <c r="I1898" s="1" t="str">
        <f>"كيلوگرم"</f>
        <v>كيلوگرم</v>
      </c>
      <c r="J1898" s="1" t="str">
        <f>"0000000076"</f>
        <v>0000000076</v>
      </c>
      <c r="K1898" s="1" t="str">
        <f>"قير 60/70 - فله"</f>
        <v>قير 60/70 - فله</v>
      </c>
      <c r="L1898" s="1">
        <v>100</v>
      </c>
      <c r="M1898" s="1" t="str">
        <f>"مخازن قير اصفهان"</f>
        <v>مخازن قير اصفهان</v>
      </c>
      <c r="N1898" s="1">
        <v>10210</v>
      </c>
      <c r="O1898" s="1">
        <v>50037064</v>
      </c>
      <c r="P1898" s="1" t="str">
        <f>"  عايق هاي رطوبتي شرق دنيا"</f>
        <v xml:space="preserve">  عايق هاي رطوبتي شرق دنيا</v>
      </c>
      <c r="Q1898" s="1">
        <v>63</v>
      </c>
      <c r="R1898" s="1" t="str">
        <f>"سازمان نوسازي،توسعه و تجهيز مدارس كشور"</f>
        <v>سازمان نوسازي،توسعه و تجهيز مدارس كشور</v>
      </c>
      <c r="S1898" s="1" t="str">
        <f>"قرارداد فروش"</f>
        <v>قرارداد فروش</v>
      </c>
      <c r="T1898" s="1" t="str">
        <f>"ندارد"</f>
        <v>ندارد</v>
      </c>
      <c r="U1898" s="1" t="str">
        <f>"بابامحمدي عنايت اله(4844000)"</f>
        <v>بابامحمدي عنايت اله(4844000)</v>
      </c>
      <c r="V1898" s="1">
        <v>966300015</v>
      </c>
      <c r="W1898" s="1">
        <v>966300015</v>
      </c>
      <c r="X1898" s="1" t="str">
        <f>"1396523696"</f>
        <v>1396523696</v>
      </c>
      <c r="Y1898" s="1" t="str">
        <f>"96/08/14"</f>
        <v>96/08/14</v>
      </c>
      <c r="Z1898" s="1" t="str">
        <f>"6949/1"</f>
        <v>6949/1</v>
      </c>
      <c r="AA1898" s="1" t="str">
        <f>"سازمان نوسازي توسعه وتجهيزمدارس كشور"</f>
        <v>سازمان نوسازي توسعه وتجهيزمدارس كشور</v>
      </c>
      <c r="AB1898" s="1" t="str">
        <f>"96/08/01"</f>
        <v>96/08/01</v>
      </c>
      <c r="AC1898" s="1" t="str">
        <f>"استان يزد"</f>
        <v>استان يزد</v>
      </c>
      <c r="AD1898" s="1" t="str">
        <f>"96/08/14"</f>
        <v>96/08/14</v>
      </c>
      <c r="AE1898" s="1" t="str">
        <f>"اختتام"</f>
        <v>اختتام</v>
      </c>
      <c r="AF1898" s="1" t="str">
        <f>""</f>
        <v/>
      </c>
      <c r="AG1898" s="1" t="str">
        <f>""</f>
        <v/>
      </c>
      <c r="AH1898" s="1" t="str">
        <f>""</f>
        <v/>
      </c>
      <c r="AI1898" s="1" t="str">
        <f>""</f>
        <v/>
      </c>
      <c r="AJ1898" s="1" t="str">
        <f>""</f>
        <v/>
      </c>
      <c r="AK1898" s="1" t="str">
        <f>""</f>
        <v/>
      </c>
    </row>
    <row r="1899" spans="1:37">
      <c r="A1899" s="1">
        <v>35000</v>
      </c>
      <c r="B1899" s="1">
        <v>966200126</v>
      </c>
      <c r="C1899" s="1" t="str">
        <f>"تخليه -گلستان -شهرستان كلاله جنب روستاي فريد"</f>
        <v>تخليه -گلستان -شهرستان كلاله جنب روستاي فريد</v>
      </c>
      <c r="D1899" s="1">
        <v>8704</v>
      </c>
      <c r="E1899" s="1">
        <v>33620</v>
      </c>
      <c r="F1899" s="1">
        <v>96</v>
      </c>
      <c r="G1899" s="1">
        <v>1380</v>
      </c>
      <c r="H1899" s="1" t="str">
        <f>"96/04/13"</f>
        <v>96/04/13</v>
      </c>
      <c r="I1899" s="1" t="str">
        <f>"كيلوگرم"</f>
        <v>كيلوگرم</v>
      </c>
      <c r="J1899" s="1" t="str">
        <f>"0000000076"</f>
        <v>0000000076</v>
      </c>
      <c r="K1899" s="1" t="str">
        <f>"قير 60/70 - فله"</f>
        <v>قير 60/70 - فله</v>
      </c>
      <c r="L1899" s="1">
        <v>100</v>
      </c>
      <c r="M1899" s="1" t="str">
        <f>"مخازن قير اصفهان"</f>
        <v>مخازن قير اصفهان</v>
      </c>
      <c r="N1899" s="1">
        <v>10256</v>
      </c>
      <c r="O1899" s="1">
        <v>50035094</v>
      </c>
      <c r="P1899" s="1" t="str">
        <f>"  راهسازان جبال گلستان"</f>
        <v xml:space="preserve">  راهسازان جبال گلستان</v>
      </c>
      <c r="Q1899" s="1">
        <v>62</v>
      </c>
      <c r="R1899" s="1" t="str">
        <f>"فروش داخلي - سازمان بنيادمسكن انقلاب اسلامي"</f>
        <v>فروش داخلي - سازمان بنيادمسكن انقلاب اسلامي</v>
      </c>
      <c r="S1899" s="1" t="str">
        <f>"قرارداد فروش"</f>
        <v>قرارداد فروش</v>
      </c>
      <c r="T1899" s="1" t="str">
        <f>"ندارد"</f>
        <v>ندارد</v>
      </c>
      <c r="U1899" s="1" t="str">
        <f>"رضائي كلهر حسن (1901099)"</f>
        <v>رضائي كلهر حسن (1901099)</v>
      </c>
      <c r="V1899" s="1">
        <v>966200126</v>
      </c>
      <c r="W1899" s="1">
        <v>966200126</v>
      </c>
      <c r="X1899" s="1" t="str">
        <f>"1396493156"</f>
        <v>1396493156</v>
      </c>
      <c r="Y1899" s="1" t="str">
        <f>"96/04/13"</f>
        <v>96/04/13</v>
      </c>
      <c r="Z1899" s="1" t="str">
        <f>"14325/د"</f>
        <v>14325/د</v>
      </c>
      <c r="AA1899" s="1" t="str">
        <f>"بنيادمسكن انقلاب اسلامي"</f>
        <v>بنيادمسكن انقلاب اسلامي</v>
      </c>
      <c r="AB1899" s="1" t="str">
        <f>"96/04/12"</f>
        <v>96/04/12</v>
      </c>
      <c r="AC1899" s="1" t="str">
        <f>"استان گلستان"</f>
        <v>استان گلستان</v>
      </c>
      <c r="AD1899" s="1" t="str">
        <f>"96/04/13"</f>
        <v>96/04/13</v>
      </c>
      <c r="AE1899" s="1" t="str">
        <f>"اختتام"</f>
        <v>اختتام</v>
      </c>
      <c r="AF1899" s="1" t="str">
        <f>""</f>
        <v/>
      </c>
      <c r="AG1899" s="1" t="str">
        <f>""</f>
        <v/>
      </c>
      <c r="AH1899" s="1" t="str">
        <f>""</f>
        <v/>
      </c>
      <c r="AI1899" s="1" t="str">
        <f>""</f>
        <v/>
      </c>
      <c r="AJ1899" s="1" t="str">
        <f>""</f>
        <v/>
      </c>
      <c r="AK1899" s="1" t="str">
        <f>""</f>
        <v/>
      </c>
    </row>
    <row r="1900" spans="1:37">
      <c r="A1900" s="1">
        <v>121000</v>
      </c>
      <c r="B1900" s="1">
        <v>966200082</v>
      </c>
      <c r="C1900" s="1" t="str">
        <f>"تخليه-بوشهر-اهرم-سه راهي گادويي-کيلومتر يک جاده شورکي-کارخانه آسفالت کلات اهرم"</f>
        <v>تخليه-بوشهر-اهرم-سه راهي گادويي-کيلومتر يک جاده شورکي-کارخانه آسفالت کلات اهرم</v>
      </c>
      <c r="D1900" s="1">
        <v>8918</v>
      </c>
      <c r="E1900" s="1">
        <v>119820</v>
      </c>
      <c r="F1900" s="1">
        <v>96</v>
      </c>
      <c r="G1900" s="1">
        <v>1180</v>
      </c>
      <c r="H1900" s="1" t="str">
        <f>"96/02/27"</f>
        <v>96/02/27</v>
      </c>
      <c r="I1900" s="1" t="str">
        <f>"كيلوگرم"</f>
        <v>كيلوگرم</v>
      </c>
      <c r="J1900" s="1" t="str">
        <f>"0000000076"</f>
        <v>0000000076</v>
      </c>
      <c r="K1900" s="1" t="str">
        <f>"قير 60/70 - فله"</f>
        <v>قير 60/70 - فله</v>
      </c>
      <c r="L1900" s="1">
        <v>100</v>
      </c>
      <c r="M1900" s="1" t="str">
        <f>"مخازن قير اصفهان"</f>
        <v>مخازن قير اصفهان</v>
      </c>
      <c r="N1900" s="1">
        <v>10306</v>
      </c>
      <c r="O1900" s="1">
        <v>50034851</v>
      </c>
      <c r="P1900" s="1" t="str">
        <f>"  آسفالت نصيربوشهر"</f>
        <v xml:space="preserve">  آسفالت نصيربوشهر</v>
      </c>
      <c r="Q1900" s="1">
        <v>62</v>
      </c>
      <c r="R1900" s="1" t="str">
        <f>"فروش داخلي - سازمان بنيادمسكن انقلاب اسلامي"</f>
        <v>فروش داخلي - سازمان بنيادمسكن انقلاب اسلامي</v>
      </c>
      <c r="S1900" s="1" t="str">
        <f>"قرارداد فروش"</f>
        <v>قرارداد فروش</v>
      </c>
      <c r="T1900" s="1" t="str">
        <f>"ندارد"</f>
        <v>ندارد</v>
      </c>
      <c r="U1900" s="1" t="str">
        <f>"پير احمدي محمد جعفر(4844021)"</f>
        <v>پير احمدي محمد جعفر(4844021)</v>
      </c>
      <c r="V1900" s="1">
        <v>966200082</v>
      </c>
      <c r="W1900" s="1">
        <v>966200082</v>
      </c>
      <c r="X1900" s="1" t="str">
        <f>"1396481180"</f>
        <v>1396481180</v>
      </c>
      <c r="Y1900" s="1" t="str">
        <f>"96/02/26"</f>
        <v>96/02/26</v>
      </c>
      <c r="Z1900" s="1" t="str">
        <f>"6834/د"</f>
        <v>6834/د</v>
      </c>
      <c r="AA1900" s="1" t="str">
        <f>"بنيادمسكن انقلاب اسلامي"</f>
        <v>بنيادمسكن انقلاب اسلامي</v>
      </c>
      <c r="AB1900" s="1" t="str">
        <f>"96/02/25"</f>
        <v>96/02/25</v>
      </c>
      <c r="AC1900" s="1" t="str">
        <f>"بوشهر"</f>
        <v>بوشهر</v>
      </c>
      <c r="AD1900" s="1" t="str">
        <f>"96/02/26"</f>
        <v>96/02/26</v>
      </c>
      <c r="AE1900" s="1" t="str">
        <f>"اختتام"</f>
        <v>اختتام</v>
      </c>
      <c r="AF1900" s="1" t="str">
        <f>""</f>
        <v/>
      </c>
      <c r="AG1900" s="1" t="str">
        <f>""</f>
        <v/>
      </c>
      <c r="AH1900" s="1" t="str">
        <f>""</f>
        <v/>
      </c>
      <c r="AI1900" s="1" t="str">
        <f>""</f>
        <v/>
      </c>
      <c r="AJ1900" s="1" t="str">
        <f>""</f>
        <v/>
      </c>
      <c r="AK1900" s="1" t="str">
        <f>""</f>
        <v/>
      </c>
    </row>
    <row r="1901" spans="1:37">
      <c r="A1901" s="1">
        <v>55000</v>
      </c>
      <c r="B1901" s="1">
        <v>966200700</v>
      </c>
      <c r="C1901" s="1" t="str">
        <f>"تخليه -لرستان -پلدخترسه راهي سراب جهانگير-كارخانه آسفالت يافته كوه"</f>
        <v>تخليه -لرستان -پلدخترسه راهي سراب جهانگير-كارخانه آسفالت يافته كوه</v>
      </c>
      <c r="D1901" s="1">
        <v>13350</v>
      </c>
      <c r="E1901" s="1">
        <v>55000</v>
      </c>
      <c r="F1901" s="1">
        <v>96</v>
      </c>
      <c r="G1901" s="1">
        <v>0</v>
      </c>
      <c r="H1901" s="1" t="str">
        <f>"96/12/24"</f>
        <v>96/12/24</v>
      </c>
      <c r="I1901" s="1" t="str">
        <f>"كيلوگرم"</f>
        <v>كيلوگرم</v>
      </c>
      <c r="J1901" s="1" t="str">
        <f>"0000000076"</f>
        <v>0000000076</v>
      </c>
      <c r="K1901" s="1" t="str">
        <f>"قير 60/70 - فله"</f>
        <v>قير 60/70 - فله</v>
      </c>
      <c r="L1901" s="1">
        <v>100</v>
      </c>
      <c r="M1901" s="1" t="str">
        <f>"مخازن قير اصفهان"</f>
        <v>مخازن قير اصفهان</v>
      </c>
      <c r="N1901" s="1">
        <v>10521</v>
      </c>
      <c r="O1901" s="1">
        <v>50038976</v>
      </c>
      <c r="P1901" s="1" t="str">
        <f>"  ساختماني يافته كوه"</f>
        <v xml:space="preserve">  ساختماني يافته كوه</v>
      </c>
      <c r="Q1901" s="1">
        <v>62</v>
      </c>
      <c r="R1901" s="1" t="str">
        <f>"فروش داخلي - سازمان بنيادمسكن انقلاب اسلامي"</f>
        <v>فروش داخلي - سازمان بنيادمسكن انقلاب اسلامي</v>
      </c>
      <c r="S1901" s="1" t="str">
        <f>"قرارداد فروش"</f>
        <v>قرارداد فروش</v>
      </c>
      <c r="T1901" s="1" t="str">
        <f>"ندارد"</f>
        <v>ندارد</v>
      </c>
      <c r="U1901" s="1" t="str">
        <f>"بستاني محسن (2882039)"</f>
        <v>بستاني محسن (2882039)</v>
      </c>
      <c r="V1901" s="1">
        <v>966200700</v>
      </c>
      <c r="W1901" s="1">
        <v>966200700</v>
      </c>
      <c r="X1901" s="1" t="str">
        <f>"1396555240"</f>
        <v>1396555240</v>
      </c>
      <c r="Y1901" s="1" t="str">
        <f>"96/12/24"</f>
        <v>96/12/24</v>
      </c>
      <c r="Z1901" s="1" t="str">
        <f>"59211/د"</f>
        <v>59211/د</v>
      </c>
      <c r="AA1901" s="1" t="str">
        <f>"بنيادمسكن انقلاب اسلامي"</f>
        <v>بنيادمسكن انقلاب اسلامي</v>
      </c>
      <c r="AB1901" s="1" t="str">
        <f>"96/12/23"</f>
        <v>96/12/23</v>
      </c>
      <c r="AC1901" s="1" t="str">
        <f>"لرستان"</f>
        <v>لرستان</v>
      </c>
      <c r="AD1901" s="1" t="str">
        <f>"96/12/23"</f>
        <v>96/12/23</v>
      </c>
      <c r="AE1901" s="1" t="str">
        <f>"اختتام"</f>
        <v>اختتام</v>
      </c>
      <c r="AF1901" s="1" t="str">
        <f>""</f>
        <v/>
      </c>
      <c r="AG1901" s="1" t="str">
        <f>""</f>
        <v/>
      </c>
      <c r="AH1901" s="1" t="str">
        <f>""</f>
        <v/>
      </c>
      <c r="AI1901" s="1" t="str">
        <f>""</f>
        <v/>
      </c>
      <c r="AJ1901" s="1" t="str">
        <f>""</f>
        <v/>
      </c>
      <c r="AK1901" s="1" t="str">
        <f>""</f>
        <v/>
      </c>
    </row>
    <row r="1902" spans="1:37">
      <c r="A1902" s="1">
        <v>145000</v>
      </c>
      <c r="B1902" s="1">
        <v>966200040</v>
      </c>
      <c r="C1902" s="1" t="str">
        <f>"تخليه-اصفهان-فريدون شهر -کارخانه آسفالت شهرداري فريدونشهر"</f>
        <v>تخليه-اصفهان-فريدون شهر -کارخانه آسفالت شهرداري فريدونشهر</v>
      </c>
      <c r="D1902" s="1">
        <v>8918</v>
      </c>
      <c r="E1902" s="1">
        <v>145000</v>
      </c>
      <c r="F1902" s="1">
        <v>96</v>
      </c>
      <c r="G1902" s="1">
        <v>0</v>
      </c>
      <c r="H1902" s="1" t="str">
        <f>"96/02/06"</f>
        <v>96/02/06</v>
      </c>
      <c r="I1902" s="1" t="str">
        <f>"كيلوگرم"</f>
        <v>كيلوگرم</v>
      </c>
      <c r="J1902" s="1" t="str">
        <f>"0000000076"</f>
        <v>0000000076</v>
      </c>
      <c r="K1902" s="1" t="str">
        <f>"قير 60/70 - فله"</f>
        <v>قير 60/70 - فله</v>
      </c>
      <c r="L1902" s="1">
        <v>100</v>
      </c>
      <c r="M1902" s="1" t="str">
        <f>"مخازن قير اصفهان"</f>
        <v>مخازن قير اصفهان</v>
      </c>
      <c r="N1902" s="1">
        <v>10536</v>
      </c>
      <c r="O1902" s="1">
        <v>50034683</v>
      </c>
      <c r="P1902" s="1" t="str">
        <f>"  آبجيل صنعت"</f>
        <v xml:space="preserve">  آبجيل صنعت</v>
      </c>
      <c r="Q1902" s="1">
        <v>62</v>
      </c>
      <c r="R1902" s="1" t="str">
        <f>"فروش داخلي - سازمان بنيادمسكن انقلاب اسلامي"</f>
        <v>فروش داخلي - سازمان بنيادمسكن انقلاب اسلامي</v>
      </c>
      <c r="S1902" s="1" t="str">
        <f>"قرارداد فروش"</f>
        <v>قرارداد فروش</v>
      </c>
      <c r="T1902" s="1" t="str">
        <f>"ندارد"</f>
        <v>ندارد</v>
      </c>
      <c r="U1902" s="1" t="str">
        <f>"سيفي پور گودرز(1019ج89)"</f>
        <v>سيفي پور گودرز(1019ج89)</v>
      </c>
      <c r="V1902" s="1">
        <v>966200040</v>
      </c>
      <c r="W1902" s="1">
        <v>966200040</v>
      </c>
      <c r="X1902" s="1" t="str">
        <f>"1396477333"</f>
        <v>1396477333</v>
      </c>
      <c r="Y1902" s="1" t="str">
        <f>"96/02/06"</f>
        <v>96/02/06</v>
      </c>
      <c r="Z1902" s="1" t="str">
        <f>"3298/د"</f>
        <v>3298/د</v>
      </c>
      <c r="AA1902" s="1" t="str">
        <f>"بنيادمسكن انقلاب اسلامي"</f>
        <v>بنيادمسكن انقلاب اسلامي</v>
      </c>
      <c r="AB1902" s="1" t="str">
        <f>"96/02/03"</f>
        <v>96/02/03</v>
      </c>
      <c r="AC1902" s="1" t="str">
        <f>"استان اصفهان"</f>
        <v>استان اصفهان</v>
      </c>
      <c r="AD1902" s="1" t="str">
        <f>"96/02/06"</f>
        <v>96/02/06</v>
      </c>
      <c r="AE1902" s="1" t="str">
        <f>"اختتام"</f>
        <v>اختتام</v>
      </c>
      <c r="AF1902" s="1" t="str">
        <f>""</f>
        <v/>
      </c>
      <c r="AG1902" s="1" t="str">
        <f>""</f>
        <v/>
      </c>
      <c r="AH1902" s="1" t="str">
        <f>""</f>
        <v/>
      </c>
      <c r="AI1902" s="1" t="str">
        <f>""</f>
        <v/>
      </c>
      <c r="AJ1902" s="1" t="str">
        <f>""</f>
        <v/>
      </c>
      <c r="AK1902" s="1" t="str">
        <f>""</f>
        <v/>
      </c>
    </row>
    <row r="1903" spans="1:37">
      <c r="A1903" s="1">
        <v>92000</v>
      </c>
      <c r="B1903" s="1">
        <v>966300024</v>
      </c>
      <c r="C1903" s="1" t="str">
        <f>"تخليه اصفهان كاشان كارخانه آسفالت شهرداري كاشان"</f>
        <v>تخليه اصفهان كاشان كارخانه آسفالت شهرداري كاشان</v>
      </c>
      <c r="D1903" s="1">
        <v>12820</v>
      </c>
      <c r="E1903" s="1">
        <v>91860</v>
      </c>
      <c r="F1903" s="1">
        <v>96</v>
      </c>
      <c r="G1903" s="1">
        <v>140</v>
      </c>
      <c r="H1903" s="1" t="str">
        <f>"96/09/08"</f>
        <v>96/09/08</v>
      </c>
      <c r="I1903" s="1" t="str">
        <f>"كيلوگرم"</f>
        <v>كيلوگرم</v>
      </c>
      <c r="J1903" s="1" t="str">
        <f>"0000000076"</f>
        <v>0000000076</v>
      </c>
      <c r="K1903" s="1" t="str">
        <f>"قير 60/70 - فله"</f>
        <v>قير 60/70 - فله</v>
      </c>
      <c r="L1903" s="1">
        <v>100</v>
      </c>
      <c r="M1903" s="1" t="str">
        <f>"مخازن قير اصفهان"</f>
        <v>مخازن قير اصفهان</v>
      </c>
      <c r="N1903" s="1">
        <v>10536</v>
      </c>
      <c r="O1903" s="1">
        <v>50037342</v>
      </c>
      <c r="P1903" s="1" t="str">
        <f>"  آبجيل صنعت"</f>
        <v xml:space="preserve">  آبجيل صنعت</v>
      </c>
      <c r="Q1903" s="1">
        <v>63</v>
      </c>
      <c r="R1903" s="1" t="str">
        <f>"سازمان نوسازي،توسعه و تجهيز مدارس كشور"</f>
        <v>سازمان نوسازي،توسعه و تجهيز مدارس كشور</v>
      </c>
      <c r="S1903" s="1" t="str">
        <f>"قرارداد فروش"</f>
        <v>قرارداد فروش</v>
      </c>
      <c r="T1903" s="1" t="str">
        <f>"ندارد"</f>
        <v>ندارد</v>
      </c>
      <c r="U1903" s="1" t="str">
        <f>"سيفي پور گودرز(1019ج89)"</f>
        <v>سيفي پور گودرز(1019ج89)</v>
      </c>
      <c r="V1903" s="1">
        <v>966300024</v>
      </c>
      <c r="W1903" s="1">
        <v>966300024</v>
      </c>
      <c r="X1903" s="1" t="str">
        <f>"1396529163"</f>
        <v>1396529163</v>
      </c>
      <c r="Y1903" s="1" t="str">
        <f>"96/09/08"</f>
        <v>96/09/08</v>
      </c>
      <c r="Z1903" s="1" t="str">
        <f>"3-96/422-22118"</f>
        <v>3-96/422-22118</v>
      </c>
      <c r="AA1903" s="1" t="str">
        <f>"سازمان نوسازي توسعه وتجهيزمدارس كشور"</f>
        <v>سازمان نوسازي توسعه وتجهيزمدارس كشور</v>
      </c>
      <c r="AB1903" s="1" t="str">
        <f>"96/08/21"</f>
        <v>96/08/21</v>
      </c>
      <c r="AC1903" s="1" t="str">
        <f>"استان اصفهان"</f>
        <v>استان اصفهان</v>
      </c>
      <c r="AD1903" s="1" t="str">
        <f>"96/09/08"</f>
        <v>96/09/08</v>
      </c>
      <c r="AE1903" s="1" t="str">
        <f>"اختتام"</f>
        <v>اختتام</v>
      </c>
      <c r="AF1903" s="1" t="str">
        <f>""</f>
        <v/>
      </c>
      <c r="AG1903" s="1" t="str">
        <f>""</f>
        <v/>
      </c>
      <c r="AH1903" s="1" t="str">
        <f>""</f>
        <v/>
      </c>
      <c r="AI1903" s="1" t="str">
        <f>""</f>
        <v/>
      </c>
      <c r="AJ1903" s="1" t="str">
        <f>""</f>
        <v/>
      </c>
      <c r="AK1903" s="1" t="str">
        <f>""</f>
        <v/>
      </c>
    </row>
    <row r="1904" spans="1:37">
      <c r="A1904" s="1">
        <v>135080</v>
      </c>
      <c r="B1904" s="1">
        <v>962000131</v>
      </c>
      <c r="C1904" s="1" t="str">
        <f>"تخليه خراسان جنوبي مخازن شركت توس راديه واقع دركيلومتر5جاده فردوس"</f>
        <v>تخليه خراسان جنوبي مخازن شركت توس راديه واقع دركيلومتر5جاده فردوس</v>
      </c>
      <c r="D1904" s="1">
        <v>9113</v>
      </c>
      <c r="E1904" s="1">
        <v>135080</v>
      </c>
      <c r="F1904" s="1">
        <v>96</v>
      </c>
      <c r="G1904" s="1">
        <v>0</v>
      </c>
      <c r="H1904" s="1" t="str">
        <f>"96/07/03"</f>
        <v>96/07/03</v>
      </c>
      <c r="I1904" s="1" t="str">
        <f>"كيلوگرم"</f>
        <v>كيلوگرم</v>
      </c>
      <c r="J1904" s="1" t="str">
        <f>"0000000076"</f>
        <v>0000000076</v>
      </c>
      <c r="K1904" s="1" t="str">
        <f>"قير 60/70 - فله"</f>
        <v>قير 60/70 - فله</v>
      </c>
      <c r="L1904" s="1">
        <v>100</v>
      </c>
      <c r="M1904" s="1" t="str">
        <f>"مخازن قير اصفهان"</f>
        <v>مخازن قير اصفهان</v>
      </c>
      <c r="N1904" s="1">
        <v>10552</v>
      </c>
      <c r="O1904" s="1">
        <v>50036317</v>
      </c>
      <c r="P1904" s="1" t="str">
        <f>"  شهرداري آيسك"</f>
        <v xml:space="preserve">  شهرداري آيسك</v>
      </c>
      <c r="Q1904" s="1">
        <v>20</v>
      </c>
      <c r="R1904" s="1" t="str">
        <f>"فروش داخلي - سازمان شهرداري ها و دهياري هاي كشور"</f>
        <v>فروش داخلي - سازمان شهرداري ها و دهياري هاي كشور</v>
      </c>
      <c r="S1904" s="1" t="str">
        <f>"قرارداد فروش"</f>
        <v>قرارداد فروش</v>
      </c>
      <c r="T1904" s="1" t="str">
        <f>"ندارد"</f>
        <v>ندارد</v>
      </c>
      <c r="U1904" s="1" t="str">
        <f>"تعاوني جم گستر (1001 ج 89)"</f>
        <v>تعاوني جم گستر (1001 ج 89)</v>
      </c>
      <c r="V1904" s="1">
        <v>962000131</v>
      </c>
      <c r="W1904" s="1">
        <v>962000131</v>
      </c>
      <c r="X1904" s="1" t="str">
        <f>"1396514467"</f>
        <v>1396514467</v>
      </c>
      <c r="Y1904" s="1" t="str">
        <f>"96/07/03"</f>
        <v>96/07/03</v>
      </c>
      <c r="Z1904" s="1" t="str">
        <f>"26740مرحله اول"</f>
        <v>26740مرحله اول</v>
      </c>
      <c r="AA1904" s="1" t="str">
        <f>"شهرداريها"</f>
        <v>شهرداريها</v>
      </c>
      <c r="AB1904" s="1" t="str">
        <f>"96/06/29"</f>
        <v>96/06/29</v>
      </c>
      <c r="AC1904" s="1" t="str">
        <f>"خراسان جنوبي"</f>
        <v>خراسان جنوبي</v>
      </c>
      <c r="AD1904" s="1" t="str">
        <f>"96/07/03"</f>
        <v>96/07/03</v>
      </c>
      <c r="AE1904" s="1" t="str">
        <f>"اختتام"</f>
        <v>اختتام</v>
      </c>
      <c r="AF1904" s="1" t="str">
        <f>""</f>
        <v/>
      </c>
      <c r="AG1904" s="1" t="str">
        <f>""</f>
        <v/>
      </c>
      <c r="AH1904" s="1" t="str">
        <f>""</f>
        <v/>
      </c>
      <c r="AI1904" s="1" t="str">
        <f>""</f>
        <v/>
      </c>
      <c r="AJ1904" s="1" t="str">
        <f>""</f>
        <v/>
      </c>
      <c r="AK1904" s="1" t="str">
        <f>""</f>
        <v/>
      </c>
    </row>
    <row r="1905" spans="1:37">
      <c r="A1905" s="1">
        <v>142411</v>
      </c>
      <c r="B1905" s="1">
        <v>962000054</v>
      </c>
      <c r="C1905" s="1" t="str">
        <f>"تخليه اصفهان سميرم شهرداري سميرم"</f>
        <v>تخليه اصفهان سميرم شهرداري سميرم</v>
      </c>
      <c r="D1905" s="1">
        <v>9113</v>
      </c>
      <c r="E1905" s="1">
        <v>142411</v>
      </c>
      <c r="F1905" s="1">
        <v>96</v>
      </c>
      <c r="G1905" s="1">
        <v>0</v>
      </c>
      <c r="H1905" s="1" t="str">
        <f>"96/07/03"</f>
        <v>96/07/03</v>
      </c>
      <c r="I1905" s="1" t="str">
        <f>"كيلوگرم"</f>
        <v>كيلوگرم</v>
      </c>
      <c r="J1905" s="1" t="str">
        <f>"0000000076"</f>
        <v>0000000076</v>
      </c>
      <c r="K1905" s="1" t="str">
        <f>"قير 60/70 - فله"</f>
        <v>قير 60/70 - فله</v>
      </c>
      <c r="L1905" s="1">
        <v>100</v>
      </c>
      <c r="M1905" s="1" t="str">
        <f>"مخازن قير اصفهان"</f>
        <v>مخازن قير اصفهان</v>
      </c>
      <c r="N1905" s="1">
        <v>10659</v>
      </c>
      <c r="O1905" s="1">
        <v>50036202</v>
      </c>
      <c r="P1905" s="1" t="str">
        <f>"  شهرداري سميرم"</f>
        <v xml:space="preserve">  شهرداري سميرم</v>
      </c>
      <c r="Q1905" s="1">
        <v>20</v>
      </c>
      <c r="R1905" s="1" t="str">
        <f>"فروش داخلي - سازمان شهرداري ها و دهياري هاي كشور"</f>
        <v>فروش داخلي - سازمان شهرداري ها و دهياري هاي كشور</v>
      </c>
      <c r="S1905" s="1" t="str">
        <f>"قرارداد فروش"</f>
        <v>قرارداد فروش</v>
      </c>
      <c r="T1905" s="1" t="str">
        <f>"ندارد"</f>
        <v>ندارد</v>
      </c>
      <c r="U1905" s="1" t="str">
        <f>"تعاوني جم گستر (1001 ج 89)"</f>
        <v>تعاوني جم گستر (1001 ج 89)</v>
      </c>
      <c r="V1905" s="1">
        <v>962000054</v>
      </c>
      <c r="W1905" s="1">
        <v>962000054</v>
      </c>
      <c r="X1905" s="1" t="str">
        <f>"1396514467"</f>
        <v>1396514467</v>
      </c>
      <c r="Y1905" s="1" t="str">
        <f>"96/07/03"</f>
        <v>96/07/03</v>
      </c>
      <c r="Z1905" s="1" t="str">
        <f>"26767مرحله اول"</f>
        <v>26767مرحله اول</v>
      </c>
      <c r="AA1905" s="1" t="str">
        <f>"شهرداريها"</f>
        <v>شهرداريها</v>
      </c>
      <c r="AB1905" s="1" t="str">
        <f>"96/06/29"</f>
        <v>96/06/29</v>
      </c>
      <c r="AC1905" s="1" t="str">
        <f>"استان اصفهان"</f>
        <v>استان اصفهان</v>
      </c>
      <c r="AD1905" s="1" t="str">
        <f>"96/07/03"</f>
        <v>96/07/03</v>
      </c>
      <c r="AE1905" s="1" t="str">
        <f>"اختتام"</f>
        <v>اختتام</v>
      </c>
      <c r="AF1905" s="1" t="str">
        <f>""</f>
        <v/>
      </c>
      <c r="AG1905" s="1" t="str">
        <f>""</f>
        <v/>
      </c>
      <c r="AH1905" s="1" t="str">
        <f>""</f>
        <v/>
      </c>
      <c r="AI1905" s="1" t="str">
        <f>""</f>
        <v/>
      </c>
      <c r="AJ1905" s="1" t="str">
        <f>""</f>
        <v/>
      </c>
      <c r="AK1905" s="1" t="str">
        <f>""</f>
        <v/>
      </c>
    </row>
    <row r="1906" spans="1:37">
      <c r="A1906" s="1">
        <v>100330</v>
      </c>
      <c r="B1906" s="1">
        <v>962000070</v>
      </c>
      <c r="C1906" s="1" t="str">
        <f>"تخليه - اصفهان -منطقه صنعتي اشترجان-انتهاي خيابان يازدهم-شرکت راه آژند"</f>
        <v>تخليه - اصفهان -منطقه صنعتي اشترجان-انتهاي خيابان يازدهم-شرکت راه آژند</v>
      </c>
      <c r="D1906" s="1">
        <v>9113</v>
      </c>
      <c r="E1906" s="1">
        <v>100330</v>
      </c>
      <c r="F1906" s="1">
        <v>96</v>
      </c>
      <c r="G1906" s="1">
        <v>0</v>
      </c>
      <c r="H1906" s="1" t="str">
        <f>"96/07/03"</f>
        <v>96/07/03</v>
      </c>
      <c r="I1906" s="1" t="str">
        <f>"كيلوگرم"</f>
        <v>كيلوگرم</v>
      </c>
      <c r="J1906" s="1" t="str">
        <f>"0000000076"</f>
        <v>0000000076</v>
      </c>
      <c r="K1906" s="1" t="str">
        <f>"قير 60/70 - فله"</f>
        <v>قير 60/70 - فله</v>
      </c>
      <c r="L1906" s="1">
        <v>100</v>
      </c>
      <c r="M1906" s="1" t="str">
        <f>"مخازن قير اصفهان"</f>
        <v>مخازن قير اصفهان</v>
      </c>
      <c r="N1906" s="1">
        <v>10662</v>
      </c>
      <c r="O1906" s="1">
        <v>50036222</v>
      </c>
      <c r="P1906" s="1" t="str">
        <f>"  شهرداري كمشچه"</f>
        <v xml:space="preserve">  شهرداري كمشچه</v>
      </c>
      <c r="Q1906" s="1">
        <v>20</v>
      </c>
      <c r="R1906" s="1" t="str">
        <f>"فروش داخلي - سازمان شهرداري ها و دهياري هاي كشور"</f>
        <v>فروش داخلي - سازمان شهرداري ها و دهياري هاي كشور</v>
      </c>
      <c r="S1906" s="1" t="str">
        <f>"قرارداد فروش"</f>
        <v>قرارداد فروش</v>
      </c>
      <c r="T1906" s="1" t="str">
        <f>"ندارد"</f>
        <v>ندارد</v>
      </c>
      <c r="U1906" s="1" t="str">
        <f>"تعاوني جم گستر (1001 ج 89)"</f>
        <v>تعاوني جم گستر (1001 ج 89)</v>
      </c>
      <c r="V1906" s="1">
        <v>962000070</v>
      </c>
      <c r="W1906" s="1">
        <v>962000070</v>
      </c>
      <c r="X1906" s="1" t="str">
        <f>"1396514467"</f>
        <v>1396514467</v>
      </c>
      <c r="Y1906" s="1" t="str">
        <f>"96/07/03"</f>
        <v>96/07/03</v>
      </c>
      <c r="Z1906" s="1" t="str">
        <f>"26691مرحله اول"</f>
        <v>26691مرحله اول</v>
      </c>
      <c r="AA1906" s="1" t="str">
        <f>"شهرداريها"</f>
        <v>شهرداريها</v>
      </c>
      <c r="AB1906" s="1" t="str">
        <f>"96/06/29"</f>
        <v>96/06/29</v>
      </c>
      <c r="AC1906" s="1" t="str">
        <f>"استان اصفهان"</f>
        <v>استان اصفهان</v>
      </c>
      <c r="AD1906" s="1" t="str">
        <f>"96/07/03"</f>
        <v>96/07/03</v>
      </c>
      <c r="AE1906" s="1" t="str">
        <f>"اختتام"</f>
        <v>اختتام</v>
      </c>
      <c r="AF1906" s="1" t="str">
        <f>""</f>
        <v/>
      </c>
      <c r="AG1906" s="1" t="str">
        <f>""</f>
        <v/>
      </c>
      <c r="AH1906" s="1" t="str">
        <f>""</f>
        <v/>
      </c>
      <c r="AI1906" s="1" t="str">
        <f>""</f>
        <v/>
      </c>
      <c r="AJ1906" s="1" t="str">
        <f>""</f>
        <v/>
      </c>
      <c r="AK1906" s="1" t="str">
        <f>""</f>
        <v/>
      </c>
    </row>
    <row r="1907" spans="1:37">
      <c r="A1907" s="1">
        <v>102339</v>
      </c>
      <c r="B1907" s="1">
        <v>962000045</v>
      </c>
      <c r="C1907" s="1" t="str">
        <f>"تخليه اصفهان شهرك صنعتي اشترجان خيابان 11شركت راه آژند"</f>
        <v>تخليه اصفهان شهرك صنعتي اشترجان خيابان 11شركت راه آژند</v>
      </c>
      <c r="D1907" s="1">
        <v>9113</v>
      </c>
      <c r="E1907" s="1">
        <v>102339</v>
      </c>
      <c r="F1907" s="1">
        <v>96</v>
      </c>
      <c r="G1907" s="1">
        <v>0</v>
      </c>
      <c r="H1907" s="1" t="str">
        <f>"96/07/03"</f>
        <v>96/07/03</v>
      </c>
      <c r="I1907" s="1" t="str">
        <f>"كيلوگرم"</f>
        <v>كيلوگرم</v>
      </c>
      <c r="J1907" s="1" t="str">
        <f>"0000000076"</f>
        <v>0000000076</v>
      </c>
      <c r="K1907" s="1" t="str">
        <f>"قير 60/70 - فله"</f>
        <v>قير 60/70 - فله</v>
      </c>
      <c r="L1907" s="1">
        <v>100</v>
      </c>
      <c r="M1907" s="1" t="str">
        <f>"مخازن قير اصفهان"</f>
        <v>مخازن قير اصفهان</v>
      </c>
      <c r="N1907" s="1">
        <v>10669</v>
      </c>
      <c r="O1907" s="1">
        <v>50036192</v>
      </c>
      <c r="P1907" s="1" t="str">
        <f>"  شهرداري رضوانشهراصفهان"</f>
        <v xml:space="preserve">  شهرداري رضوانشهراصفهان</v>
      </c>
      <c r="Q1907" s="1">
        <v>20</v>
      </c>
      <c r="R1907" s="1" t="str">
        <f>"فروش داخلي - سازمان شهرداري ها و دهياري هاي كشور"</f>
        <v>فروش داخلي - سازمان شهرداري ها و دهياري هاي كشور</v>
      </c>
      <c r="S1907" s="1" t="str">
        <f>"قرارداد فروش"</f>
        <v>قرارداد فروش</v>
      </c>
      <c r="T1907" s="1" t="str">
        <f>"ندارد"</f>
        <v>ندارد</v>
      </c>
      <c r="U1907" s="1" t="str">
        <f>"تعاوني جم گستر (1001 ج 89)"</f>
        <v>تعاوني جم گستر (1001 ج 89)</v>
      </c>
      <c r="V1907" s="1">
        <v>962000045</v>
      </c>
      <c r="W1907" s="1">
        <v>962000045</v>
      </c>
      <c r="X1907" s="1" t="str">
        <f>"1396514467"</f>
        <v>1396514467</v>
      </c>
      <c r="Y1907" s="1" t="str">
        <f>"96/07/03"</f>
        <v>96/07/03</v>
      </c>
      <c r="Z1907" s="1" t="str">
        <f>"26793مرحله اول"</f>
        <v>26793مرحله اول</v>
      </c>
      <c r="AA1907" s="1" t="str">
        <f>"شهرداريها"</f>
        <v>شهرداريها</v>
      </c>
      <c r="AB1907" s="1" t="str">
        <f>"96/06/29"</f>
        <v>96/06/29</v>
      </c>
      <c r="AC1907" s="1" t="str">
        <f>"استان اصفهان"</f>
        <v>استان اصفهان</v>
      </c>
      <c r="AD1907" s="1" t="str">
        <f>"96/07/03"</f>
        <v>96/07/03</v>
      </c>
      <c r="AE1907" s="1" t="str">
        <f>"تاييدشده"</f>
        <v>تاييدشده</v>
      </c>
      <c r="AF1907" s="1" t="str">
        <f>""</f>
        <v/>
      </c>
      <c r="AG1907" s="1" t="str">
        <f>""</f>
        <v/>
      </c>
      <c r="AH1907" s="1" t="str">
        <f>""</f>
        <v/>
      </c>
      <c r="AI1907" s="1" t="str">
        <f>""</f>
        <v/>
      </c>
      <c r="AJ1907" s="1" t="str">
        <f>""</f>
        <v/>
      </c>
      <c r="AK1907" s="1" t="str">
        <f>""</f>
        <v/>
      </c>
    </row>
    <row r="1908" spans="1:37">
      <c r="A1908" s="1">
        <v>105302</v>
      </c>
      <c r="B1908" s="1">
        <v>962000048</v>
      </c>
      <c r="C1908" s="1" t="str">
        <f>"تخليه -اصفهان اردستان كيلومتر15اردستان -نائين-شركت كوهرنگ راه"</f>
        <v>تخليه -اصفهان اردستان كيلومتر15اردستان -نائين-شركت كوهرنگ راه</v>
      </c>
      <c r="D1908" s="1">
        <v>9113</v>
      </c>
      <c r="E1908" s="1">
        <v>105302</v>
      </c>
      <c r="F1908" s="1">
        <v>96</v>
      </c>
      <c r="G1908" s="1">
        <v>0</v>
      </c>
      <c r="H1908" s="1" t="str">
        <f>"96/07/03"</f>
        <v>96/07/03</v>
      </c>
      <c r="I1908" s="1" t="str">
        <f>"كيلوگرم"</f>
        <v>كيلوگرم</v>
      </c>
      <c r="J1908" s="1" t="str">
        <f>"0000000076"</f>
        <v>0000000076</v>
      </c>
      <c r="K1908" s="1" t="str">
        <f>"قير 60/70 - فله"</f>
        <v>قير 60/70 - فله</v>
      </c>
      <c r="L1908" s="1">
        <v>100</v>
      </c>
      <c r="M1908" s="1" t="str">
        <f>"مخازن قير اصفهان"</f>
        <v>مخازن قير اصفهان</v>
      </c>
      <c r="N1908" s="1">
        <v>10676</v>
      </c>
      <c r="O1908" s="1">
        <v>50036196</v>
      </c>
      <c r="P1908" s="1" t="str">
        <f>"  شهرداري زواره"</f>
        <v xml:space="preserve">  شهرداري زواره</v>
      </c>
      <c r="Q1908" s="1">
        <v>20</v>
      </c>
      <c r="R1908" s="1" t="str">
        <f>"فروش داخلي - سازمان شهرداري ها و دهياري هاي كشور"</f>
        <v>فروش داخلي - سازمان شهرداري ها و دهياري هاي كشور</v>
      </c>
      <c r="S1908" s="1" t="str">
        <f>"قرارداد فروش"</f>
        <v>قرارداد فروش</v>
      </c>
      <c r="T1908" s="1" t="str">
        <f>"ندارد"</f>
        <v>ندارد</v>
      </c>
      <c r="U1908" s="1" t="str">
        <f>"تعاوني جم گستر (1001 ج 89)"</f>
        <v>تعاوني جم گستر (1001 ج 89)</v>
      </c>
      <c r="V1908" s="1">
        <v>962000048</v>
      </c>
      <c r="W1908" s="1">
        <v>962000048</v>
      </c>
      <c r="X1908" s="1" t="str">
        <f>"1396514467"</f>
        <v>1396514467</v>
      </c>
      <c r="Y1908" s="1" t="str">
        <f>"96/07/03"</f>
        <v>96/07/03</v>
      </c>
      <c r="Z1908" s="1" t="str">
        <f>"26779مرحله اول"</f>
        <v>26779مرحله اول</v>
      </c>
      <c r="AA1908" s="1" t="str">
        <f>"شهرداريها"</f>
        <v>شهرداريها</v>
      </c>
      <c r="AB1908" s="1" t="str">
        <f>"96/06/29"</f>
        <v>96/06/29</v>
      </c>
      <c r="AC1908" s="1" t="str">
        <f>"استان اصفهان"</f>
        <v>استان اصفهان</v>
      </c>
      <c r="AD1908" s="1" t="str">
        <f>"96/07/03"</f>
        <v>96/07/03</v>
      </c>
      <c r="AE1908" s="1" t="str">
        <f>"اختتام"</f>
        <v>اختتام</v>
      </c>
      <c r="AF1908" s="1" t="str">
        <f>""</f>
        <v/>
      </c>
      <c r="AG1908" s="1" t="str">
        <f>""</f>
        <v/>
      </c>
      <c r="AH1908" s="1" t="str">
        <f>""</f>
        <v/>
      </c>
      <c r="AI1908" s="1" t="str">
        <f>""</f>
        <v/>
      </c>
      <c r="AJ1908" s="1" t="str">
        <f>""</f>
        <v/>
      </c>
      <c r="AK1908" s="1" t="str">
        <f>""</f>
        <v/>
      </c>
    </row>
    <row r="1909" spans="1:37">
      <c r="A1909" s="1">
        <v>37426</v>
      </c>
      <c r="B1909" s="1">
        <v>962000398</v>
      </c>
      <c r="C1909" s="1" t="str">
        <f>"تخليه -اصفهان اردستان كيلومتر15اردستان -نائين-شركت كوهرنگ راه"</f>
        <v>تخليه -اصفهان اردستان كيلومتر15اردستان -نائين-شركت كوهرنگ راه</v>
      </c>
      <c r="D1909" s="1">
        <v>12820</v>
      </c>
      <c r="E1909" s="1">
        <v>37426</v>
      </c>
      <c r="F1909" s="1">
        <v>96</v>
      </c>
      <c r="G1909" s="1">
        <v>0</v>
      </c>
      <c r="H1909" s="1" t="str">
        <f>"96/09/20"</f>
        <v>96/09/20</v>
      </c>
      <c r="I1909" s="1" t="str">
        <f>"كيلوگرم"</f>
        <v>كيلوگرم</v>
      </c>
      <c r="J1909" s="1" t="str">
        <f>"0000000076"</f>
        <v>0000000076</v>
      </c>
      <c r="K1909" s="1" t="str">
        <f>"قير 60/70 - فله"</f>
        <v>قير 60/70 - فله</v>
      </c>
      <c r="L1909" s="1">
        <v>100</v>
      </c>
      <c r="M1909" s="1" t="str">
        <f>"مخازن قير اصفهان"</f>
        <v>مخازن قير اصفهان</v>
      </c>
      <c r="N1909" s="1">
        <v>10676</v>
      </c>
      <c r="O1909" s="1">
        <v>50037711</v>
      </c>
      <c r="P1909" s="1" t="str">
        <f>"  شهرداري زواره"</f>
        <v xml:space="preserve">  شهرداري زواره</v>
      </c>
      <c r="Q1909" s="1">
        <v>20</v>
      </c>
      <c r="R1909" s="1" t="str">
        <f>"فروش داخلي - سازمان شهرداري ها و دهياري هاي كشور"</f>
        <v>فروش داخلي - سازمان شهرداري ها و دهياري هاي كشور</v>
      </c>
      <c r="S1909" s="1" t="str">
        <f>"قرارداد فروش"</f>
        <v>قرارداد فروش</v>
      </c>
      <c r="T1909" s="1" t="str">
        <f>"ندارد"</f>
        <v>ندارد</v>
      </c>
      <c r="U1909" s="1" t="str">
        <f>"تعاوني جم گستر (1001 ج 89)"</f>
        <v>تعاوني جم گستر (1001 ج 89)</v>
      </c>
      <c r="V1909" s="1">
        <v>962000398</v>
      </c>
      <c r="W1909" s="1">
        <v>962000398</v>
      </c>
      <c r="X1909" s="1" t="str">
        <f>"1396529711"</f>
        <v>1396529711</v>
      </c>
      <c r="Y1909" s="1" t="str">
        <f>"96/09/20"</f>
        <v>96/09/20</v>
      </c>
      <c r="Z1909" s="1" t="str">
        <f>"37165مرحله دوم"</f>
        <v>37165مرحله دوم</v>
      </c>
      <c r="AA1909" s="1" t="str">
        <f>"شهرداريها"</f>
        <v>شهرداريها</v>
      </c>
      <c r="AB1909" s="1" t="str">
        <f>"96/09/05"</f>
        <v>96/09/05</v>
      </c>
      <c r="AC1909" s="1" t="str">
        <f>"استان اصفهان"</f>
        <v>استان اصفهان</v>
      </c>
      <c r="AD1909" s="1" t="str">
        <f>"96/09/13"</f>
        <v>96/09/13</v>
      </c>
      <c r="AE1909" s="1" t="str">
        <f>"اختتام"</f>
        <v>اختتام</v>
      </c>
      <c r="AF1909" s="1" t="str">
        <f>""</f>
        <v/>
      </c>
      <c r="AG1909" s="1" t="str">
        <f>""</f>
        <v/>
      </c>
      <c r="AH1909" s="1" t="str">
        <f>""</f>
        <v/>
      </c>
      <c r="AI1909" s="1" t="str">
        <f>""</f>
        <v/>
      </c>
      <c r="AJ1909" s="1" t="str">
        <f>""</f>
        <v/>
      </c>
      <c r="AK1909" s="1" t="str">
        <f>""</f>
        <v/>
      </c>
    </row>
    <row r="1910" spans="1:37">
      <c r="A1910" s="1">
        <v>133021</v>
      </c>
      <c r="B1910" s="1">
        <v>962000077</v>
      </c>
      <c r="C1910" s="1" t="str">
        <f>"تخليه اصفهان خميني شهرمنطقه صنعتي دوشاخ كارخانه آسفالت برقسا"</f>
        <v>تخليه اصفهان خميني شهرمنطقه صنعتي دوشاخ كارخانه آسفالت برقسا</v>
      </c>
      <c r="D1910" s="1">
        <v>9113</v>
      </c>
      <c r="E1910" s="1">
        <v>133021</v>
      </c>
      <c r="F1910" s="1">
        <v>96</v>
      </c>
      <c r="G1910" s="1">
        <v>0</v>
      </c>
      <c r="H1910" s="1" t="str">
        <f>"96/07/03"</f>
        <v>96/07/03</v>
      </c>
      <c r="I1910" s="1" t="str">
        <f>"كيلوگرم"</f>
        <v>كيلوگرم</v>
      </c>
      <c r="J1910" s="1" t="str">
        <f>"0000000076"</f>
        <v>0000000076</v>
      </c>
      <c r="K1910" s="1" t="str">
        <f>"قير 60/70 - فله"</f>
        <v>قير 60/70 - فله</v>
      </c>
      <c r="L1910" s="1">
        <v>100</v>
      </c>
      <c r="M1910" s="1" t="str">
        <f>"مخازن قير اصفهان"</f>
        <v>مخازن قير اصفهان</v>
      </c>
      <c r="N1910" s="1">
        <v>10680</v>
      </c>
      <c r="O1910" s="1">
        <v>50036230</v>
      </c>
      <c r="P1910" s="1" t="str">
        <f>"  شهرداري گلدشت"</f>
        <v xml:space="preserve">  شهرداري گلدشت</v>
      </c>
      <c r="Q1910" s="1">
        <v>20</v>
      </c>
      <c r="R1910" s="1" t="str">
        <f>"فروش داخلي - سازمان شهرداري ها و دهياري هاي كشور"</f>
        <v>فروش داخلي - سازمان شهرداري ها و دهياري هاي كشور</v>
      </c>
      <c r="S1910" s="1" t="str">
        <f>"قرارداد فروش"</f>
        <v>قرارداد فروش</v>
      </c>
      <c r="T1910" s="1" t="str">
        <f>"ندارد"</f>
        <v>ندارد</v>
      </c>
      <c r="U1910" s="1" t="str">
        <f>"تعاوني جم گستر (1001 ج 89)"</f>
        <v>تعاوني جم گستر (1001 ج 89)</v>
      </c>
      <c r="V1910" s="1">
        <v>962000077</v>
      </c>
      <c r="W1910" s="1">
        <v>962000077</v>
      </c>
      <c r="X1910" s="1" t="str">
        <f>"1396514467"</f>
        <v>1396514467</v>
      </c>
      <c r="Y1910" s="1" t="str">
        <f>"96/07/03"</f>
        <v>96/07/03</v>
      </c>
      <c r="Z1910" s="1" t="str">
        <f>"26669مرحله اول"</f>
        <v>26669مرحله اول</v>
      </c>
      <c r="AA1910" s="1" t="str">
        <f>"شهرداريها"</f>
        <v>شهرداريها</v>
      </c>
      <c r="AB1910" s="1" t="str">
        <f>"96/06/29"</f>
        <v>96/06/29</v>
      </c>
      <c r="AC1910" s="1" t="str">
        <f>"استان اصفهان"</f>
        <v>استان اصفهان</v>
      </c>
      <c r="AD1910" s="1" t="str">
        <f>"96/07/03"</f>
        <v>96/07/03</v>
      </c>
      <c r="AE1910" s="1" t="str">
        <f>"اختتام"</f>
        <v>اختتام</v>
      </c>
      <c r="AF1910" s="1" t="str">
        <f>""</f>
        <v/>
      </c>
      <c r="AG1910" s="1" t="str">
        <f>""</f>
        <v/>
      </c>
      <c r="AH1910" s="1" t="str">
        <f>""</f>
        <v/>
      </c>
      <c r="AI1910" s="1" t="str">
        <f>""</f>
        <v/>
      </c>
      <c r="AJ1910" s="1" t="str">
        <f>""</f>
        <v/>
      </c>
      <c r="AK1910" s="1" t="str">
        <f>""</f>
        <v/>
      </c>
    </row>
    <row r="1911" spans="1:37">
      <c r="A1911" s="1">
        <v>25000</v>
      </c>
      <c r="B1911" s="1">
        <v>961100110</v>
      </c>
      <c r="C1911" s="1" t="str">
        <f>"تخليه-شهرستان آباده-روبروي کارخانه سيمان"</f>
        <v>تخليه-شهرستان آباده-روبروي کارخانه سيمان</v>
      </c>
      <c r="D1911" s="1">
        <v>12850</v>
      </c>
      <c r="E1911" s="1">
        <v>25000</v>
      </c>
      <c r="F1911" s="1">
        <v>96</v>
      </c>
      <c r="G1911" s="1">
        <v>0</v>
      </c>
      <c r="H1911" s="1" t="str">
        <f>"96/10/19"</f>
        <v>96/10/19</v>
      </c>
      <c r="I1911" s="1" t="str">
        <f>"كيلوگرم"</f>
        <v>كيلوگرم</v>
      </c>
      <c r="J1911" s="1" t="str">
        <f>"0000000076"</f>
        <v>0000000076</v>
      </c>
      <c r="K1911" s="1" t="str">
        <f>"قير 60/70 - فله"</f>
        <v>قير 60/70 - فله</v>
      </c>
      <c r="L1911" s="1">
        <v>100</v>
      </c>
      <c r="M1911" s="1" t="str">
        <f>"مخازن قير اصفهان"</f>
        <v>مخازن قير اصفهان</v>
      </c>
      <c r="N1911" s="1">
        <v>10683</v>
      </c>
      <c r="O1911" s="1">
        <v>50038085</v>
      </c>
      <c r="P1911" s="1" t="str">
        <f>"  عايق اندود شرق سيصدو دو آسيا"</f>
        <v xml:space="preserve">  عايق اندود شرق سيصدو دو آسيا</v>
      </c>
      <c r="Q1911" s="1">
        <v>11</v>
      </c>
      <c r="R1911" s="1" t="str">
        <f>"فروش داخلي تهران - بورس"</f>
        <v>فروش داخلي تهران - بورس</v>
      </c>
      <c r="S1911" s="1" t="str">
        <f>"قرارداد فروش"</f>
        <v>قرارداد فروش</v>
      </c>
      <c r="T1911" s="1" t="str">
        <f>"ندارد"</f>
        <v>ندارد</v>
      </c>
      <c r="U1911" s="1" t="str">
        <f>"تاج سعيد هوشنگ (1031ج 89)"</f>
        <v>تاج سعيد هوشنگ (1031ج 89)</v>
      </c>
      <c r="V1911" s="1">
        <v>961100110</v>
      </c>
      <c r="W1911" s="1">
        <v>961100110</v>
      </c>
      <c r="X1911" s="1" t="str">
        <f>"1396537702"</f>
        <v>1396537702</v>
      </c>
      <c r="Y1911" s="1" t="str">
        <f>"96/10/18"</f>
        <v>96/10/18</v>
      </c>
      <c r="Z1911" s="1" t="str">
        <f>"96-36937"</f>
        <v>96-36937</v>
      </c>
      <c r="AA1911" s="1" t="str">
        <f>"راه سازي"</f>
        <v>راه سازي</v>
      </c>
      <c r="AB1911" s="1" t="str">
        <f>"96/10/18"</f>
        <v>96/10/18</v>
      </c>
      <c r="AC1911" s="1" t="str">
        <f>"استان فارس"</f>
        <v>استان فارس</v>
      </c>
      <c r="AD1911" s="1" t="str">
        <f>"96/10/13"</f>
        <v>96/10/13</v>
      </c>
      <c r="AE1911" s="1" t="str">
        <f>"اختتام"</f>
        <v>اختتام</v>
      </c>
      <c r="AF1911" s="1" t="str">
        <f>""</f>
        <v/>
      </c>
      <c r="AG1911" s="1" t="str">
        <f>""</f>
        <v/>
      </c>
      <c r="AH1911" s="1" t="str">
        <f>""</f>
        <v/>
      </c>
      <c r="AI1911" s="1" t="str">
        <f>""</f>
        <v/>
      </c>
      <c r="AJ1911" s="1" t="str">
        <f>""</f>
        <v/>
      </c>
      <c r="AK1911" s="1" t="str">
        <f>""</f>
        <v/>
      </c>
    </row>
    <row r="1912" spans="1:37">
      <c r="A1912" s="1">
        <v>68000</v>
      </c>
      <c r="B1912" s="1">
        <v>962000001</v>
      </c>
      <c r="C1912" s="1" t="str">
        <f>"تخليه اصفهان اتوبان اصفهان تهران جنب پليس راه شاهين شهركاشان جاده تخليه نخاله هاي سنگبري هاشركت زرين سپاهان"</f>
        <v>تخليه اصفهان اتوبان اصفهان تهران جنب پليس راه شاهين شهركاشان جاده تخليه نخاله هاي سنگبري هاشركت زرين سپاهان</v>
      </c>
      <c r="D1912" s="1">
        <v>8198</v>
      </c>
      <c r="E1912" s="1">
        <v>66120</v>
      </c>
      <c r="F1912" s="1">
        <v>96</v>
      </c>
      <c r="G1912" s="1">
        <v>1880</v>
      </c>
      <c r="H1912" s="1" t="str">
        <f>"96/01/23"</f>
        <v>96/01/23</v>
      </c>
      <c r="I1912" s="1" t="str">
        <f>"كيلوگرم"</f>
        <v>كيلوگرم</v>
      </c>
      <c r="J1912" s="1" t="str">
        <f>"0000000076"</f>
        <v>0000000076</v>
      </c>
      <c r="K1912" s="1" t="str">
        <f>"قير 60/70 - فله"</f>
        <v>قير 60/70 - فله</v>
      </c>
      <c r="L1912" s="1">
        <v>100</v>
      </c>
      <c r="M1912" s="1" t="str">
        <f>"مخازن قير اصفهان"</f>
        <v>مخازن قير اصفهان</v>
      </c>
      <c r="N1912" s="1">
        <v>10695</v>
      </c>
      <c r="O1912" s="1">
        <v>50034542</v>
      </c>
      <c r="P1912" s="1" t="str">
        <f>"  شهرداري جوشقان قالي"</f>
        <v xml:space="preserve">  شهرداري جوشقان قالي</v>
      </c>
      <c r="Q1912" s="1">
        <v>20</v>
      </c>
      <c r="R1912" s="1" t="str">
        <f>"فروش داخلي - سازمان شهرداري ها و دهياري هاي كشور"</f>
        <v>فروش داخلي - سازمان شهرداري ها و دهياري هاي كشور</v>
      </c>
      <c r="S1912" s="1" t="str">
        <f>"قرارداد فروش"</f>
        <v>قرارداد فروش</v>
      </c>
      <c r="T1912" s="1" t="str">
        <f>"ندارد"</f>
        <v>ندارد</v>
      </c>
      <c r="U1912" s="1" t="str">
        <f>"مرادي نجاتعلي(1020ج89)"</f>
        <v>مرادي نجاتعلي(1020ج89)</v>
      </c>
      <c r="V1912" s="1">
        <v>962000001</v>
      </c>
      <c r="W1912" s="1">
        <v>962000001</v>
      </c>
      <c r="X1912" s="1" t="str">
        <f>"1396474035"</f>
        <v>1396474035</v>
      </c>
      <c r="Y1912" s="1" t="str">
        <f>"96/01/23"</f>
        <v>96/01/23</v>
      </c>
      <c r="Z1912" s="1" t="str">
        <f>"42208"</f>
        <v>42208</v>
      </c>
      <c r="AA1912" s="1" t="str">
        <f>"شهرداريها"</f>
        <v>شهرداريها</v>
      </c>
      <c r="AB1912" s="1" t="str">
        <f>"95/08/25"</f>
        <v>95/08/25</v>
      </c>
      <c r="AC1912" s="1" t="str">
        <f>"استان اصفهان"</f>
        <v>استان اصفهان</v>
      </c>
      <c r="AD1912" s="1" t="str">
        <f>"96/01/23"</f>
        <v>96/01/23</v>
      </c>
      <c r="AE1912" s="1" t="str">
        <f>"اختتام"</f>
        <v>اختتام</v>
      </c>
      <c r="AF1912" s="1" t="str">
        <f>""</f>
        <v/>
      </c>
      <c r="AG1912" s="1" t="str">
        <f>""</f>
        <v/>
      </c>
      <c r="AH1912" s="1" t="str">
        <f>""</f>
        <v/>
      </c>
      <c r="AI1912" s="1" t="str">
        <f>""</f>
        <v/>
      </c>
      <c r="AJ1912" s="1" t="str">
        <f>""</f>
        <v/>
      </c>
      <c r="AK1912" s="1" t="str">
        <f>""</f>
        <v/>
      </c>
    </row>
    <row r="1913" spans="1:37">
      <c r="A1913" s="1">
        <v>108465</v>
      </c>
      <c r="B1913" s="1">
        <v>962000089</v>
      </c>
      <c r="C1913" s="1" t="str">
        <f>"تخليه -اصفهان -محمدرضاعباسيان سه راهي محمدآبادجرقويه"</f>
        <v>تخليه -اصفهان -محمدرضاعباسيان سه راهي محمدآبادجرقويه</v>
      </c>
      <c r="D1913" s="1">
        <v>9113</v>
      </c>
      <c r="E1913" s="1">
        <v>108465</v>
      </c>
      <c r="F1913" s="1">
        <v>96</v>
      </c>
      <c r="G1913" s="1">
        <v>0</v>
      </c>
      <c r="H1913" s="1" t="str">
        <f>"96/07/03"</f>
        <v>96/07/03</v>
      </c>
      <c r="I1913" s="1" t="str">
        <f>"كيلوگرم"</f>
        <v>كيلوگرم</v>
      </c>
      <c r="J1913" s="1" t="str">
        <f>"0000000076"</f>
        <v>0000000076</v>
      </c>
      <c r="K1913" s="1" t="str">
        <f>"قير 60/70 - فله"</f>
        <v>قير 60/70 - فله</v>
      </c>
      <c r="L1913" s="1">
        <v>100</v>
      </c>
      <c r="M1913" s="1" t="str">
        <f>"مخازن قير اصفهان"</f>
        <v>مخازن قير اصفهان</v>
      </c>
      <c r="N1913" s="1">
        <v>10699</v>
      </c>
      <c r="O1913" s="1">
        <v>50036243</v>
      </c>
      <c r="P1913" s="1" t="str">
        <f>"  شهرداري نصرآباد"</f>
        <v xml:space="preserve">  شهرداري نصرآباد</v>
      </c>
      <c r="Q1913" s="1">
        <v>20</v>
      </c>
      <c r="R1913" s="1" t="str">
        <f>"فروش داخلي - سازمان شهرداري ها و دهياري هاي كشور"</f>
        <v>فروش داخلي - سازمان شهرداري ها و دهياري هاي كشور</v>
      </c>
      <c r="S1913" s="1" t="str">
        <f>"قرارداد فروش"</f>
        <v>قرارداد فروش</v>
      </c>
      <c r="T1913" s="1" t="str">
        <f>"ندارد"</f>
        <v>ندارد</v>
      </c>
      <c r="U1913" s="1" t="str">
        <f>"تعاوني جم گستر (1001 ج 89)"</f>
        <v>تعاوني جم گستر (1001 ج 89)</v>
      </c>
      <c r="V1913" s="1">
        <v>962000089</v>
      </c>
      <c r="W1913" s="1">
        <v>962000089</v>
      </c>
      <c r="X1913" s="1" t="str">
        <f>"1396514467"</f>
        <v>1396514467</v>
      </c>
      <c r="Y1913" s="1" t="str">
        <f>"96/07/03"</f>
        <v>96/07/03</v>
      </c>
      <c r="Z1913" s="1" t="str">
        <f>"26635مرحله اول"</f>
        <v>26635مرحله اول</v>
      </c>
      <c r="AA1913" s="1" t="str">
        <f>"شهرداريها"</f>
        <v>شهرداريها</v>
      </c>
      <c r="AB1913" s="1" t="str">
        <f>"96/06/29"</f>
        <v>96/06/29</v>
      </c>
      <c r="AC1913" s="1" t="str">
        <f>"استان اصفهان"</f>
        <v>استان اصفهان</v>
      </c>
      <c r="AD1913" s="1" t="str">
        <f>"96/07/03"</f>
        <v>96/07/03</v>
      </c>
      <c r="AE1913" s="1" t="str">
        <f>"اختتام"</f>
        <v>اختتام</v>
      </c>
      <c r="AF1913" s="1" t="str">
        <f>""</f>
        <v/>
      </c>
      <c r="AG1913" s="1" t="str">
        <f>""</f>
        <v/>
      </c>
      <c r="AH1913" s="1" t="str">
        <f>""</f>
        <v/>
      </c>
      <c r="AI1913" s="1" t="str">
        <f>""</f>
        <v/>
      </c>
      <c r="AJ1913" s="1" t="str">
        <f>""</f>
        <v/>
      </c>
      <c r="AK1913" s="1" t="str">
        <f>""</f>
        <v/>
      </c>
    </row>
    <row r="1914" spans="1:37">
      <c r="A1914" s="1">
        <v>41281</v>
      </c>
      <c r="B1914" s="1">
        <v>962000427</v>
      </c>
      <c r="C1914" s="1" t="str">
        <f>"تخليه اصفهان جاده شالباف كارخانه آسفالت فاضل"</f>
        <v>تخليه اصفهان جاده شالباف كارخانه آسفالت فاضل</v>
      </c>
      <c r="D1914" s="1">
        <v>12820</v>
      </c>
      <c r="E1914" s="1">
        <v>41281</v>
      </c>
      <c r="F1914" s="1">
        <v>96</v>
      </c>
      <c r="G1914" s="1">
        <v>0</v>
      </c>
      <c r="H1914" s="1" t="str">
        <f>"96/09/20"</f>
        <v>96/09/20</v>
      </c>
      <c r="I1914" s="1" t="str">
        <f>"كيلوگرم"</f>
        <v>كيلوگرم</v>
      </c>
      <c r="J1914" s="1" t="str">
        <f>"0000000076"</f>
        <v>0000000076</v>
      </c>
      <c r="K1914" s="1" t="str">
        <f>"قير 60/70 - فله"</f>
        <v>قير 60/70 - فله</v>
      </c>
      <c r="L1914" s="1">
        <v>100</v>
      </c>
      <c r="M1914" s="1" t="str">
        <f>"مخازن قير اصفهان"</f>
        <v>مخازن قير اصفهان</v>
      </c>
      <c r="N1914" s="1">
        <v>10713</v>
      </c>
      <c r="O1914" s="1">
        <v>50037747</v>
      </c>
      <c r="P1914" s="1" t="str">
        <f>"  شهرداري كوشك"</f>
        <v xml:space="preserve">  شهرداري كوشك</v>
      </c>
      <c r="Q1914" s="1">
        <v>20</v>
      </c>
      <c r="R1914" s="1" t="str">
        <f>"فروش داخلي - سازمان شهرداري ها و دهياري هاي كشور"</f>
        <v>فروش داخلي - سازمان شهرداري ها و دهياري هاي كشور</v>
      </c>
      <c r="S1914" s="1" t="str">
        <f>"قرارداد فروش"</f>
        <v>قرارداد فروش</v>
      </c>
      <c r="T1914" s="1" t="str">
        <f>"ندارد"</f>
        <v>ندارد</v>
      </c>
      <c r="U1914" s="1" t="str">
        <f>"تعاوني جم گستر (1001 ج 89)"</f>
        <v>تعاوني جم گستر (1001 ج 89)</v>
      </c>
      <c r="V1914" s="1">
        <v>962000427</v>
      </c>
      <c r="W1914" s="1">
        <v>962000427</v>
      </c>
      <c r="X1914" s="1" t="str">
        <f>"1396529711"</f>
        <v>1396529711</v>
      </c>
      <c r="Y1914" s="1" t="str">
        <f>"96/09/20"</f>
        <v>96/09/20</v>
      </c>
      <c r="Z1914" s="1" t="str">
        <f>"37209مرحله دوم"</f>
        <v>37209مرحله دوم</v>
      </c>
      <c r="AA1914" s="1" t="str">
        <f>"شهرداريها"</f>
        <v>شهرداريها</v>
      </c>
      <c r="AB1914" s="1" t="str">
        <f>"96/09/05"</f>
        <v>96/09/05</v>
      </c>
      <c r="AC1914" s="1" t="str">
        <f>"استان اصفهان"</f>
        <v>استان اصفهان</v>
      </c>
      <c r="AD1914" s="1" t="str">
        <f>"96/09/13"</f>
        <v>96/09/13</v>
      </c>
      <c r="AE1914" s="1" t="str">
        <f>"تاييدشده"</f>
        <v>تاييدشده</v>
      </c>
      <c r="AF1914" s="1" t="str">
        <f>""</f>
        <v/>
      </c>
      <c r="AG1914" s="1" t="str">
        <f>""</f>
        <v/>
      </c>
      <c r="AH1914" s="1" t="str">
        <f>""</f>
        <v/>
      </c>
      <c r="AI1914" s="1" t="str">
        <f>""</f>
        <v/>
      </c>
      <c r="AJ1914" s="1" t="str">
        <f>""</f>
        <v/>
      </c>
      <c r="AK1914" s="1" t="str">
        <f>""</f>
        <v/>
      </c>
    </row>
    <row r="1915" spans="1:37">
      <c r="A1915" s="1">
        <v>106859</v>
      </c>
      <c r="B1915" s="1">
        <v>962000031</v>
      </c>
      <c r="C1915" s="1" t="str">
        <f>"تخليه اصفهان شهرستان سيمرم -حناكيلومتر10جاده پادناكارگاه توليدشن وماسه نضري كارخانه آسفالت شهرداري حنا"</f>
        <v>تخليه اصفهان شهرستان سيمرم -حناكيلومتر10جاده پادناكارگاه توليدشن وماسه نضري كارخانه آسفالت شهرداري حنا</v>
      </c>
      <c r="D1915" s="1">
        <v>9113</v>
      </c>
      <c r="E1915" s="1">
        <v>106859</v>
      </c>
      <c r="F1915" s="1">
        <v>96</v>
      </c>
      <c r="G1915" s="1">
        <v>0</v>
      </c>
      <c r="H1915" s="1" t="str">
        <f>"96/07/03"</f>
        <v>96/07/03</v>
      </c>
      <c r="I1915" s="1" t="str">
        <f>"كيلوگرم"</f>
        <v>كيلوگرم</v>
      </c>
      <c r="J1915" s="1" t="str">
        <f>"0000000076"</f>
        <v>0000000076</v>
      </c>
      <c r="K1915" s="1" t="str">
        <f>"قير 60/70 - فله"</f>
        <v>قير 60/70 - فله</v>
      </c>
      <c r="L1915" s="1">
        <v>100</v>
      </c>
      <c r="M1915" s="1" t="str">
        <f>"مخازن قير اصفهان"</f>
        <v>مخازن قير اصفهان</v>
      </c>
      <c r="N1915" s="1">
        <v>10721</v>
      </c>
      <c r="O1915" s="1">
        <v>50036176</v>
      </c>
      <c r="P1915" s="1" t="str">
        <f>"  شهرداري حنا"</f>
        <v xml:space="preserve">  شهرداري حنا</v>
      </c>
      <c r="Q1915" s="1">
        <v>20</v>
      </c>
      <c r="R1915" s="1" t="str">
        <f>"فروش داخلي - سازمان شهرداري ها و دهياري هاي كشور"</f>
        <v>فروش داخلي - سازمان شهرداري ها و دهياري هاي كشور</v>
      </c>
      <c r="S1915" s="1" t="str">
        <f>"قرارداد فروش"</f>
        <v>قرارداد فروش</v>
      </c>
      <c r="T1915" s="1" t="str">
        <f>"ندارد"</f>
        <v>ندارد</v>
      </c>
      <c r="U1915" s="1" t="str">
        <f>"تعاوني جم گستر (1001 ج 89)"</f>
        <v>تعاوني جم گستر (1001 ج 89)</v>
      </c>
      <c r="V1915" s="1">
        <v>962000031</v>
      </c>
      <c r="W1915" s="1">
        <v>962000031</v>
      </c>
      <c r="X1915" s="1" t="str">
        <f>"1396514467"</f>
        <v>1396514467</v>
      </c>
      <c r="Y1915" s="1" t="str">
        <f>"96/07/03"</f>
        <v>96/07/03</v>
      </c>
      <c r="Z1915" s="1" t="str">
        <f>"26838مرحله اول"</f>
        <v>26838مرحله اول</v>
      </c>
      <c r="AA1915" s="1" t="str">
        <f>"شهرداريها"</f>
        <v>شهرداريها</v>
      </c>
      <c r="AB1915" s="1" t="str">
        <f>"96/06/29"</f>
        <v>96/06/29</v>
      </c>
      <c r="AC1915" s="1" t="str">
        <f>"استان اصفهان"</f>
        <v>استان اصفهان</v>
      </c>
      <c r="AD1915" s="1" t="str">
        <f>"96/07/03"</f>
        <v>96/07/03</v>
      </c>
      <c r="AE1915" s="1" t="str">
        <f>"اختتام"</f>
        <v>اختتام</v>
      </c>
      <c r="AF1915" s="1" t="str">
        <f>""</f>
        <v/>
      </c>
      <c r="AG1915" s="1" t="str">
        <f>""</f>
        <v/>
      </c>
      <c r="AH1915" s="1" t="str">
        <f>""</f>
        <v/>
      </c>
      <c r="AI1915" s="1" t="str">
        <f>""</f>
        <v/>
      </c>
      <c r="AJ1915" s="1" t="str">
        <f>""</f>
        <v/>
      </c>
      <c r="AK1915" s="1" t="str">
        <f>""</f>
        <v/>
      </c>
    </row>
    <row r="1916" spans="1:37">
      <c r="A1916" s="1">
        <v>102891</v>
      </c>
      <c r="B1916" s="1">
        <v>962000029</v>
      </c>
      <c r="C1916" s="1" t="str">
        <f>"تخليه اصفهان حبيب آبادآخرشهيدشالباف كارخانه زينبيه فاضلي"</f>
        <v>تخليه اصفهان حبيب آبادآخرشهيدشالباف كارخانه زينبيه فاضلي</v>
      </c>
      <c r="D1916" s="1">
        <v>9113</v>
      </c>
      <c r="E1916" s="1">
        <v>102891</v>
      </c>
      <c r="F1916" s="1">
        <v>96</v>
      </c>
      <c r="G1916" s="1">
        <v>0</v>
      </c>
      <c r="H1916" s="1" t="str">
        <f>"96/07/03"</f>
        <v>96/07/03</v>
      </c>
      <c r="I1916" s="1" t="str">
        <f>"كيلوگرم"</f>
        <v>كيلوگرم</v>
      </c>
      <c r="J1916" s="1" t="str">
        <f>"0000000076"</f>
        <v>0000000076</v>
      </c>
      <c r="K1916" s="1" t="str">
        <f>"قير 60/70 - فله"</f>
        <v>قير 60/70 - فله</v>
      </c>
      <c r="L1916" s="1">
        <v>100</v>
      </c>
      <c r="M1916" s="1" t="str">
        <f>"مخازن قير اصفهان"</f>
        <v>مخازن قير اصفهان</v>
      </c>
      <c r="N1916" s="1">
        <v>10737</v>
      </c>
      <c r="O1916" s="1">
        <v>50036170</v>
      </c>
      <c r="P1916" s="1" t="str">
        <f>"  شهرداري حبيب آباد"</f>
        <v xml:space="preserve">  شهرداري حبيب آباد</v>
      </c>
      <c r="Q1916" s="1">
        <v>20</v>
      </c>
      <c r="R1916" s="1" t="str">
        <f>"فروش داخلي - سازمان شهرداري ها و دهياري هاي كشور"</f>
        <v>فروش داخلي - سازمان شهرداري ها و دهياري هاي كشور</v>
      </c>
      <c r="S1916" s="1" t="str">
        <f>"قرارداد فروش"</f>
        <v>قرارداد فروش</v>
      </c>
      <c r="T1916" s="1" t="str">
        <f>"ندارد"</f>
        <v>ندارد</v>
      </c>
      <c r="U1916" s="1" t="str">
        <f>"تعاوني جم گستر (1001 ج 89)"</f>
        <v>تعاوني جم گستر (1001 ج 89)</v>
      </c>
      <c r="V1916" s="1">
        <v>962000029</v>
      </c>
      <c r="W1916" s="1">
        <v>962000029</v>
      </c>
      <c r="X1916" s="1" t="str">
        <f>"1396514467"</f>
        <v>1396514467</v>
      </c>
      <c r="Y1916" s="1" t="str">
        <f>"96/07/03"</f>
        <v>96/07/03</v>
      </c>
      <c r="Z1916" s="1" t="str">
        <f>"26840مرحله اول"</f>
        <v>26840مرحله اول</v>
      </c>
      <c r="AA1916" s="1" t="str">
        <f>"شهرداريها"</f>
        <v>شهرداريها</v>
      </c>
      <c r="AB1916" s="1" t="str">
        <f>"96/06/29"</f>
        <v>96/06/29</v>
      </c>
      <c r="AC1916" s="1" t="str">
        <f>"استان اصفهان"</f>
        <v>استان اصفهان</v>
      </c>
      <c r="AD1916" s="1" t="str">
        <f>"96/07/03"</f>
        <v>96/07/03</v>
      </c>
      <c r="AE1916" s="1" t="str">
        <f>"اختتام"</f>
        <v>اختتام</v>
      </c>
      <c r="AF1916" s="1" t="str">
        <f>""</f>
        <v/>
      </c>
      <c r="AG1916" s="1" t="str">
        <f>""</f>
        <v/>
      </c>
      <c r="AH1916" s="1" t="str">
        <f>""</f>
        <v/>
      </c>
      <c r="AI1916" s="1" t="str">
        <f>""</f>
        <v/>
      </c>
      <c r="AJ1916" s="1" t="str">
        <f>""</f>
        <v/>
      </c>
      <c r="AK1916" s="1" t="str">
        <f>""</f>
        <v/>
      </c>
    </row>
    <row r="1917" spans="1:37">
      <c r="A1917" s="1">
        <v>40353</v>
      </c>
      <c r="B1917" s="1">
        <v>962000414</v>
      </c>
      <c r="C1917" s="1" t="str">
        <f>"تخليه اصفهان جاده حبيب آبادجاده آجرشالباف كارخانه آسفالت زينبيه"</f>
        <v>تخليه اصفهان جاده حبيب آبادجاده آجرشالباف كارخانه آسفالت زينبيه</v>
      </c>
      <c r="D1917" s="1">
        <v>12820</v>
      </c>
      <c r="E1917" s="1">
        <v>39540</v>
      </c>
      <c r="F1917" s="1">
        <v>96</v>
      </c>
      <c r="G1917" s="1">
        <v>813</v>
      </c>
      <c r="H1917" s="1" t="str">
        <f>"96/09/20"</f>
        <v>96/09/20</v>
      </c>
      <c r="I1917" s="1" t="str">
        <f>"كيلوگرم"</f>
        <v>كيلوگرم</v>
      </c>
      <c r="J1917" s="1" t="str">
        <f>"0000000076"</f>
        <v>0000000076</v>
      </c>
      <c r="K1917" s="1" t="str">
        <f>"قير 60/70 - فله"</f>
        <v>قير 60/70 - فله</v>
      </c>
      <c r="L1917" s="1">
        <v>100</v>
      </c>
      <c r="M1917" s="1" t="str">
        <f>"مخازن قير اصفهان"</f>
        <v>مخازن قير اصفهان</v>
      </c>
      <c r="N1917" s="1">
        <v>10743</v>
      </c>
      <c r="O1917" s="1">
        <v>50037727</v>
      </c>
      <c r="P1917" s="1" t="str">
        <f>"  شهرداري دستگرد"</f>
        <v xml:space="preserve">  شهرداري دستگرد</v>
      </c>
      <c r="Q1917" s="1">
        <v>20</v>
      </c>
      <c r="R1917" s="1" t="str">
        <f>"فروش داخلي - سازمان شهرداري ها و دهياري هاي كشور"</f>
        <v>فروش داخلي - سازمان شهرداري ها و دهياري هاي كشور</v>
      </c>
      <c r="S1917" s="1" t="str">
        <f>"قرارداد فروش"</f>
        <v>قرارداد فروش</v>
      </c>
      <c r="T1917" s="1" t="str">
        <f>"ندارد"</f>
        <v>ندارد</v>
      </c>
      <c r="U1917" s="1" t="str">
        <f>"تعاوني جم گستر (1001 ج 89)"</f>
        <v>تعاوني جم گستر (1001 ج 89)</v>
      </c>
      <c r="V1917" s="1">
        <v>962000414</v>
      </c>
      <c r="W1917" s="1">
        <v>962000414</v>
      </c>
      <c r="X1917" s="1" t="str">
        <f>"1396529711"</f>
        <v>1396529711</v>
      </c>
      <c r="Y1917" s="1" t="str">
        <f>"96/09/20"</f>
        <v>96/09/20</v>
      </c>
      <c r="Z1917" s="1" t="str">
        <f>"37135مرحله دوم"</f>
        <v>37135مرحله دوم</v>
      </c>
      <c r="AA1917" s="1" t="str">
        <f>"شهرداريها"</f>
        <v>شهرداريها</v>
      </c>
      <c r="AB1917" s="1" t="str">
        <f>"96/09/05"</f>
        <v>96/09/05</v>
      </c>
      <c r="AC1917" s="1" t="str">
        <f>"استان اصفهان"</f>
        <v>استان اصفهان</v>
      </c>
      <c r="AD1917" s="1" t="str">
        <f>"96/09/13"</f>
        <v>96/09/13</v>
      </c>
      <c r="AE1917" s="1" t="str">
        <f>"تاييدشده"</f>
        <v>تاييدشده</v>
      </c>
      <c r="AF1917" s="1" t="str">
        <f>""</f>
        <v/>
      </c>
      <c r="AG1917" s="1" t="str">
        <f>""</f>
        <v/>
      </c>
      <c r="AH1917" s="1" t="str">
        <f>""</f>
        <v/>
      </c>
      <c r="AI1917" s="1" t="str">
        <f>""</f>
        <v/>
      </c>
      <c r="AJ1917" s="1" t="str">
        <f>""</f>
        <v/>
      </c>
      <c r="AK1917" s="1" t="str">
        <f>""</f>
        <v/>
      </c>
    </row>
    <row r="1918" spans="1:37">
      <c r="A1918" s="1">
        <v>49241</v>
      </c>
      <c r="B1918" s="1">
        <v>962000497</v>
      </c>
      <c r="C1918" s="1" t="str">
        <f>"تخليه -كهكيلويه وبويراحمد-ياسوج- دارشاهي- كارخانه آسفالت دارشاهي- كيلومتر 35 جاده ياسوج به اصفهان"</f>
        <v>تخليه -كهكيلويه وبويراحمد-ياسوج- دارشاهي- كارخانه آسفالت دارشاهي- كيلومتر 35 جاده ياسوج به اصفهان</v>
      </c>
      <c r="D1918" s="1">
        <v>12820</v>
      </c>
      <c r="E1918" s="1">
        <v>49241</v>
      </c>
      <c r="F1918" s="1">
        <v>96</v>
      </c>
      <c r="G1918" s="1">
        <v>0</v>
      </c>
      <c r="H1918" s="1" t="str">
        <f>"96/09/20"</f>
        <v>96/09/20</v>
      </c>
      <c r="I1918" s="1" t="str">
        <f>"كيلوگرم"</f>
        <v>كيلوگرم</v>
      </c>
      <c r="J1918" s="1" t="str">
        <f>"0000000076"</f>
        <v>0000000076</v>
      </c>
      <c r="K1918" s="1" t="str">
        <f>"قير 60/70 - فله"</f>
        <v>قير 60/70 - فله</v>
      </c>
      <c r="L1918" s="1">
        <v>100</v>
      </c>
      <c r="M1918" s="1" t="str">
        <f>"مخازن قير اصفهان"</f>
        <v>مخازن قير اصفهان</v>
      </c>
      <c r="N1918" s="1">
        <v>10779</v>
      </c>
      <c r="O1918" s="1">
        <v>50037874</v>
      </c>
      <c r="P1918" s="1" t="str">
        <f>"  شهرداري پاتاوه"</f>
        <v xml:space="preserve">  شهرداري پاتاوه</v>
      </c>
      <c r="Q1918" s="1">
        <v>20</v>
      </c>
      <c r="R1918" s="1" t="str">
        <f>"فروش داخلي - سازمان شهرداري ها و دهياري هاي كشور"</f>
        <v>فروش داخلي - سازمان شهرداري ها و دهياري هاي كشور</v>
      </c>
      <c r="S1918" s="1" t="str">
        <f>"قرارداد فروش"</f>
        <v>قرارداد فروش</v>
      </c>
      <c r="T1918" s="1" t="str">
        <f>"ندارد"</f>
        <v>ندارد</v>
      </c>
      <c r="U1918" s="1" t="str">
        <f>"تعاوني جم گستر (1001 ج 89)"</f>
        <v>تعاوني جم گستر (1001 ج 89)</v>
      </c>
      <c r="V1918" s="1">
        <v>962000497</v>
      </c>
      <c r="W1918" s="1">
        <v>962000497</v>
      </c>
      <c r="X1918" s="1" t="str">
        <f>"1396529711"</f>
        <v>1396529711</v>
      </c>
      <c r="Y1918" s="1" t="str">
        <f>"96/09/20"</f>
        <v>96/09/20</v>
      </c>
      <c r="Z1918" s="1" t="str">
        <f>"38281مرحله دوم"</f>
        <v>38281مرحله دوم</v>
      </c>
      <c r="AA1918" s="1" t="str">
        <f>"شهرداريها"</f>
        <v>شهرداريها</v>
      </c>
      <c r="AB1918" s="1" t="str">
        <f>"96/09/11"</f>
        <v>96/09/11</v>
      </c>
      <c r="AC1918" s="1" t="str">
        <f>"كهكيلويه و بوير احمد"</f>
        <v>كهكيلويه و بوير احمد</v>
      </c>
      <c r="AD1918" s="1" t="str">
        <f>"96/09/13"</f>
        <v>96/09/13</v>
      </c>
      <c r="AE1918" s="1" t="str">
        <f>"تاييدشده"</f>
        <v>تاييدشده</v>
      </c>
      <c r="AF1918" s="1" t="str">
        <f>""</f>
        <v/>
      </c>
      <c r="AG1918" s="1" t="str">
        <f>""</f>
        <v/>
      </c>
      <c r="AH1918" s="1" t="str">
        <f>""</f>
        <v/>
      </c>
      <c r="AI1918" s="1" t="str">
        <f>""</f>
        <v/>
      </c>
      <c r="AJ1918" s="1" t="str">
        <f>""</f>
        <v/>
      </c>
      <c r="AK1918" s="1" t="str">
        <f>""</f>
        <v/>
      </c>
    </row>
    <row r="1919" spans="1:37">
      <c r="A1919" s="1">
        <v>107662</v>
      </c>
      <c r="B1919" s="1">
        <v>962000098</v>
      </c>
      <c r="C1919" s="1" t="str">
        <f>"تخليه بوشهرشهرستان جم جاده جم پالايشگاه شركت نويدخواه جم"</f>
        <v>تخليه بوشهرشهرستان جم جاده جم پالايشگاه شركت نويدخواه جم</v>
      </c>
      <c r="D1919" s="1">
        <v>9113</v>
      </c>
      <c r="E1919" s="1">
        <v>107662</v>
      </c>
      <c r="F1919" s="1">
        <v>96</v>
      </c>
      <c r="G1919" s="1">
        <v>0</v>
      </c>
      <c r="H1919" s="1" t="str">
        <f>"96/07/03"</f>
        <v>96/07/03</v>
      </c>
      <c r="I1919" s="1" t="str">
        <f>"كيلوگرم"</f>
        <v>كيلوگرم</v>
      </c>
      <c r="J1919" s="1" t="str">
        <f>"0000000076"</f>
        <v>0000000076</v>
      </c>
      <c r="K1919" s="1" t="str">
        <f>"قير 60/70 - فله"</f>
        <v>قير 60/70 - فله</v>
      </c>
      <c r="L1919" s="1">
        <v>100</v>
      </c>
      <c r="M1919" s="1" t="str">
        <f>"مخازن قير اصفهان"</f>
        <v>مخازن قير اصفهان</v>
      </c>
      <c r="N1919" s="1">
        <v>10809</v>
      </c>
      <c r="O1919" s="1">
        <v>50036255</v>
      </c>
      <c r="P1919" s="1" t="str">
        <f>"  شهرداري انارستان"</f>
        <v xml:space="preserve">  شهرداري انارستان</v>
      </c>
      <c r="Q1919" s="1">
        <v>20</v>
      </c>
      <c r="R1919" s="1" t="str">
        <f>"فروش داخلي - سازمان شهرداري ها و دهياري هاي كشور"</f>
        <v>فروش داخلي - سازمان شهرداري ها و دهياري هاي كشور</v>
      </c>
      <c r="S1919" s="1" t="str">
        <f>"قرارداد فروش"</f>
        <v>قرارداد فروش</v>
      </c>
      <c r="T1919" s="1" t="str">
        <f>"ندارد"</f>
        <v>ندارد</v>
      </c>
      <c r="U1919" s="1" t="str">
        <f>"تعاوني جم گستر (1001 ج 89)"</f>
        <v>تعاوني جم گستر (1001 ج 89)</v>
      </c>
      <c r="V1919" s="1">
        <v>962000098</v>
      </c>
      <c r="W1919" s="1">
        <v>962000098</v>
      </c>
      <c r="X1919" s="1" t="str">
        <f>"1396514467"</f>
        <v>1396514467</v>
      </c>
      <c r="Y1919" s="1" t="str">
        <f>"96/07/03"</f>
        <v>96/07/03</v>
      </c>
      <c r="Z1919" s="1" t="str">
        <f>"26833مرحله اول"</f>
        <v>26833مرحله اول</v>
      </c>
      <c r="AA1919" s="1" t="str">
        <f>"شهرداريها"</f>
        <v>شهرداريها</v>
      </c>
      <c r="AB1919" s="1" t="str">
        <f>"96/06/29"</f>
        <v>96/06/29</v>
      </c>
      <c r="AC1919" s="1" t="str">
        <f>"بوشهر"</f>
        <v>بوشهر</v>
      </c>
      <c r="AD1919" s="1" t="str">
        <f>"96/07/03"</f>
        <v>96/07/03</v>
      </c>
      <c r="AE1919" s="1" t="str">
        <f>"تاييدشده"</f>
        <v>تاييدشده</v>
      </c>
      <c r="AF1919" s="1" t="str">
        <f>""</f>
        <v/>
      </c>
      <c r="AG1919" s="1" t="str">
        <f>""</f>
        <v/>
      </c>
      <c r="AH1919" s="1" t="str">
        <f>""</f>
        <v/>
      </c>
      <c r="AI1919" s="1" t="str">
        <f>""</f>
        <v/>
      </c>
      <c r="AJ1919" s="1" t="str">
        <f>""</f>
        <v/>
      </c>
      <c r="AK1919" s="1" t="str">
        <f>""</f>
        <v/>
      </c>
    </row>
    <row r="1920" spans="1:37">
      <c r="A1920" s="1">
        <v>37158</v>
      </c>
      <c r="B1920" s="1">
        <v>962000346</v>
      </c>
      <c r="C1920" s="1" t="str">
        <f>"تخليه كرمان كيلومتر65جاده كرمان زرندريحانشهر بلوارشهرداري"</f>
        <v>تخليه كرمان كيلومتر65جاده كرمان زرندريحانشهر بلوارشهرداري</v>
      </c>
      <c r="D1920" s="1">
        <v>12820</v>
      </c>
      <c r="E1920" s="1">
        <v>37158</v>
      </c>
      <c r="F1920" s="1">
        <v>96</v>
      </c>
      <c r="G1920" s="1">
        <v>0</v>
      </c>
      <c r="H1920" s="1" t="str">
        <f>"96/09/18"</f>
        <v>96/09/18</v>
      </c>
      <c r="I1920" s="1" t="str">
        <f>"كيلوگرم"</f>
        <v>كيلوگرم</v>
      </c>
      <c r="J1920" s="1" t="str">
        <f>"0000000076"</f>
        <v>0000000076</v>
      </c>
      <c r="K1920" s="1" t="str">
        <f>"قير 60/70 - فله"</f>
        <v>قير 60/70 - فله</v>
      </c>
      <c r="L1920" s="1">
        <v>100</v>
      </c>
      <c r="M1920" s="1" t="str">
        <f>"مخازن قير اصفهان"</f>
        <v>مخازن قير اصفهان</v>
      </c>
      <c r="N1920" s="1">
        <v>10834</v>
      </c>
      <c r="O1920" s="1">
        <v>50037603</v>
      </c>
      <c r="P1920" s="1" t="str">
        <f>"  شهرداري ريحان شهر"</f>
        <v xml:space="preserve">  شهرداري ريحان شهر</v>
      </c>
      <c r="Q1920" s="1">
        <v>20</v>
      </c>
      <c r="R1920" s="1" t="str">
        <f>"فروش داخلي - سازمان شهرداري ها و دهياري هاي كشور"</f>
        <v>فروش داخلي - سازمان شهرداري ها و دهياري هاي كشور</v>
      </c>
      <c r="S1920" s="1" t="str">
        <f>"قرارداد فروش"</f>
        <v>قرارداد فروش</v>
      </c>
      <c r="T1920" s="1" t="str">
        <f>"ندارد"</f>
        <v>ندارد</v>
      </c>
      <c r="U1920" s="1" t="str">
        <f>"تعاوني جم گستر (1001 ج 89)"</f>
        <v>تعاوني جم گستر (1001 ج 89)</v>
      </c>
      <c r="V1920" s="1">
        <v>962000346</v>
      </c>
      <c r="W1920" s="1">
        <v>962000346</v>
      </c>
      <c r="X1920" s="1" t="str">
        <f>"1396529711"</f>
        <v>1396529711</v>
      </c>
      <c r="Y1920" s="1" t="str">
        <f>"96/09/18"</f>
        <v>96/09/18</v>
      </c>
      <c r="Z1920" s="1" t="str">
        <f>"38587مرحله دوم"</f>
        <v>38587مرحله دوم</v>
      </c>
      <c r="AA1920" s="1" t="str">
        <f>"شهرداريها"</f>
        <v>شهرداريها</v>
      </c>
      <c r="AB1920" s="1" t="str">
        <f>"96/09/11"</f>
        <v>96/09/11</v>
      </c>
      <c r="AC1920" s="1" t="str">
        <f>"استان كرمان"</f>
        <v>استان كرمان</v>
      </c>
      <c r="AD1920" s="1" t="str">
        <f>"96/09/13"</f>
        <v>96/09/13</v>
      </c>
      <c r="AE1920" s="1" t="str">
        <f>"اختتام"</f>
        <v>اختتام</v>
      </c>
      <c r="AF1920" s="1" t="str">
        <f>""</f>
        <v/>
      </c>
      <c r="AG1920" s="1" t="str">
        <f>""</f>
        <v/>
      </c>
      <c r="AH1920" s="1" t="str">
        <f>""</f>
        <v/>
      </c>
      <c r="AI1920" s="1" t="str">
        <f>""</f>
        <v/>
      </c>
      <c r="AJ1920" s="1" t="str">
        <f>""</f>
        <v/>
      </c>
      <c r="AK1920" s="1" t="str">
        <f>""</f>
        <v/>
      </c>
    </row>
    <row r="1921" spans="1:37">
      <c r="A1921" s="1">
        <v>36462</v>
      </c>
      <c r="B1921" s="1">
        <v>962000349</v>
      </c>
      <c r="C1921" s="1" t="str">
        <f>"تخليه كرمان شهربابك كمربندي خاتون آبادشركت راهسازي پ -بل"</f>
        <v>تخليه كرمان شهربابك كمربندي خاتون آبادشركت راهسازي پ -بل</v>
      </c>
      <c r="D1921" s="1">
        <v>12820</v>
      </c>
      <c r="E1921" s="1">
        <v>36462</v>
      </c>
      <c r="F1921" s="1">
        <v>96</v>
      </c>
      <c r="G1921" s="1">
        <v>0</v>
      </c>
      <c r="H1921" s="1" t="str">
        <f>"96/09/18"</f>
        <v>96/09/18</v>
      </c>
      <c r="I1921" s="1" t="str">
        <f>"كيلوگرم"</f>
        <v>كيلوگرم</v>
      </c>
      <c r="J1921" s="1" t="str">
        <f>"0000000076"</f>
        <v>0000000076</v>
      </c>
      <c r="K1921" s="1" t="str">
        <f>"قير 60/70 - فله"</f>
        <v>قير 60/70 - فله</v>
      </c>
      <c r="L1921" s="1">
        <v>100</v>
      </c>
      <c r="M1921" s="1" t="str">
        <f>"مخازن قير اصفهان"</f>
        <v>مخازن قير اصفهان</v>
      </c>
      <c r="N1921" s="1">
        <v>10835</v>
      </c>
      <c r="O1921" s="1">
        <v>50037607</v>
      </c>
      <c r="P1921" s="1" t="str">
        <f>"  شهرداري جوزم"</f>
        <v xml:space="preserve">  شهرداري جوزم</v>
      </c>
      <c r="Q1921" s="1">
        <v>20</v>
      </c>
      <c r="R1921" s="1" t="str">
        <f>"فروش داخلي - سازمان شهرداري ها و دهياري هاي كشور"</f>
        <v>فروش داخلي - سازمان شهرداري ها و دهياري هاي كشور</v>
      </c>
      <c r="S1921" s="1" t="str">
        <f>"قرارداد فروش"</f>
        <v>قرارداد فروش</v>
      </c>
      <c r="T1921" s="1" t="str">
        <f>"ندارد"</f>
        <v>ندارد</v>
      </c>
      <c r="U1921" s="1" t="str">
        <f>"تعاوني جم گستر (1001 ج 89)"</f>
        <v>تعاوني جم گستر (1001 ج 89)</v>
      </c>
      <c r="V1921" s="1">
        <v>962000349</v>
      </c>
      <c r="W1921" s="1">
        <v>962000349</v>
      </c>
      <c r="X1921" s="1" t="str">
        <f>"1396529711"</f>
        <v>1396529711</v>
      </c>
      <c r="Y1921" s="1" t="str">
        <f>"96/09/18"</f>
        <v>96/09/18</v>
      </c>
      <c r="Z1921" s="1" t="str">
        <f>"38586مرحله دوم"</f>
        <v>38586مرحله دوم</v>
      </c>
      <c r="AA1921" s="1" t="str">
        <f>"شهرداريها"</f>
        <v>شهرداريها</v>
      </c>
      <c r="AB1921" s="1" t="str">
        <f>"96/09/11"</f>
        <v>96/09/11</v>
      </c>
      <c r="AC1921" s="1" t="str">
        <f>"استان كرمان"</f>
        <v>استان كرمان</v>
      </c>
      <c r="AD1921" s="1" t="str">
        <f>"96/09/13"</f>
        <v>96/09/13</v>
      </c>
      <c r="AE1921" s="1" t="str">
        <f>"تاييدشده"</f>
        <v>تاييدشده</v>
      </c>
      <c r="AF1921" s="1" t="str">
        <f>""</f>
        <v/>
      </c>
      <c r="AG1921" s="1" t="str">
        <f>""</f>
        <v/>
      </c>
      <c r="AH1921" s="1" t="str">
        <f>""</f>
        <v/>
      </c>
      <c r="AI1921" s="1" t="str">
        <f>""</f>
        <v/>
      </c>
      <c r="AJ1921" s="1" t="str">
        <f>""</f>
        <v/>
      </c>
      <c r="AK1921" s="1" t="str">
        <f>""</f>
        <v/>
      </c>
    </row>
    <row r="1922" spans="1:37">
      <c r="A1922" s="1">
        <v>142110</v>
      </c>
      <c r="B1922" s="1">
        <v>962000198</v>
      </c>
      <c r="C1922" s="1" t="str">
        <f>"تخليه قم جعفريه ناحيه طغرودكارخانه آسفالت مهرگازران"</f>
        <v>تخليه قم جعفريه ناحيه طغرودكارخانه آسفالت مهرگازران</v>
      </c>
      <c r="D1922" s="1">
        <v>9113</v>
      </c>
      <c r="E1922" s="1">
        <v>141780</v>
      </c>
      <c r="F1922" s="1">
        <v>96</v>
      </c>
      <c r="G1922" s="1">
        <v>330</v>
      </c>
      <c r="H1922" s="1" t="str">
        <f>"96/07/03"</f>
        <v>96/07/03</v>
      </c>
      <c r="I1922" s="1" t="str">
        <f>"كيلوگرم"</f>
        <v>كيلوگرم</v>
      </c>
      <c r="J1922" s="1" t="str">
        <f>"0000000076"</f>
        <v>0000000076</v>
      </c>
      <c r="K1922" s="1" t="str">
        <f>"قير 60/70 - فله"</f>
        <v>قير 60/70 - فله</v>
      </c>
      <c r="L1922" s="1">
        <v>100</v>
      </c>
      <c r="M1922" s="1" t="str">
        <f>"مخازن قير اصفهان"</f>
        <v>مخازن قير اصفهان</v>
      </c>
      <c r="N1922" s="1">
        <v>10873</v>
      </c>
      <c r="O1922" s="1">
        <v>50036421</v>
      </c>
      <c r="P1922" s="1" t="str">
        <f>"  شهرداري جعفريه"</f>
        <v xml:space="preserve">  شهرداري جعفريه</v>
      </c>
      <c r="Q1922" s="1">
        <v>20</v>
      </c>
      <c r="R1922" s="1" t="str">
        <f>"فروش داخلي - سازمان شهرداري ها و دهياري هاي كشور"</f>
        <v>فروش داخلي - سازمان شهرداري ها و دهياري هاي كشور</v>
      </c>
      <c r="S1922" s="1" t="str">
        <f>"قرارداد فروش"</f>
        <v>قرارداد فروش</v>
      </c>
      <c r="T1922" s="1" t="str">
        <f>"ندارد"</f>
        <v>ندارد</v>
      </c>
      <c r="U1922" s="1" t="str">
        <f>"تعاوني جم گستر (1001 ج 89)"</f>
        <v>تعاوني جم گستر (1001 ج 89)</v>
      </c>
      <c r="V1922" s="1">
        <v>962000198</v>
      </c>
      <c r="W1922" s="1">
        <v>962000198</v>
      </c>
      <c r="X1922" s="1" t="str">
        <f>"1396514467"</f>
        <v>1396514467</v>
      </c>
      <c r="Y1922" s="1" t="str">
        <f>"96/07/03"</f>
        <v>96/07/03</v>
      </c>
      <c r="Z1922" s="1" t="str">
        <f>"26874مرحله اول"</f>
        <v>26874مرحله اول</v>
      </c>
      <c r="AA1922" s="1" t="str">
        <f>"شهرداريها"</f>
        <v>شهرداريها</v>
      </c>
      <c r="AB1922" s="1" t="str">
        <f>"96/06/29"</f>
        <v>96/06/29</v>
      </c>
      <c r="AC1922" s="1" t="str">
        <f>"قم"</f>
        <v>قم</v>
      </c>
      <c r="AD1922" s="1" t="str">
        <f>"96/07/03"</f>
        <v>96/07/03</v>
      </c>
      <c r="AE1922" s="1" t="str">
        <f>"اختتام"</f>
        <v>اختتام</v>
      </c>
      <c r="AF1922" s="1" t="str">
        <f>""</f>
        <v/>
      </c>
      <c r="AG1922" s="1" t="str">
        <f>""</f>
        <v/>
      </c>
      <c r="AH1922" s="1" t="str">
        <f>""</f>
        <v/>
      </c>
      <c r="AI1922" s="1" t="str">
        <f>""</f>
        <v/>
      </c>
      <c r="AJ1922" s="1" t="str">
        <f>""</f>
        <v/>
      </c>
      <c r="AK1922" s="1" t="str">
        <f>""</f>
        <v/>
      </c>
    </row>
    <row r="1923" spans="1:37">
      <c r="A1923" s="1">
        <v>65255</v>
      </c>
      <c r="B1923" s="1">
        <v>962000286</v>
      </c>
      <c r="C1923" s="1" t="str">
        <f>"تخليه -خراسان رضوي -تربت جام -شهرصالح آباد-مخزن قيرآسفالت شهرداري صالح آباد"</f>
        <v>تخليه -خراسان رضوي -تربت جام -شهرصالح آباد-مخزن قيرآسفالت شهرداري صالح آباد</v>
      </c>
      <c r="D1923" s="1">
        <v>9113</v>
      </c>
      <c r="E1923" s="1">
        <v>65230</v>
      </c>
      <c r="F1923" s="1">
        <v>96</v>
      </c>
      <c r="G1923" s="1">
        <v>25</v>
      </c>
      <c r="H1923" s="1" t="str">
        <f>"96/09/13"</f>
        <v>96/09/13</v>
      </c>
      <c r="I1923" s="1" t="str">
        <f>"كيلوگرم"</f>
        <v>كيلوگرم</v>
      </c>
      <c r="J1923" s="1" t="str">
        <f>"0000000076"</f>
        <v>0000000076</v>
      </c>
      <c r="K1923" s="1" t="str">
        <f>"قير 60/70 - فله"</f>
        <v>قير 60/70 - فله</v>
      </c>
      <c r="L1923" s="1">
        <v>100</v>
      </c>
      <c r="M1923" s="1" t="str">
        <f>"مخازن قير اصفهان"</f>
        <v>مخازن قير اصفهان</v>
      </c>
      <c r="N1923" s="1">
        <v>10915</v>
      </c>
      <c r="O1923" s="1">
        <v>50037486</v>
      </c>
      <c r="P1923" s="1" t="str">
        <f>"  شهرداري صالح آبادخراسان رضوي"</f>
        <v xml:space="preserve">  شهرداري صالح آبادخراسان رضوي</v>
      </c>
      <c r="Q1923" s="1">
        <v>20</v>
      </c>
      <c r="R1923" s="1" t="str">
        <f>"فروش داخلي - سازمان شهرداري ها و دهياري هاي كشور"</f>
        <v>فروش داخلي - سازمان شهرداري ها و دهياري هاي كشور</v>
      </c>
      <c r="S1923" s="1" t="str">
        <f>"قرارداد فروش"</f>
        <v>قرارداد فروش</v>
      </c>
      <c r="T1923" s="1" t="str">
        <f>"ندارد"</f>
        <v>ندارد</v>
      </c>
      <c r="U1923" s="1" t="str">
        <f>"تعاوني جم گستر (1001 ج 89)"</f>
        <v>تعاوني جم گستر (1001 ج 89)</v>
      </c>
      <c r="V1923" s="1">
        <v>962000286</v>
      </c>
      <c r="W1923" s="1">
        <v>962000286</v>
      </c>
      <c r="X1923" s="1" t="str">
        <f>"1396514467"</f>
        <v>1396514467</v>
      </c>
      <c r="Y1923" s="1" t="str">
        <f>"96/09/12"</f>
        <v>96/09/12</v>
      </c>
      <c r="Z1923" s="1" t="str">
        <f>"37040مرحله دوم"</f>
        <v>37040مرحله دوم</v>
      </c>
      <c r="AA1923" s="1" t="str">
        <f>"شهرداريها"</f>
        <v>شهرداريها</v>
      </c>
      <c r="AB1923" s="1" t="str">
        <f>"96/09/04"</f>
        <v>96/09/04</v>
      </c>
      <c r="AC1923" s="1" t="str">
        <f>"خراسان رضوي"</f>
        <v>خراسان رضوي</v>
      </c>
      <c r="AD1923" s="1" t="str">
        <f>"96/07/03"</f>
        <v>96/07/03</v>
      </c>
      <c r="AE1923" s="1" t="str">
        <f>"اختتام"</f>
        <v>اختتام</v>
      </c>
      <c r="AF1923" s="1" t="str">
        <f>""</f>
        <v/>
      </c>
      <c r="AG1923" s="1" t="str">
        <f>""</f>
        <v/>
      </c>
      <c r="AH1923" s="1" t="str">
        <f>""</f>
        <v/>
      </c>
      <c r="AI1923" s="1" t="str">
        <f>""</f>
        <v/>
      </c>
      <c r="AJ1923" s="1" t="str">
        <f>""</f>
        <v/>
      </c>
      <c r="AK1923" s="1" t="str">
        <f>""</f>
        <v/>
      </c>
    </row>
    <row r="1924" spans="1:37">
      <c r="A1924" s="1">
        <v>189000</v>
      </c>
      <c r="B1924" s="1">
        <v>966200588</v>
      </c>
      <c r="C1924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1924" s="1">
        <v>13350</v>
      </c>
      <c r="E1924" s="1">
        <v>188780</v>
      </c>
      <c r="F1924" s="1">
        <v>96</v>
      </c>
      <c r="G1924" s="1">
        <v>220</v>
      </c>
      <c r="H1924" s="1" t="str">
        <f>"96/12/07"</f>
        <v>96/12/07</v>
      </c>
      <c r="I1924" s="1" t="str">
        <f>"كيلوگرم"</f>
        <v>كيلوگرم</v>
      </c>
      <c r="J1924" s="1" t="str">
        <f>"0000000076"</f>
        <v>0000000076</v>
      </c>
      <c r="K1924" s="1" t="str">
        <f>"قير 60/70 - فله"</f>
        <v>قير 60/70 - فله</v>
      </c>
      <c r="L1924" s="1">
        <v>100</v>
      </c>
      <c r="M1924" s="1" t="str">
        <f>"مخازن قير اصفهان"</f>
        <v>مخازن قير اصفهان</v>
      </c>
      <c r="N1924" s="1">
        <v>11001</v>
      </c>
      <c r="O1924" s="1">
        <v>50038628</v>
      </c>
      <c r="P1924" s="1" t="str">
        <f>"  بنياد مسکن انقلاب اسلامي نجف آباد"</f>
        <v xml:space="preserve">  بنياد مسکن انقلاب اسلامي نجف آباد</v>
      </c>
      <c r="Q1924" s="1">
        <v>62</v>
      </c>
      <c r="R1924" s="1" t="str">
        <f>"فروش داخلي - سازمان بنيادمسكن انقلاب اسلامي"</f>
        <v>فروش داخلي - سازمان بنيادمسكن انقلاب اسلامي</v>
      </c>
      <c r="S1924" s="1" t="str">
        <f>"قرارداد فروش"</f>
        <v>قرارداد فروش</v>
      </c>
      <c r="T1924" s="1" t="str">
        <f>"ندارد"</f>
        <v>ندارد</v>
      </c>
      <c r="U1924" s="1" t="str">
        <f>"سيفي پور عبدالمجيد(1009ج89)"</f>
        <v>سيفي پور عبدالمجيد(1009ج89)</v>
      </c>
      <c r="V1924" s="1">
        <v>966200588</v>
      </c>
      <c r="W1924" s="1">
        <v>966200588</v>
      </c>
      <c r="X1924" s="1" t="str">
        <f>"1396550585"</f>
        <v>1396550585</v>
      </c>
      <c r="Y1924" s="1" t="str">
        <f>"96/12/07"</f>
        <v>96/12/07</v>
      </c>
      <c r="Z1924" s="1" t="str">
        <f>"54838/د"</f>
        <v>54838/د</v>
      </c>
      <c r="AA1924" s="1" t="str">
        <f>"بنيادمسكن انقلاب اسلامي"</f>
        <v>بنيادمسكن انقلاب اسلامي</v>
      </c>
      <c r="AB1924" s="1" t="str">
        <f>"96/12/05"</f>
        <v>96/12/05</v>
      </c>
      <c r="AC1924" s="1" t="str">
        <f>"استان اصفهان"</f>
        <v>استان اصفهان</v>
      </c>
      <c r="AD1924" s="1" t="str">
        <f>"96/12/07"</f>
        <v>96/12/07</v>
      </c>
      <c r="AE1924" s="1" t="str">
        <f>"اختتام"</f>
        <v>اختتام</v>
      </c>
      <c r="AF1924" s="1" t="str">
        <f>""</f>
        <v/>
      </c>
      <c r="AG1924" s="1" t="str">
        <f>""</f>
        <v/>
      </c>
      <c r="AH1924" s="1" t="str">
        <f>""</f>
        <v/>
      </c>
      <c r="AI1924" s="1" t="str">
        <f>""</f>
        <v/>
      </c>
      <c r="AJ1924" s="1" t="str">
        <f>""</f>
        <v/>
      </c>
      <c r="AK1924" s="1" t="str">
        <f>""</f>
        <v/>
      </c>
    </row>
    <row r="1925" spans="1:37">
      <c r="A1925" s="1">
        <v>60000</v>
      </c>
      <c r="B1925" s="1">
        <v>966200416</v>
      </c>
      <c r="C1925" s="1" t="str">
        <f>"تخليه- جاده نايين-کيلومتر125 اصفهان- نايين- کارخانه آسفالت غفراني"</f>
        <v>تخليه- جاده نايين-کيلومتر125 اصفهان- نايين- کارخانه آسفالت غفراني</v>
      </c>
      <c r="D1925" s="1">
        <v>12820</v>
      </c>
      <c r="E1925" s="1">
        <v>59560</v>
      </c>
      <c r="F1925" s="1">
        <v>96</v>
      </c>
      <c r="G1925" s="1">
        <v>440</v>
      </c>
      <c r="H1925" s="1" t="str">
        <f>"96/09/12"</f>
        <v>96/09/12</v>
      </c>
      <c r="I1925" s="1" t="str">
        <f>"كيلوگرم"</f>
        <v>كيلوگرم</v>
      </c>
      <c r="J1925" s="1" t="str">
        <f>"0000000076"</f>
        <v>0000000076</v>
      </c>
      <c r="K1925" s="1" t="str">
        <f>"قير 60/70 - فله"</f>
        <v>قير 60/70 - فله</v>
      </c>
      <c r="L1925" s="1">
        <v>100</v>
      </c>
      <c r="M1925" s="1" t="str">
        <f>"مخازن قير اصفهان"</f>
        <v>مخازن قير اصفهان</v>
      </c>
      <c r="N1925" s="1">
        <v>11027</v>
      </c>
      <c r="O1925" s="1">
        <v>50037427</v>
      </c>
      <c r="P1925" s="1" t="str">
        <f>"  نوژان خشت"</f>
        <v xml:space="preserve">  نوژان خشت</v>
      </c>
      <c r="Q1925" s="1">
        <v>62</v>
      </c>
      <c r="R1925" s="1" t="str">
        <f>"فروش داخلي - سازمان بنيادمسكن انقلاب اسلامي"</f>
        <v>فروش داخلي - سازمان بنيادمسكن انقلاب اسلامي</v>
      </c>
      <c r="S1925" s="1" t="str">
        <f>"قرارداد فروش"</f>
        <v>قرارداد فروش</v>
      </c>
      <c r="T1925" s="1" t="str">
        <f>"ندارد"</f>
        <v>ندارد</v>
      </c>
      <c r="U1925" s="1" t="str">
        <f>"ريسماني حسن(1007ج89)"</f>
        <v>ريسماني حسن(1007ج89)</v>
      </c>
      <c r="V1925" s="1">
        <v>966200416</v>
      </c>
      <c r="W1925" s="1">
        <v>966200416</v>
      </c>
      <c r="X1925" s="1" t="str">
        <f>"1396529573"</f>
        <v>1396529573</v>
      </c>
      <c r="Y1925" s="1" t="str">
        <f>"96/09/12"</f>
        <v>96/09/12</v>
      </c>
      <c r="Z1925" s="1" t="str">
        <f>"40058/د"</f>
        <v>40058/د</v>
      </c>
      <c r="AA1925" s="1" t="str">
        <f>"بنيادمسكن انقلاب اسلامي"</f>
        <v>بنيادمسكن انقلاب اسلامي</v>
      </c>
      <c r="AB1925" s="1" t="str">
        <f>"96/09/11"</f>
        <v>96/09/11</v>
      </c>
      <c r="AC1925" s="1" t="str">
        <f>"استان اصفهان"</f>
        <v>استان اصفهان</v>
      </c>
      <c r="AD1925" s="1" t="str">
        <f>"96/09/12"</f>
        <v>96/09/12</v>
      </c>
      <c r="AE1925" s="1" t="str">
        <f>"اختتام"</f>
        <v>اختتام</v>
      </c>
      <c r="AF1925" s="1" t="str">
        <f>""</f>
        <v/>
      </c>
      <c r="AG1925" s="1" t="str">
        <f>""</f>
        <v/>
      </c>
      <c r="AH1925" s="1" t="str">
        <f>""</f>
        <v/>
      </c>
      <c r="AI1925" s="1" t="str">
        <f>""</f>
        <v/>
      </c>
      <c r="AJ1925" s="1" t="str">
        <f>""</f>
        <v/>
      </c>
      <c r="AK1925" s="1" t="str">
        <f>""</f>
        <v/>
      </c>
    </row>
    <row r="1926" spans="1:37">
      <c r="A1926" s="1">
        <v>60000</v>
      </c>
      <c r="B1926" s="1">
        <v>966200484</v>
      </c>
      <c r="C1926" s="1" t="str">
        <f>"تخليه- شهر لنده کارخانه-روستاي ايدنک-کارخانه آسفالت شهرداري"</f>
        <v>تخليه- شهر لنده کارخانه-روستاي ايدنک-کارخانه آسفالت شهرداري</v>
      </c>
      <c r="D1926" s="1">
        <v>12820</v>
      </c>
      <c r="E1926" s="1">
        <v>59280</v>
      </c>
      <c r="F1926" s="1">
        <v>96</v>
      </c>
      <c r="G1926" s="1">
        <v>720</v>
      </c>
      <c r="H1926" s="1" t="str">
        <f>"96/09/27"</f>
        <v>96/09/27</v>
      </c>
      <c r="I1926" s="1" t="str">
        <f>"كيلوگرم"</f>
        <v>كيلوگرم</v>
      </c>
      <c r="J1926" s="1" t="str">
        <f>"0000000076"</f>
        <v>0000000076</v>
      </c>
      <c r="K1926" s="1" t="str">
        <f>"قير 60/70 - فله"</f>
        <v>قير 60/70 - فله</v>
      </c>
      <c r="L1926" s="1">
        <v>100</v>
      </c>
      <c r="M1926" s="1" t="str">
        <f>"مخازن قير اصفهان"</f>
        <v>مخازن قير اصفهان</v>
      </c>
      <c r="N1926" s="1">
        <v>11041</v>
      </c>
      <c r="O1926" s="1">
        <v>50037930</v>
      </c>
      <c r="P1926" s="1" t="str">
        <f>"  تنگ شير سازه"</f>
        <v xml:space="preserve">  تنگ شير سازه</v>
      </c>
      <c r="Q1926" s="1">
        <v>62</v>
      </c>
      <c r="R1926" s="1" t="str">
        <f>"فروش داخلي - سازمان بنيادمسكن انقلاب اسلامي"</f>
        <v>فروش داخلي - سازمان بنيادمسكن انقلاب اسلامي</v>
      </c>
      <c r="S1926" s="1" t="str">
        <f>"قرارداد فروش"</f>
        <v>قرارداد فروش</v>
      </c>
      <c r="T1926" s="1" t="str">
        <f>"ندارد"</f>
        <v>ندارد</v>
      </c>
      <c r="U1926" s="1" t="str">
        <f>"غلام نجفي سيامك‌‌‌‌‌‌(1881082)"</f>
        <v>غلام نجفي سيامك‌‌‌‌‌‌(1881082)</v>
      </c>
      <c r="V1926" s="1">
        <v>966200484</v>
      </c>
      <c r="W1926" s="1">
        <v>966200484</v>
      </c>
      <c r="X1926" s="1" t="str">
        <f>"1396533043"</f>
        <v>1396533043</v>
      </c>
      <c r="Y1926" s="1" t="str">
        <f>"96/09/27"</f>
        <v>96/09/27</v>
      </c>
      <c r="Z1926" s="1" t="str">
        <f>"42448/د"</f>
        <v>42448/د</v>
      </c>
      <c r="AA1926" s="1" t="str">
        <f>"بنيادمسكن انقلاب اسلامي"</f>
        <v>بنيادمسكن انقلاب اسلامي</v>
      </c>
      <c r="AB1926" s="1" t="str">
        <f>"96/09/26"</f>
        <v>96/09/26</v>
      </c>
      <c r="AC1926" s="1" t="str">
        <f>"كهكيلويه و بوير احمد"</f>
        <v>كهكيلويه و بوير احمد</v>
      </c>
      <c r="AD1926" s="1" t="str">
        <f>"96/09/27"</f>
        <v>96/09/27</v>
      </c>
      <c r="AE1926" s="1" t="str">
        <f>"اختتام"</f>
        <v>اختتام</v>
      </c>
      <c r="AF1926" s="1" t="str">
        <f>""</f>
        <v/>
      </c>
      <c r="AG1926" s="1" t="str">
        <f>""</f>
        <v/>
      </c>
      <c r="AH1926" s="1" t="str">
        <f>""</f>
        <v/>
      </c>
      <c r="AI1926" s="1" t="str">
        <f>""</f>
        <v/>
      </c>
      <c r="AJ1926" s="1" t="str">
        <f>""</f>
        <v/>
      </c>
      <c r="AK1926" s="1" t="str">
        <f>""</f>
        <v/>
      </c>
    </row>
    <row r="1927" spans="1:37">
      <c r="A1927" s="1">
        <v>15000</v>
      </c>
      <c r="B1927" s="1">
        <v>966200675</v>
      </c>
      <c r="C1927" s="1" t="str">
        <f>"تخليه - کهگيلويه و بويراحمد-ياسوج-کمربندي ياسوج کارخانه آسفالت زارع"</f>
        <v>تخليه - کهگيلويه و بويراحمد-ياسوج-کمربندي ياسوج کارخانه آسفالت زارع</v>
      </c>
      <c r="D1927" s="1">
        <v>13350</v>
      </c>
      <c r="E1927" s="1">
        <v>15000</v>
      </c>
      <c r="F1927" s="1">
        <v>96</v>
      </c>
      <c r="G1927" s="1">
        <v>0</v>
      </c>
      <c r="H1927" s="1" t="str">
        <f>"96/12/16"</f>
        <v>96/12/16</v>
      </c>
      <c r="I1927" s="1" t="str">
        <f>"كيلوگرم"</f>
        <v>كيلوگرم</v>
      </c>
      <c r="J1927" s="1" t="str">
        <f>"0000000076"</f>
        <v>0000000076</v>
      </c>
      <c r="K1927" s="1" t="str">
        <f>"قير 60/70 - فله"</f>
        <v>قير 60/70 - فله</v>
      </c>
      <c r="L1927" s="1">
        <v>100</v>
      </c>
      <c r="M1927" s="1" t="str">
        <f>"مخازن قير اصفهان"</f>
        <v>مخازن قير اصفهان</v>
      </c>
      <c r="N1927" s="1">
        <v>11043</v>
      </c>
      <c r="O1927" s="1">
        <v>50038833</v>
      </c>
      <c r="P1927" s="1" t="str">
        <f>"  كاوه كاركوهستان"</f>
        <v xml:space="preserve">  كاوه كاركوهستان</v>
      </c>
      <c r="Q1927" s="1">
        <v>62</v>
      </c>
      <c r="R1927" s="1" t="str">
        <f>"فروش داخلي - سازمان بنيادمسكن انقلاب اسلامي"</f>
        <v>فروش داخلي - سازمان بنيادمسكن انقلاب اسلامي</v>
      </c>
      <c r="S1927" s="1" t="str">
        <f>"قرارداد فروش"</f>
        <v>قرارداد فروش</v>
      </c>
      <c r="T1927" s="1" t="str">
        <f>"ندارد"</f>
        <v>ندارد</v>
      </c>
      <c r="U1927" s="1" t="str">
        <f>"غلام نجفي سيامك‌‌‌‌‌‌(1881082)"</f>
        <v>غلام نجفي سيامك‌‌‌‌‌‌(1881082)</v>
      </c>
      <c r="V1927" s="1">
        <v>966200675</v>
      </c>
      <c r="W1927" s="1">
        <v>966200675</v>
      </c>
      <c r="X1927" s="1" t="str">
        <f>"1396553438"</f>
        <v>1396553438</v>
      </c>
      <c r="Y1927" s="1" t="str">
        <f>"96/12/16"</f>
        <v>96/12/16</v>
      </c>
      <c r="Z1927" s="1" t="str">
        <f>"57188/د"</f>
        <v>57188/د</v>
      </c>
      <c r="AA1927" s="1" t="str">
        <f>"بنيادمسكن انقلاب اسلامي"</f>
        <v>بنيادمسكن انقلاب اسلامي</v>
      </c>
      <c r="AB1927" s="1" t="str">
        <f>"96/12/15"</f>
        <v>96/12/15</v>
      </c>
      <c r="AC1927" s="1" t="str">
        <f>"كهكيلويه و بوير احمد"</f>
        <v>كهكيلويه و بوير احمد</v>
      </c>
      <c r="AD1927" s="1" t="str">
        <f>"96/12/16"</f>
        <v>96/12/16</v>
      </c>
      <c r="AE1927" s="1" t="str">
        <f>"اختتام"</f>
        <v>اختتام</v>
      </c>
      <c r="AF1927" s="1" t="str">
        <f>""</f>
        <v/>
      </c>
      <c r="AG1927" s="1" t="str">
        <f>""</f>
        <v/>
      </c>
      <c r="AH1927" s="1" t="str">
        <f>""</f>
        <v/>
      </c>
      <c r="AI1927" s="1" t="str">
        <f>""</f>
        <v/>
      </c>
      <c r="AJ1927" s="1" t="str">
        <f>""</f>
        <v/>
      </c>
      <c r="AK1927" s="1" t="str">
        <f>""</f>
        <v/>
      </c>
    </row>
    <row r="1928" spans="1:37">
      <c r="A1928" s="1">
        <v>174000</v>
      </c>
      <c r="B1928" s="1">
        <v>966200432</v>
      </c>
      <c r="C1928" s="1" t="str">
        <f>"تخليه - خراسان جنوبي-بيرجند-کيلومتر 5 جاده خوسف-جنب کوير تاير-کارخانه آسفالت شرکت مسيرياب"</f>
        <v>تخليه - خراسان جنوبي-بيرجند-کيلومتر 5 جاده خوسف-جنب کوير تاير-کارخانه آسفالت شرکت مسيرياب</v>
      </c>
      <c r="D1928" s="1">
        <v>12820</v>
      </c>
      <c r="E1928" s="1">
        <v>174000</v>
      </c>
      <c r="F1928" s="1">
        <v>96</v>
      </c>
      <c r="G1928" s="1">
        <v>0</v>
      </c>
      <c r="H1928" s="1" t="str">
        <f>"96/09/18"</f>
        <v>96/09/18</v>
      </c>
      <c r="I1928" s="1" t="str">
        <f>"كيلوگرم"</f>
        <v>كيلوگرم</v>
      </c>
      <c r="J1928" s="1" t="str">
        <f>"0000000076"</f>
        <v>0000000076</v>
      </c>
      <c r="K1928" s="1" t="str">
        <f>"قير 60/70 - فله"</f>
        <v>قير 60/70 - فله</v>
      </c>
      <c r="L1928" s="1">
        <v>100</v>
      </c>
      <c r="M1928" s="1" t="str">
        <f>"مخازن قير اصفهان"</f>
        <v>مخازن قير اصفهان</v>
      </c>
      <c r="N1928" s="1">
        <v>11053</v>
      </c>
      <c r="O1928" s="1">
        <v>50037560</v>
      </c>
      <c r="P1928" s="1" t="str">
        <f>"  آوارادين شرق"</f>
        <v xml:space="preserve">  آوارادين شرق</v>
      </c>
      <c r="Q1928" s="1">
        <v>62</v>
      </c>
      <c r="R1928" s="1" t="str">
        <f>"فروش داخلي - سازمان بنيادمسكن انقلاب اسلامي"</f>
        <v>فروش داخلي - سازمان بنيادمسكن انقلاب اسلامي</v>
      </c>
      <c r="S1928" s="1" t="str">
        <f>"قرارداد فروش"</f>
        <v>قرارداد فروش</v>
      </c>
      <c r="T1928" s="1" t="str">
        <f>"ندارد"</f>
        <v>ندارد</v>
      </c>
      <c r="U1928" s="1" t="str">
        <f>"كاردان اسپادان راه مصطفي  (1911100)"</f>
        <v>كاردان اسپادان راه مصطفي  (1911100)</v>
      </c>
      <c r="V1928" s="1">
        <v>966200432</v>
      </c>
      <c r="W1928" s="1">
        <v>966200432</v>
      </c>
      <c r="X1928" s="1" t="str">
        <f>"1396531057"</f>
        <v>1396531057</v>
      </c>
      <c r="Y1928" s="1" t="str">
        <f>"96/09/18"</f>
        <v>96/09/18</v>
      </c>
      <c r="Z1928" s="1" t="str">
        <f>"40620/د"</f>
        <v>40620/د</v>
      </c>
      <c r="AA1928" s="1" t="str">
        <f>"بنيادمسكن انقلاب اسلامي"</f>
        <v>بنيادمسكن انقلاب اسلامي</v>
      </c>
      <c r="AB1928" s="1" t="str">
        <f>"96/09/14"</f>
        <v>96/09/14</v>
      </c>
      <c r="AC1928" s="1" t="str">
        <f>"خراسان جنوبي"</f>
        <v>خراسان جنوبي</v>
      </c>
      <c r="AD1928" s="1" t="str">
        <f>"96/09/18"</f>
        <v>96/09/18</v>
      </c>
      <c r="AE1928" s="1" t="str">
        <f>"اختتام"</f>
        <v>اختتام</v>
      </c>
      <c r="AF1928" s="1" t="str">
        <f>""</f>
        <v/>
      </c>
      <c r="AG1928" s="1" t="str">
        <f>""</f>
        <v/>
      </c>
      <c r="AH1928" s="1" t="str">
        <f>""</f>
        <v/>
      </c>
      <c r="AI1928" s="1" t="str">
        <f>""</f>
        <v/>
      </c>
      <c r="AJ1928" s="1" t="str">
        <f>""</f>
        <v/>
      </c>
      <c r="AK1928" s="1" t="str">
        <f>""</f>
        <v/>
      </c>
    </row>
    <row r="1929" spans="1:37">
      <c r="A1929" s="1">
        <v>150000</v>
      </c>
      <c r="B1929" s="1">
        <v>966200101</v>
      </c>
      <c r="C1929" s="1" t="str">
        <f>"تخليه - کهگيلويه وبويراحمد-ياسوج-کمربندي ياسوج - اصفهان نرسيده به پليس راه کارخانه آسفالت جوکار"</f>
        <v>تخليه - کهگيلويه وبويراحمد-ياسوج-کمربندي ياسوج - اصفهان نرسيده به پليس راه کارخانه آسفالت جوکار</v>
      </c>
      <c r="D1929" s="1">
        <v>8918</v>
      </c>
      <c r="E1929" s="1">
        <v>149800</v>
      </c>
      <c r="F1929" s="1">
        <v>96</v>
      </c>
      <c r="G1929" s="1">
        <v>200</v>
      </c>
      <c r="H1929" s="1" t="str">
        <f>"96/02/31"</f>
        <v>96/02/31</v>
      </c>
      <c r="I1929" s="1" t="str">
        <f>"كيلوگرم"</f>
        <v>كيلوگرم</v>
      </c>
      <c r="J1929" s="1" t="str">
        <f>"0000000076"</f>
        <v>0000000076</v>
      </c>
      <c r="K1929" s="1" t="str">
        <f>"قير 60/70 - فله"</f>
        <v>قير 60/70 - فله</v>
      </c>
      <c r="L1929" s="1">
        <v>100</v>
      </c>
      <c r="M1929" s="1" t="str">
        <f>"مخازن قير اصفهان"</f>
        <v>مخازن قير اصفهان</v>
      </c>
      <c r="N1929" s="1">
        <v>11055</v>
      </c>
      <c r="O1929" s="1">
        <v>50034880</v>
      </c>
      <c r="P1929" s="1" t="str">
        <f>"  بکتاش سازه زاگرس"</f>
        <v xml:space="preserve">  بکتاش سازه زاگرس</v>
      </c>
      <c r="Q1929" s="1">
        <v>62</v>
      </c>
      <c r="R1929" s="1" t="str">
        <f>"فروش داخلي - سازمان بنيادمسكن انقلاب اسلامي"</f>
        <v>فروش داخلي - سازمان بنيادمسكن انقلاب اسلامي</v>
      </c>
      <c r="S1929" s="1" t="str">
        <f>"قرارداد فروش"</f>
        <v>قرارداد فروش</v>
      </c>
      <c r="T1929" s="1" t="str">
        <f>"ندارد"</f>
        <v>ندارد</v>
      </c>
      <c r="U1929" s="1" t="str">
        <f>"غلام نجفي سيامك‌‌‌‌‌‌(1881082)"</f>
        <v>غلام نجفي سيامك‌‌‌‌‌‌(1881082)</v>
      </c>
      <c r="V1929" s="1">
        <v>966200101</v>
      </c>
      <c r="W1929" s="1">
        <v>966200101</v>
      </c>
      <c r="X1929" s="1" t="str">
        <f>"1396482232"</f>
        <v>1396482232</v>
      </c>
      <c r="Y1929" s="1" t="str">
        <f>"96/02/31"</f>
        <v>96/02/31</v>
      </c>
      <c r="Z1929" s="1" t="str">
        <f>"7448/د"</f>
        <v>7448/د</v>
      </c>
      <c r="AA1929" s="1" t="str">
        <f>"بنيادمسكن انقلاب اسلامي"</f>
        <v>بنيادمسكن انقلاب اسلامي</v>
      </c>
      <c r="AB1929" s="1" t="str">
        <f>"96/02/30"</f>
        <v>96/02/30</v>
      </c>
      <c r="AC1929" s="1" t="str">
        <f>"كهكيلويه و بوير احمد"</f>
        <v>كهكيلويه و بوير احمد</v>
      </c>
      <c r="AD1929" s="1" t="str">
        <f>"96/02/31"</f>
        <v>96/02/31</v>
      </c>
      <c r="AE1929" s="1" t="str">
        <f>"اختتام"</f>
        <v>اختتام</v>
      </c>
      <c r="AF1929" s="1" t="str">
        <f>""</f>
        <v/>
      </c>
      <c r="AG1929" s="1" t="str">
        <f>""</f>
        <v/>
      </c>
      <c r="AH1929" s="1" t="str">
        <f>""</f>
        <v/>
      </c>
      <c r="AI1929" s="1" t="str">
        <f>""</f>
        <v/>
      </c>
      <c r="AJ1929" s="1" t="str">
        <f>""</f>
        <v/>
      </c>
      <c r="AK1929" s="1" t="str">
        <f>""</f>
        <v/>
      </c>
    </row>
    <row r="1930" spans="1:37">
      <c r="A1930" s="1">
        <v>65000</v>
      </c>
      <c r="B1930" s="1">
        <v>966200740</v>
      </c>
      <c r="C1930" s="1" t="str">
        <f>"تخليه-ياسوج-کمربندي ياسوج-کارخانه آسفالت جوکار"</f>
        <v>تخليه-ياسوج-کمربندي ياسوج-کارخانه آسفالت جوکار</v>
      </c>
      <c r="D1930" s="1">
        <v>13350</v>
      </c>
      <c r="E1930" s="1">
        <v>65000</v>
      </c>
      <c r="F1930" s="1">
        <v>96</v>
      </c>
      <c r="G1930" s="1">
        <v>0</v>
      </c>
      <c r="H1930" s="1" t="str">
        <f>"96/12/26"</f>
        <v>96/12/26</v>
      </c>
      <c r="I1930" s="1" t="str">
        <f>"كيلوگرم"</f>
        <v>كيلوگرم</v>
      </c>
      <c r="J1930" s="1" t="str">
        <f>"0000000076"</f>
        <v>0000000076</v>
      </c>
      <c r="K1930" s="1" t="str">
        <f>"قير 60/70 - فله"</f>
        <v>قير 60/70 - فله</v>
      </c>
      <c r="L1930" s="1">
        <v>100</v>
      </c>
      <c r="M1930" s="1" t="str">
        <f>"مخازن قير اصفهان"</f>
        <v>مخازن قير اصفهان</v>
      </c>
      <c r="N1930" s="1">
        <v>11063</v>
      </c>
      <c r="O1930" s="1">
        <v>50039101</v>
      </c>
      <c r="P1930" s="1" t="str">
        <f>"  مشاهير راه و پل"</f>
        <v xml:space="preserve">  مشاهير راه و پل</v>
      </c>
      <c r="Q1930" s="1">
        <v>62</v>
      </c>
      <c r="R1930" s="1" t="str">
        <f>"فروش داخلي - سازمان بنيادمسكن انقلاب اسلامي"</f>
        <v>فروش داخلي - سازمان بنيادمسكن انقلاب اسلامي</v>
      </c>
      <c r="S1930" s="1" t="str">
        <f>"قرارداد فروش"</f>
        <v>قرارداد فروش</v>
      </c>
      <c r="T1930" s="1" t="str">
        <f>"ندارد"</f>
        <v>ندارد</v>
      </c>
      <c r="U1930" s="1" t="str">
        <f>"غلام نجفي سيامك‌‌‌‌‌‌(1881082)"</f>
        <v>غلام نجفي سيامك‌‌‌‌‌‌(1881082)</v>
      </c>
      <c r="V1930" s="1">
        <v>966200740</v>
      </c>
      <c r="W1930" s="1">
        <v>966200740</v>
      </c>
      <c r="X1930" s="1" t="str">
        <f>"1396555422"</f>
        <v>1396555422</v>
      </c>
      <c r="Y1930" s="1" t="str">
        <f>"96/12/26"</f>
        <v>96/12/26</v>
      </c>
      <c r="Z1930" s="1" t="str">
        <f>"59454/د"</f>
        <v>59454/د</v>
      </c>
      <c r="AA1930" s="1" t="str">
        <f>"بنيادمسكن انقلاب اسلامي"</f>
        <v>بنيادمسكن انقلاب اسلامي</v>
      </c>
      <c r="AB1930" s="1" t="str">
        <f>"96/12/23"</f>
        <v>96/12/23</v>
      </c>
      <c r="AC1930" s="1" t="str">
        <f>"كهكيلويه و بوير احمد"</f>
        <v>كهكيلويه و بوير احمد</v>
      </c>
      <c r="AD1930" s="1" t="str">
        <f>"96/12/26"</f>
        <v>96/12/26</v>
      </c>
      <c r="AE1930" s="1" t="str">
        <f>"اختتام"</f>
        <v>اختتام</v>
      </c>
      <c r="AF1930" s="1" t="str">
        <f>""</f>
        <v/>
      </c>
      <c r="AG1930" s="1" t="str">
        <f>""</f>
        <v/>
      </c>
      <c r="AH1930" s="1" t="str">
        <f>""</f>
        <v/>
      </c>
      <c r="AI1930" s="1" t="str">
        <f>""</f>
        <v/>
      </c>
      <c r="AJ1930" s="1" t="str">
        <f>""</f>
        <v/>
      </c>
      <c r="AK1930" s="1" t="str">
        <f>""</f>
        <v/>
      </c>
    </row>
    <row r="1931" spans="1:37">
      <c r="A1931" s="1">
        <v>59000</v>
      </c>
      <c r="B1931" s="1">
        <v>966200630</v>
      </c>
      <c r="C1931" s="1" t="str">
        <f>"تخليه - سيستان و بلو چستان-سراوان-کيلومتر15 جاده سراوان-کهک-کارگاه شن و ماسه دهواري"</f>
        <v>تخليه - سيستان و بلو چستان-سراوان-کيلومتر15 جاده سراوان-کهک-کارگاه شن و ماسه دهواري</v>
      </c>
      <c r="D1931" s="1">
        <v>13350</v>
      </c>
      <c r="E1931" s="1">
        <v>58720</v>
      </c>
      <c r="F1931" s="1">
        <v>96</v>
      </c>
      <c r="G1931" s="1">
        <v>280</v>
      </c>
      <c r="H1931" s="1" t="str">
        <f>"96/12/12"</f>
        <v>96/12/12</v>
      </c>
      <c r="I1931" s="1" t="str">
        <f>"كيلوگرم"</f>
        <v>كيلوگرم</v>
      </c>
      <c r="J1931" s="1" t="str">
        <f>"0000000076"</f>
        <v>0000000076</v>
      </c>
      <c r="K1931" s="1" t="str">
        <f>"قير 60/70 - فله"</f>
        <v>قير 60/70 - فله</v>
      </c>
      <c r="L1931" s="1">
        <v>100</v>
      </c>
      <c r="M1931" s="1" t="str">
        <f>"مخازن قير اصفهان"</f>
        <v>مخازن قير اصفهان</v>
      </c>
      <c r="N1931" s="1">
        <v>11070</v>
      </c>
      <c r="O1931" s="1">
        <v>50038712</v>
      </c>
      <c r="P1931" s="1" t="str">
        <f>"  شايان نقشه جنوب"</f>
        <v xml:space="preserve">  شايان نقشه جنوب</v>
      </c>
      <c r="Q1931" s="1">
        <v>62</v>
      </c>
      <c r="R1931" s="1" t="str">
        <f>"فروش داخلي - سازمان بنيادمسكن انقلاب اسلامي"</f>
        <v>فروش داخلي - سازمان بنيادمسكن انقلاب اسلامي</v>
      </c>
      <c r="S1931" s="1" t="str">
        <f>"قرارداد فروش"</f>
        <v>قرارداد فروش</v>
      </c>
      <c r="T1931" s="1" t="str">
        <f>"ندارد"</f>
        <v>ندارد</v>
      </c>
      <c r="U1931" s="1" t="str">
        <f>"بهرام زنگنه (1038 ج 93)"</f>
        <v>بهرام زنگنه (1038 ج 93)</v>
      </c>
      <c r="V1931" s="1">
        <v>966200630</v>
      </c>
      <c r="W1931" s="1">
        <v>966200630</v>
      </c>
      <c r="X1931" s="1" t="str">
        <f>"1396551836"</f>
        <v>1396551836</v>
      </c>
      <c r="Y1931" s="1" t="str">
        <f>"96/12/12"</f>
        <v>96/12/12</v>
      </c>
      <c r="Z1931" s="1" t="str">
        <f>"56005/د"</f>
        <v>56005/د</v>
      </c>
      <c r="AA1931" s="1" t="str">
        <f>"بنيادمسكن انقلاب اسلامي"</f>
        <v>بنيادمسكن انقلاب اسلامي</v>
      </c>
      <c r="AB1931" s="1" t="str">
        <f>"96/12/09"</f>
        <v>96/12/09</v>
      </c>
      <c r="AC1931" s="1" t="str">
        <f>"استان سيستان بلوچستان"</f>
        <v>استان سيستان بلوچستان</v>
      </c>
      <c r="AD1931" s="1" t="str">
        <f>"96/12/12"</f>
        <v>96/12/12</v>
      </c>
      <c r="AE1931" s="1" t="str">
        <f>"اختتام"</f>
        <v>اختتام</v>
      </c>
      <c r="AF1931" s="1" t="str">
        <f>""</f>
        <v/>
      </c>
      <c r="AG1931" s="1" t="str">
        <f>""</f>
        <v/>
      </c>
      <c r="AH1931" s="1" t="str">
        <f>""</f>
        <v/>
      </c>
      <c r="AI1931" s="1" t="str">
        <f>""</f>
        <v/>
      </c>
      <c r="AJ1931" s="1" t="str">
        <f>""</f>
        <v/>
      </c>
      <c r="AK1931" s="1" t="str">
        <f>""</f>
        <v/>
      </c>
    </row>
    <row r="1932" spans="1:37">
      <c r="A1932" s="1">
        <v>104000</v>
      </c>
      <c r="B1932" s="1">
        <v>966200127</v>
      </c>
      <c r="C1932" s="1" t="str">
        <f>"تخليه - لرستان - اليگودرز - شهرک صنعتي سنگ -استحكام بتن خرمي"</f>
        <v>تخليه - لرستان - اليگودرز - شهرک صنعتي سنگ -استحكام بتن خرمي</v>
      </c>
      <c r="D1932" s="1">
        <v>8704</v>
      </c>
      <c r="E1932" s="1">
        <v>103140</v>
      </c>
      <c r="F1932" s="1">
        <v>96</v>
      </c>
      <c r="G1932" s="1">
        <v>860</v>
      </c>
      <c r="H1932" s="1" t="str">
        <f>"96/04/13"</f>
        <v>96/04/13</v>
      </c>
      <c r="I1932" s="1" t="str">
        <f>"كيلوگرم"</f>
        <v>كيلوگرم</v>
      </c>
      <c r="J1932" s="1" t="str">
        <f>"0000000076"</f>
        <v>0000000076</v>
      </c>
      <c r="K1932" s="1" t="str">
        <f>"قير 60/70 - فله"</f>
        <v>قير 60/70 - فله</v>
      </c>
      <c r="L1932" s="1">
        <v>100</v>
      </c>
      <c r="M1932" s="1" t="str">
        <f>"مخازن قير اصفهان"</f>
        <v>مخازن قير اصفهان</v>
      </c>
      <c r="N1932" s="1">
        <v>11081</v>
      </c>
      <c r="O1932" s="1">
        <v>50035095</v>
      </c>
      <c r="P1932" s="1" t="str">
        <f>"  استحكام بتون خرمي"</f>
        <v xml:space="preserve">  استحكام بتون خرمي</v>
      </c>
      <c r="Q1932" s="1">
        <v>62</v>
      </c>
      <c r="R1932" s="1" t="str">
        <f>"فروش داخلي - سازمان بنيادمسكن انقلاب اسلامي"</f>
        <v>فروش داخلي - سازمان بنيادمسكن انقلاب اسلامي</v>
      </c>
      <c r="S1932" s="1" t="str">
        <f>"قرارداد فروش"</f>
        <v>قرارداد فروش</v>
      </c>
      <c r="T1932" s="1" t="str">
        <f>"ندارد"</f>
        <v>ندارد</v>
      </c>
      <c r="U1932" s="1" t="str">
        <f>"عظيمي محمد(2842015)"</f>
        <v>عظيمي محمد(2842015)</v>
      </c>
      <c r="V1932" s="1">
        <v>966200127</v>
      </c>
      <c r="W1932" s="1">
        <v>966200127</v>
      </c>
      <c r="X1932" s="1" t="str">
        <f>"1396493156"</f>
        <v>1396493156</v>
      </c>
      <c r="Y1932" s="1" t="str">
        <f>"96/04/13"</f>
        <v>96/04/13</v>
      </c>
      <c r="Z1932" s="1" t="str">
        <f>"14324/د"</f>
        <v>14324/د</v>
      </c>
      <c r="AA1932" s="1" t="str">
        <f>"بنيادمسكن انقلاب اسلامي"</f>
        <v>بنيادمسكن انقلاب اسلامي</v>
      </c>
      <c r="AB1932" s="1" t="str">
        <f>"96/04/12"</f>
        <v>96/04/12</v>
      </c>
      <c r="AC1932" s="1" t="str">
        <f>"لرستان"</f>
        <v>لرستان</v>
      </c>
      <c r="AD1932" s="1" t="str">
        <f>"96/04/13"</f>
        <v>96/04/13</v>
      </c>
      <c r="AE1932" s="1" t="str">
        <f>"اختتام"</f>
        <v>اختتام</v>
      </c>
      <c r="AF1932" s="1" t="str">
        <f>""</f>
        <v/>
      </c>
      <c r="AG1932" s="1" t="str">
        <f>""</f>
        <v/>
      </c>
      <c r="AH1932" s="1" t="str">
        <f>""</f>
        <v/>
      </c>
      <c r="AI1932" s="1" t="str">
        <f>""</f>
        <v/>
      </c>
      <c r="AJ1932" s="1" t="str">
        <f>""</f>
        <v/>
      </c>
      <c r="AK1932" s="1" t="str">
        <f>""</f>
        <v/>
      </c>
    </row>
    <row r="1933" spans="1:37">
      <c r="A1933" s="1">
        <v>240000</v>
      </c>
      <c r="B1933" s="1">
        <v>966200339</v>
      </c>
      <c r="C1933" s="1" t="str">
        <f>"تخليه -اصفهان داران بلواردانشگاه خيابان شهرك صنعتي مجتمع توليدي جهاد"</f>
        <v>تخليه -اصفهان داران بلواردانشگاه خيابان شهرك صنعتي مجتمع توليدي جهاد</v>
      </c>
      <c r="D1933" s="1">
        <v>9113</v>
      </c>
      <c r="E1933" s="1">
        <v>240000</v>
      </c>
      <c r="F1933" s="1">
        <v>96</v>
      </c>
      <c r="G1933" s="1">
        <v>0</v>
      </c>
      <c r="H1933" s="1" t="str">
        <f>"96/07/25"</f>
        <v>96/07/25</v>
      </c>
      <c r="I1933" s="1" t="str">
        <f>"كيلوگرم"</f>
        <v>كيلوگرم</v>
      </c>
      <c r="J1933" s="1" t="str">
        <f>"0000000076"</f>
        <v>0000000076</v>
      </c>
      <c r="K1933" s="1" t="str">
        <f>"قير 60/70 - فله"</f>
        <v>قير 60/70 - فله</v>
      </c>
      <c r="L1933" s="1">
        <v>100</v>
      </c>
      <c r="M1933" s="1" t="str">
        <f>"مخازن قير اصفهان"</f>
        <v>مخازن قير اصفهان</v>
      </c>
      <c r="N1933" s="1">
        <v>11082</v>
      </c>
      <c r="O1933" s="1">
        <v>50036785</v>
      </c>
      <c r="P1933" s="1" t="str">
        <f>"  پارسيان كاني پاسارگاد"</f>
        <v xml:space="preserve">  پارسيان كاني پاسارگاد</v>
      </c>
      <c r="Q1933" s="1">
        <v>62</v>
      </c>
      <c r="R1933" s="1" t="str">
        <f>"فروش داخلي - سازمان بنيادمسكن انقلاب اسلامي"</f>
        <v>فروش داخلي - سازمان بنيادمسكن انقلاب اسلامي</v>
      </c>
      <c r="S1933" s="1" t="str">
        <f>"قرارداد فروش"</f>
        <v>قرارداد فروش</v>
      </c>
      <c r="T1933" s="1" t="str">
        <f>"ندارد"</f>
        <v>ندارد</v>
      </c>
      <c r="U1933" s="1" t="str">
        <f>"مرادي نجاتعلي(1020ج89)"</f>
        <v>مرادي نجاتعلي(1020ج89)</v>
      </c>
      <c r="V1933" s="1">
        <v>966200339</v>
      </c>
      <c r="W1933" s="1">
        <v>966200339</v>
      </c>
      <c r="X1933" s="1" t="str">
        <f>"1396519152"</f>
        <v>1396519152</v>
      </c>
      <c r="Y1933" s="1" t="str">
        <f>"96/07/25"</f>
        <v>96/07/25</v>
      </c>
      <c r="Z1933" s="1" t="str">
        <f>"33088/د"</f>
        <v>33088/د</v>
      </c>
      <c r="AA1933" s="1" t="str">
        <f>"بنيادمسكن انقلاب اسلامي"</f>
        <v>بنيادمسكن انقلاب اسلامي</v>
      </c>
      <c r="AB1933" s="1" t="str">
        <f>"96/07/24"</f>
        <v>96/07/24</v>
      </c>
      <c r="AC1933" s="1" t="str">
        <f>"استان اصفهان"</f>
        <v>استان اصفهان</v>
      </c>
      <c r="AD1933" s="1" t="str">
        <f>"96/07/25"</f>
        <v>96/07/25</v>
      </c>
      <c r="AE1933" s="1" t="str">
        <f>"اختتام"</f>
        <v>اختتام</v>
      </c>
      <c r="AF1933" s="1" t="str">
        <f>""</f>
        <v/>
      </c>
      <c r="AG1933" s="1" t="str">
        <f>""</f>
        <v/>
      </c>
      <c r="AH1933" s="1" t="str">
        <f>""</f>
        <v/>
      </c>
      <c r="AI1933" s="1" t="str">
        <f>""</f>
        <v/>
      </c>
      <c r="AJ1933" s="1" t="str">
        <f>""</f>
        <v/>
      </c>
      <c r="AK1933" s="1" t="str">
        <f>""</f>
        <v/>
      </c>
    </row>
    <row r="1934" spans="1:37">
      <c r="A1934" s="1">
        <v>13000</v>
      </c>
      <c r="B1934" s="1">
        <v>966200704</v>
      </c>
      <c r="C1934" s="1" t="str">
        <f>"تخليه كهگيلويه ياسوج پليس راه اصفهان ياسوج كارخانه آسفالت داريوش جوكار"</f>
        <v>تخليه كهگيلويه ياسوج پليس راه اصفهان ياسوج كارخانه آسفالت داريوش جوكار</v>
      </c>
      <c r="D1934" s="1">
        <v>13350</v>
      </c>
      <c r="E1934" s="1">
        <v>11640</v>
      </c>
      <c r="F1934" s="1">
        <v>96</v>
      </c>
      <c r="G1934" s="1">
        <v>1360</v>
      </c>
      <c r="H1934" s="1" t="str">
        <f>"96/12/26"</f>
        <v>96/12/26</v>
      </c>
      <c r="I1934" s="1" t="str">
        <f>"كيلوگرم"</f>
        <v>كيلوگرم</v>
      </c>
      <c r="J1934" s="1" t="str">
        <f>"0000000076"</f>
        <v>0000000076</v>
      </c>
      <c r="K1934" s="1" t="str">
        <f>"قير 60/70 - فله"</f>
        <v>قير 60/70 - فله</v>
      </c>
      <c r="L1934" s="1">
        <v>100</v>
      </c>
      <c r="M1934" s="1" t="str">
        <f>"مخازن قير اصفهان"</f>
        <v>مخازن قير اصفهان</v>
      </c>
      <c r="N1934" s="1">
        <v>11090</v>
      </c>
      <c r="O1934" s="1">
        <v>50039048</v>
      </c>
      <c r="P1934" s="1" t="str">
        <f>"  پارس گستر جوکار"</f>
        <v xml:space="preserve">  پارس گستر جوکار</v>
      </c>
      <c r="Q1934" s="1">
        <v>62</v>
      </c>
      <c r="R1934" s="1" t="str">
        <f>"فروش داخلي - سازمان بنيادمسكن انقلاب اسلامي"</f>
        <v>فروش داخلي - سازمان بنيادمسكن انقلاب اسلامي</v>
      </c>
      <c r="S1934" s="1" t="str">
        <f>"قرارداد فروش"</f>
        <v>قرارداد فروش</v>
      </c>
      <c r="T1934" s="1" t="str">
        <f>"ندارد"</f>
        <v>ندارد</v>
      </c>
      <c r="U1934" s="1" t="str">
        <f>"غلام نجفي سيامك‌‌‌‌‌‌(1881082)"</f>
        <v>غلام نجفي سيامك‌‌‌‌‌‌(1881082)</v>
      </c>
      <c r="V1934" s="1">
        <v>966200704</v>
      </c>
      <c r="W1934" s="1">
        <v>966200704</v>
      </c>
      <c r="X1934" s="1" t="str">
        <f>"1396555371"</f>
        <v>1396555371</v>
      </c>
      <c r="Y1934" s="1" t="str">
        <f>"96/12/26"</f>
        <v>96/12/26</v>
      </c>
      <c r="Z1934" s="1" t="str">
        <f>"59472/د"</f>
        <v>59472/د</v>
      </c>
      <c r="AA1934" s="1" t="str">
        <f>"بنيادمسكن انقلاب اسلامي"</f>
        <v>بنيادمسكن انقلاب اسلامي</v>
      </c>
      <c r="AB1934" s="1" t="str">
        <f>"96/12/23"</f>
        <v>96/12/23</v>
      </c>
      <c r="AC1934" s="1" t="str">
        <f>"كهكيلويه و بوير احمد"</f>
        <v>كهكيلويه و بوير احمد</v>
      </c>
      <c r="AD1934" s="1" t="str">
        <f>"96/12/26"</f>
        <v>96/12/26</v>
      </c>
      <c r="AE1934" s="1" t="str">
        <f>"اختتام"</f>
        <v>اختتام</v>
      </c>
      <c r="AF1934" s="1" t="str">
        <f>""</f>
        <v/>
      </c>
      <c r="AG1934" s="1" t="str">
        <f>""</f>
        <v/>
      </c>
      <c r="AH1934" s="1" t="str">
        <f>""</f>
        <v/>
      </c>
      <c r="AI1934" s="1" t="str">
        <f>""</f>
        <v/>
      </c>
      <c r="AJ1934" s="1" t="str">
        <f>""</f>
        <v/>
      </c>
      <c r="AK1934" s="1" t="str">
        <f>""</f>
        <v/>
      </c>
    </row>
    <row r="1935" spans="1:37">
      <c r="A1935" s="1">
        <v>253000</v>
      </c>
      <c r="B1935" s="1">
        <v>966300003</v>
      </c>
      <c r="C1935" s="1" t="str">
        <f>"تخليه اصفهان جاده سيمان سپاهان خيابان 11منطقه صنعتي شركت مقاوم راه زاينده رودكارخانه آسفالت راه آژند"</f>
        <v>تخليه اصفهان جاده سيمان سپاهان خيابان 11منطقه صنعتي شركت مقاوم راه زاينده رودكارخانه آسفالت راه آژند</v>
      </c>
      <c r="D1935" s="1">
        <v>9113</v>
      </c>
      <c r="E1935" s="1">
        <v>252060</v>
      </c>
      <c r="F1935" s="1">
        <v>96</v>
      </c>
      <c r="G1935" s="1">
        <v>940</v>
      </c>
      <c r="H1935" s="1" t="str">
        <f>"96/07/20"</f>
        <v>96/07/20</v>
      </c>
      <c r="I1935" s="1" t="str">
        <f>"كيلوگرم"</f>
        <v>كيلوگرم</v>
      </c>
      <c r="J1935" s="1" t="str">
        <f>"0000000076"</f>
        <v>0000000076</v>
      </c>
      <c r="K1935" s="1" t="str">
        <f>"قير 60/70 - فله"</f>
        <v>قير 60/70 - فله</v>
      </c>
      <c r="L1935" s="1">
        <v>100</v>
      </c>
      <c r="M1935" s="1" t="str">
        <f>"مخازن قير اصفهان"</f>
        <v>مخازن قير اصفهان</v>
      </c>
      <c r="N1935" s="1">
        <v>11098</v>
      </c>
      <c r="O1935" s="1">
        <v>50036695</v>
      </c>
      <c r="P1935" s="1" t="str">
        <f>"  اداره كل نوسازي توسعه وتجهيزمدارس استان اصفهان"</f>
        <v xml:space="preserve">  اداره كل نوسازي توسعه وتجهيزمدارس استان اصفهان</v>
      </c>
      <c r="Q1935" s="1">
        <v>63</v>
      </c>
      <c r="R1935" s="1" t="str">
        <f>"سازمان نوسازي،توسعه و تجهيز مدارس كشور"</f>
        <v>سازمان نوسازي،توسعه و تجهيز مدارس كشور</v>
      </c>
      <c r="S1935" s="1" t="str">
        <f>"قرارداد فروش"</f>
        <v>قرارداد فروش</v>
      </c>
      <c r="T1935" s="1" t="str">
        <f>"ندارد"</f>
        <v>ندارد</v>
      </c>
      <c r="U1935" s="1" t="str">
        <f>"قره باغي مجيد(1871065)"</f>
        <v>قره باغي مجيد(1871065)</v>
      </c>
      <c r="V1935" s="1">
        <v>966300003</v>
      </c>
      <c r="W1935" s="1">
        <v>966300003</v>
      </c>
      <c r="X1935" s="1" t="str">
        <f>"1396518386"</f>
        <v>1396518386</v>
      </c>
      <c r="Y1935" s="1" t="str">
        <f>"96/07/20"</f>
        <v>96/07/20</v>
      </c>
      <c r="Z1935" s="1" t="str">
        <f>"3-96/422-18749"</f>
        <v>3-96/422-18749</v>
      </c>
      <c r="AA1935" s="1" t="str">
        <f>"سازمان نوسازي توسعه وتجهيزمدارس كشور"</f>
        <v>سازمان نوسازي توسعه وتجهيزمدارس كشور</v>
      </c>
      <c r="AB1935" s="1" t="str">
        <f>"96/07/15"</f>
        <v>96/07/15</v>
      </c>
      <c r="AC1935" s="1" t="str">
        <f>"استان اصفهان"</f>
        <v>استان اصفهان</v>
      </c>
      <c r="AD1935" s="1" t="str">
        <f>"96/07/19"</f>
        <v>96/07/19</v>
      </c>
      <c r="AE1935" s="1" t="str">
        <f>"اختتام"</f>
        <v>اختتام</v>
      </c>
      <c r="AF1935" s="1" t="str">
        <f>""</f>
        <v/>
      </c>
      <c r="AG1935" s="1" t="str">
        <f>""</f>
        <v/>
      </c>
      <c r="AH1935" s="1" t="str">
        <f>""</f>
        <v/>
      </c>
      <c r="AI1935" s="1" t="str">
        <f>""</f>
        <v/>
      </c>
      <c r="AJ1935" s="1" t="str">
        <f>""</f>
        <v/>
      </c>
      <c r="AK1935" s="1" t="str">
        <f>""</f>
        <v/>
      </c>
    </row>
    <row r="1936" spans="1:37">
      <c r="A1936" s="1">
        <v>33000</v>
      </c>
      <c r="B1936" s="1">
        <v>966300072</v>
      </c>
      <c r="C1936" s="1" t="str">
        <f>"تخليه اصفهان اشترجان شهرك صنعتي اشترجان كارخانه آسفالت راه آژند-محمدعلي كمالي"</f>
        <v>تخليه اصفهان اشترجان شهرك صنعتي اشترجان كارخانه آسفالت راه آژند-محمدعلي كمالي</v>
      </c>
      <c r="D1936" s="1">
        <v>13350</v>
      </c>
      <c r="E1936" s="1">
        <v>33000</v>
      </c>
      <c r="F1936" s="1">
        <v>96</v>
      </c>
      <c r="G1936" s="1">
        <v>0</v>
      </c>
      <c r="H1936" s="1" t="str">
        <f>"96/12/16"</f>
        <v>96/12/16</v>
      </c>
      <c r="I1936" s="1" t="str">
        <f>"كيلوگرم"</f>
        <v>كيلوگرم</v>
      </c>
      <c r="J1936" s="1" t="str">
        <f>"0000000076"</f>
        <v>0000000076</v>
      </c>
      <c r="K1936" s="1" t="str">
        <f>"قير 60/70 - فله"</f>
        <v>قير 60/70 - فله</v>
      </c>
      <c r="L1936" s="1">
        <v>100</v>
      </c>
      <c r="M1936" s="1" t="str">
        <f>"مخازن قير اصفهان"</f>
        <v>مخازن قير اصفهان</v>
      </c>
      <c r="N1936" s="1">
        <v>11098</v>
      </c>
      <c r="O1936" s="1">
        <v>50038826</v>
      </c>
      <c r="P1936" s="1" t="str">
        <f>"  اداره كل نوسازي توسعه وتجهيزمدارس استان اصفهان"</f>
        <v xml:space="preserve">  اداره كل نوسازي توسعه وتجهيزمدارس استان اصفهان</v>
      </c>
      <c r="Q1936" s="1">
        <v>63</v>
      </c>
      <c r="R1936" s="1" t="str">
        <f>"سازمان نوسازي،توسعه و تجهيز مدارس كشور"</f>
        <v>سازمان نوسازي،توسعه و تجهيز مدارس كشور</v>
      </c>
      <c r="S1936" s="1" t="str">
        <f>"قرارداد فروش"</f>
        <v>قرارداد فروش</v>
      </c>
      <c r="T1936" s="1" t="str">
        <f>"ندارد"</f>
        <v>ندارد</v>
      </c>
      <c r="U1936" s="1" t="str">
        <f>"سيفي پور عبدالمجيد(1009ج89)"</f>
        <v>سيفي پور عبدالمجيد(1009ج89)</v>
      </c>
      <c r="V1936" s="1">
        <v>966300072</v>
      </c>
      <c r="W1936" s="1">
        <v>966300072</v>
      </c>
      <c r="X1936" s="1" t="str">
        <f>"1396553446"</f>
        <v>1396553446</v>
      </c>
      <c r="Y1936" s="1" t="str">
        <f>"96/12/16"</f>
        <v>96/12/16</v>
      </c>
      <c r="Z1936" s="1" t="str">
        <f>"3-96/422-33352"</f>
        <v>3-96/422-33352</v>
      </c>
      <c r="AA1936" s="1" t="str">
        <f>"سازمان نوسازي توسعه وتجهيزمدارس كشور"</f>
        <v>سازمان نوسازي توسعه وتجهيزمدارس كشور</v>
      </c>
      <c r="AB1936" s="1" t="str">
        <f>"96/12/14"</f>
        <v>96/12/14</v>
      </c>
      <c r="AC1936" s="1" t="str">
        <f>"استان اصفهان"</f>
        <v>استان اصفهان</v>
      </c>
      <c r="AD1936" s="1" t="str">
        <f>"96/12/16"</f>
        <v>96/12/16</v>
      </c>
      <c r="AE1936" s="1" t="str">
        <f>"اختتام"</f>
        <v>اختتام</v>
      </c>
      <c r="AF1936" s="1" t="str">
        <f>""</f>
        <v/>
      </c>
      <c r="AG1936" s="1" t="str">
        <f>""</f>
        <v/>
      </c>
      <c r="AH1936" s="1" t="str">
        <f>""</f>
        <v/>
      </c>
      <c r="AI1936" s="1" t="str">
        <f>""</f>
        <v/>
      </c>
      <c r="AJ1936" s="1" t="str">
        <f>""</f>
        <v/>
      </c>
      <c r="AK1936" s="1" t="str">
        <f>""</f>
        <v/>
      </c>
    </row>
    <row r="1937" spans="1:37">
      <c r="A1937" s="1">
        <v>48000</v>
      </c>
      <c r="B1937" s="1">
        <v>966300082</v>
      </c>
      <c r="C1937" s="1" t="str">
        <f>"تخليه اصفهان اشترجان شهرك صنعتي اشترجان شركت بناراه شمس كارخانه آسفالت راه آژند"</f>
        <v>تخليه اصفهان اشترجان شهرك صنعتي اشترجان شركت بناراه شمس كارخانه آسفالت راه آژند</v>
      </c>
      <c r="D1937" s="1">
        <v>13350</v>
      </c>
      <c r="E1937" s="1">
        <v>48000</v>
      </c>
      <c r="F1937" s="1">
        <v>96</v>
      </c>
      <c r="G1937" s="1">
        <v>0</v>
      </c>
      <c r="H1937" s="1" t="str">
        <f>"96/12/26"</f>
        <v>96/12/26</v>
      </c>
      <c r="I1937" s="1" t="str">
        <f>"كيلوگرم"</f>
        <v>كيلوگرم</v>
      </c>
      <c r="J1937" s="1" t="str">
        <f>"0000000076"</f>
        <v>0000000076</v>
      </c>
      <c r="K1937" s="1" t="str">
        <f>"قير 60/70 - فله"</f>
        <v>قير 60/70 - فله</v>
      </c>
      <c r="L1937" s="1">
        <v>100</v>
      </c>
      <c r="M1937" s="1" t="str">
        <f>"مخازن قير اصفهان"</f>
        <v>مخازن قير اصفهان</v>
      </c>
      <c r="N1937" s="1">
        <v>11098</v>
      </c>
      <c r="O1937" s="1">
        <v>50039036</v>
      </c>
      <c r="P1937" s="1" t="str">
        <f>"  اداره كل نوسازي توسعه وتجهيزمدارس استان اصفهان"</f>
        <v xml:space="preserve">  اداره كل نوسازي توسعه وتجهيزمدارس استان اصفهان</v>
      </c>
      <c r="Q1937" s="1">
        <v>63</v>
      </c>
      <c r="R1937" s="1" t="str">
        <f>"سازمان نوسازي،توسعه و تجهيز مدارس كشور"</f>
        <v>سازمان نوسازي،توسعه و تجهيز مدارس كشور</v>
      </c>
      <c r="S1937" s="1" t="str">
        <f>"قرارداد فروش"</f>
        <v>قرارداد فروش</v>
      </c>
      <c r="T1937" s="1" t="str">
        <f>"ندارد"</f>
        <v>ندارد</v>
      </c>
      <c r="U1937" s="1" t="str">
        <f>"سيفي پور عبدالمجيد(1009ج89)"</f>
        <v>سيفي پور عبدالمجيد(1009ج89)</v>
      </c>
      <c r="V1937" s="1">
        <v>966300082</v>
      </c>
      <c r="W1937" s="1">
        <v>966300082</v>
      </c>
      <c r="X1937" s="1" t="str">
        <f>"1396555236"</f>
        <v>1396555236</v>
      </c>
      <c r="Y1937" s="1" t="str">
        <f>"96/12/26"</f>
        <v>96/12/26</v>
      </c>
      <c r="Z1937" s="1" t="str">
        <f>"3-96/422-34091"</f>
        <v>3-96/422-34091</v>
      </c>
      <c r="AA1937" s="1" t="str">
        <f>"سازمان نوسازي توسعه وتجهيزمدارس كشور"</f>
        <v>سازمان نوسازي توسعه وتجهيزمدارس كشور</v>
      </c>
      <c r="AB1937" s="1" t="str">
        <f>"96/12/21"</f>
        <v>96/12/21</v>
      </c>
      <c r="AC1937" s="1" t="str">
        <f>"استان اصفهان"</f>
        <v>استان اصفهان</v>
      </c>
      <c r="AD1937" s="1" t="str">
        <f>"96/12/23"</f>
        <v>96/12/23</v>
      </c>
      <c r="AE1937" s="1" t="str">
        <f>"اختتام"</f>
        <v>اختتام</v>
      </c>
      <c r="AF1937" s="1" t="str">
        <f>""</f>
        <v/>
      </c>
      <c r="AG1937" s="1" t="str">
        <f>""</f>
        <v/>
      </c>
      <c r="AH1937" s="1" t="str">
        <f>""</f>
        <v/>
      </c>
      <c r="AI1937" s="1" t="str">
        <f>""</f>
        <v/>
      </c>
      <c r="AJ1937" s="1" t="str">
        <f>""</f>
        <v/>
      </c>
      <c r="AK1937" s="1" t="str">
        <f>""</f>
        <v/>
      </c>
    </row>
    <row r="1938" spans="1:37">
      <c r="A1938" s="1">
        <v>62000</v>
      </c>
      <c r="B1938" s="1">
        <v>966300083</v>
      </c>
      <c r="C1938" s="1" t="str">
        <f>"تخليه اصفهان منطقه صنعتي اشترجان خيابان 11شركت آرشيت عمران پارس كارخانه آسفالت راه آژند"</f>
        <v>تخليه اصفهان منطقه صنعتي اشترجان خيابان 11شركت آرشيت عمران پارس كارخانه آسفالت راه آژند</v>
      </c>
      <c r="D1938" s="1">
        <v>13350</v>
      </c>
      <c r="E1938" s="1">
        <v>62000</v>
      </c>
      <c r="F1938" s="1">
        <v>96</v>
      </c>
      <c r="G1938" s="1">
        <v>0</v>
      </c>
      <c r="H1938" s="1" t="str">
        <f>"96/12/26"</f>
        <v>96/12/26</v>
      </c>
      <c r="I1938" s="1" t="str">
        <f>"كيلوگرم"</f>
        <v>كيلوگرم</v>
      </c>
      <c r="J1938" s="1" t="str">
        <f>"0000000076"</f>
        <v>0000000076</v>
      </c>
      <c r="K1938" s="1" t="str">
        <f>"قير 60/70 - فله"</f>
        <v>قير 60/70 - فله</v>
      </c>
      <c r="L1938" s="1">
        <v>100</v>
      </c>
      <c r="M1938" s="1" t="str">
        <f>"مخازن قير اصفهان"</f>
        <v>مخازن قير اصفهان</v>
      </c>
      <c r="N1938" s="1">
        <v>11098</v>
      </c>
      <c r="O1938" s="1">
        <v>50039037</v>
      </c>
      <c r="P1938" s="1" t="str">
        <f>"  اداره كل نوسازي توسعه وتجهيزمدارس استان اصفهان"</f>
        <v xml:space="preserve">  اداره كل نوسازي توسعه وتجهيزمدارس استان اصفهان</v>
      </c>
      <c r="Q1938" s="1">
        <v>63</v>
      </c>
      <c r="R1938" s="1" t="str">
        <f>"سازمان نوسازي،توسعه و تجهيز مدارس كشور"</f>
        <v>سازمان نوسازي،توسعه و تجهيز مدارس كشور</v>
      </c>
      <c r="S1938" s="1" t="str">
        <f>"قرارداد فروش"</f>
        <v>قرارداد فروش</v>
      </c>
      <c r="T1938" s="1" t="str">
        <f>"ندارد"</f>
        <v>ندارد</v>
      </c>
      <c r="U1938" s="1" t="str">
        <f>"سيفي پور عبدالمجيد(1009ج89)"</f>
        <v>سيفي پور عبدالمجيد(1009ج89)</v>
      </c>
      <c r="V1938" s="1">
        <v>966300083</v>
      </c>
      <c r="W1938" s="1">
        <v>966300083</v>
      </c>
      <c r="X1938" s="1" t="str">
        <f>"1396555236"</f>
        <v>1396555236</v>
      </c>
      <c r="Y1938" s="1" t="str">
        <f>"96/12/26"</f>
        <v>96/12/26</v>
      </c>
      <c r="Z1938" s="1" t="str">
        <f>"3-96/422-34088"</f>
        <v>3-96/422-34088</v>
      </c>
      <c r="AA1938" s="1" t="str">
        <f>"سازمان نوسازي توسعه وتجهيزمدارس كشور"</f>
        <v>سازمان نوسازي توسعه وتجهيزمدارس كشور</v>
      </c>
      <c r="AB1938" s="1" t="str">
        <f>"96/12/21"</f>
        <v>96/12/21</v>
      </c>
      <c r="AC1938" s="1" t="str">
        <f>"استان اصفهان"</f>
        <v>استان اصفهان</v>
      </c>
      <c r="AD1938" s="1" t="str">
        <f>"96/12/23"</f>
        <v>96/12/23</v>
      </c>
      <c r="AE1938" s="1" t="str">
        <f>"اختتام"</f>
        <v>اختتام</v>
      </c>
      <c r="AF1938" s="1" t="str">
        <f>""</f>
        <v/>
      </c>
      <c r="AG1938" s="1" t="str">
        <f>""</f>
        <v/>
      </c>
      <c r="AH1938" s="1" t="str">
        <f>""</f>
        <v/>
      </c>
      <c r="AI1938" s="1" t="str">
        <f>""</f>
        <v/>
      </c>
      <c r="AJ1938" s="1" t="str">
        <f>""</f>
        <v/>
      </c>
      <c r="AK1938" s="1" t="str">
        <f>""</f>
        <v/>
      </c>
    </row>
    <row r="1939" spans="1:37">
      <c r="A1939" s="1">
        <v>43137</v>
      </c>
      <c r="B1939" s="1">
        <v>962000358</v>
      </c>
      <c r="C1939" s="1" t="str">
        <f>"تخليه -چهارمحال وبختياري -كارخانه آسفالت گندمكار"</f>
        <v>تخليه -چهارمحال وبختياري -كارخانه آسفالت گندمكار</v>
      </c>
      <c r="D1939" s="1">
        <v>12820</v>
      </c>
      <c r="E1939" s="1">
        <v>43137</v>
      </c>
      <c r="F1939" s="1">
        <v>96</v>
      </c>
      <c r="G1939" s="1">
        <v>0</v>
      </c>
      <c r="H1939" s="1" t="str">
        <f>"96/09/19"</f>
        <v>96/09/19</v>
      </c>
      <c r="I1939" s="1" t="str">
        <f>"كيلوگرم"</f>
        <v>كيلوگرم</v>
      </c>
      <c r="J1939" s="1" t="str">
        <f>"0000000076"</f>
        <v>0000000076</v>
      </c>
      <c r="K1939" s="1" t="str">
        <f>"قير 60/70 - فله"</f>
        <v>قير 60/70 - فله</v>
      </c>
      <c r="L1939" s="1">
        <v>100</v>
      </c>
      <c r="M1939" s="1" t="str">
        <f>"مخازن قير اصفهان"</f>
        <v>مخازن قير اصفهان</v>
      </c>
      <c r="N1939" s="1">
        <v>11158</v>
      </c>
      <c r="O1939" s="1">
        <v>50037652</v>
      </c>
      <c r="P1939" s="1" t="str">
        <f>"  شهرداري سرخون"</f>
        <v xml:space="preserve">  شهرداري سرخون</v>
      </c>
      <c r="Q1939" s="1">
        <v>20</v>
      </c>
      <c r="R1939" s="1" t="str">
        <f>"فروش داخلي - سازمان شهرداري ها و دهياري هاي كشور"</f>
        <v>فروش داخلي - سازمان شهرداري ها و دهياري هاي كشور</v>
      </c>
      <c r="S1939" s="1" t="str">
        <f>"قرارداد فروش"</f>
        <v>قرارداد فروش</v>
      </c>
      <c r="T1939" s="1" t="str">
        <f>"ندارد"</f>
        <v>ندارد</v>
      </c>
      <c r="U1939" s="1" t="str">
        <f>"تعاوني جم گستر (1001 ج 89)"</f>
        <v>تعاوني جم گستر (1001 ج 89)</v>
      </c>
      <c r="V1939" s="1">
        <v>962000358</v>
      </c>
      <c r="W1939" s="1">
        <v>962000358</v>
      </c>
      <c r="X1939" s="1" t="str">
        <f>"1396529711"</f>
        <v>1396529711</v>
      </c>
      <c r="Y1939" s="1" t="str">
        <f>"96/09/18"</f>
        <v>96/09/18</v>
      </c>
      <c r="Z1939" s="1" t="str">
        <f>"38470مرحله دوم"</f>
        <v>38470مرحله دوم</v>
      </c>
      <c r="AA1939" s="1" t="str">
        <f>"شهرداريها"</f>
        <v>شهرداريها</v>
      </c>
      <c r="AB1939" s="1" t="str">
        <f>"96/09/11"</f>
        <v>96/09/11</v>
      </c>
      <c r="AC1939" s="1" t="str">
        <f>"استان چهارمحال بختياري"</f>
        <v>استان چهارمحال بختياري</v>
      </c>
      <c r="AD1939" s="1" t="str">
        <f>"96/09/13"</f>
        <v>96/09/13</v>
      </c>
      <c r="AE1939" s="1" t="str">
        <f>"اختتام"</f>
        <v>اختتام</v>
      </c>
      <c r="AF1939" s="1" t="str">
        <f>""</f>
        <v/>
      </c>
      <c r="AG1939" s="1" t="str">
        <f>""</f>
        <v/>
      </c>
      <c r="AH1939" s="1" t="str">
        <f>""</f>
        <v/>
      </c>
      <c r="AI1939" s="1" t="str">
        <f>""</f>
        <v/>
      </c>
      <c r="AJ1939" s="1" t="str">
        <f>""</f>
        <v/>
      </c>
      <c r="AK1939" s="1" t="str">
        <f>""</f>
        <v/>
      </c>
    </row>
    <row r="1940" spans="1:37">
      <c r="A1940" s="1">
        <v>44637</v>
      </c>
      <c r="B1940" s="1">
        <v>962000476</v>
      </c>
      <c r="C1940" s="1" t="str">
        <f>"تخليه اصفهان طالخونچه فلكه ورودي شهرطالخونچه بالاترازمجتمع كارگاهي اميركبيركارخانه آسفالت سپاهان"</f>
        <v>تخليه اصفهان طالخونچه فلكه ورودي شهرطالخونچه بالاترازمجتمع كارگاهي اميركبيركارخانه آسفالت سپاهان</v>
      </c>
      <c r="D1940" s="1">
        <v>12820</v>
      </c>
      <c r="E1940" s="1">
        <v>44637</v>
      </c>
      <c r="F1940" s="1">
        <v>96</v>
      </c>
      <c r="G1940" s="1">
        <v>0</v>
      </c>
      <c r="H1940" s="1" t="str">
        <f>"96/09/20"</f>
        <v>96/09/20</v>
      </c>
      <c r="I1940" s="1" t="str">
        <f>"كيلوگرم"</f>
        <v>كيلوگرم</v>
      </c>
      <c r="J1940" s="1" t="str">
        <f>"0000000076"</f>
        <v>0000000076</v>
      </c>
      <c r="K1940" s="1" t="str">
        <f>"قير 60/70 - فله"</f>
        <v>قير 60/70 - فله</v>
      </c>
      <c r="L1940" s="1">
        <v>100</v>
      </c>
      <c r="M1940" s="1" t="str">
        <f>"مخازن قير اصفهان"</f>
        <v>مخازن قير اصفهان</v>
      </c>
      <c r="N1940" s="1">
        <v>11167</v>
      </c>
      <c r="O1940" s="1">
        <v>50037798</v>
      </c>
      <c r="P1940" s="1" t="str">
        <f>"  شهرداري مجلسي"</f>
        <v xml:space="preserve">  شهرداري مجلسي</v>
      </c>
      <c r="Q1940" s="1">
        <v>20</v>
      </c>
      <c r="R1940" s="1" t="str">
        <f>"فروش داخلي - سازمان شهرداري ها و دهياري هاي كشور"</f>
        <v>فروش داخلي - سازمان شهرداري ها و دهياري هاي كشور</v>
      </c>
      <c r="S1940" s="1" t="str">
        <f>"قرارداد فروش"</f>
        <v>قرارداد فروش</v>
      </c>
      <c r="T1940" s="1" t="str">
        <f>"ندارد"</f>
        <v>ندارد</v>
      </c>
      <c r="U1940" s="1" t="str">
        <f>"تعاوني جم گستر (1001 ج 89)"</f>
        <v>تعاوني جم گستر (1001 ج 89)</v>
      </c>
      <c r="V1940" s="1">
        <v>962000476</v>
      </c>
      <c r="W1940" s="1">
        <v>962000476</v>
      </c>
      <c r="X1940" s="1" t="str">
        <f>"1396529711"</f>
        <v>1396529711</v>
      </c>
      <c r="Y1940" s="1" t="str">
        <f>"96/09/20"</f>
        <v>96/09/20</v>
      </c>
      <c r="Z1940" s="1" t="str">
        <f>"37233مرحله دوم"</f>
        <v>37233مرحله دوم</v>
      </c>
      <c r="AA1940" s="1" t="str">
        <f>"شهرداريها"</f>
        <v>شهرداريها</v>
      </c>
      <c r="AB1940" s="1" t="str">
        <f>"96/09/05"</f>
        <v>96/09/05</v>
      </c>
      <c r="AC1940" s="1" t="str">
        <f>"استان اصفهان"</f>
        <v>استان اصفهان</v>
      </c>
      <c r="AD1940" s="1" t="str">
        <f>"96/09/13"</f>
        <v>96/09/13</v>
      </c>
      <c r="AE1940" s="1" t="str">
        <f>"تاييدشده"</f>
        <v>تاييدشده</v>
      </c>
      <c r="AF1940" s="1" t="str">
        <f>""</f>
        <v/>
      </c>
      <c r="AG1940" s="1" t="str">
        <f>""</f>
        <v/>
      </c>
      <c r="AH1940" s="1" t="str">
        <f>""</f>
        <v/>
      </c>
      <c r="AI1940" s="1" t="str">
        <f>""</f>
        <v/>
      </c>
      <c r="AJ1940" s="1" t="str">
        <f>""</f>
        <v/>
      </c>
      <c r="AK1940" s="1" t="str">
        <f>""</f>
        <v/>
      </c>
    </row>
    <row r="1941" spans="1:37">
      <c r="A1941" s="1">
        <v>300000</v>
      </c>
      <c r="B1941" s="1">
        <v>966200725</v>
      </c>
      <c r="C1941" s="1" t="str">
        <f>"تخليه - کهگيلويه- دهدشت-خيرآباد -کارخانه آسفالت مظاهري"</f>
        <v>تخليه - کهگيلويه- دهدشت-خيرآباد -کارخانه آسفالت مظاهري</v>
      </c>
      <c r="D1941" s="1">
        <v>13350</v>
      </c>
      <c r="E1941" s="1">
        <v>300000</v>
      </c>
      <c r="F1941" s="1">
        <v>96</v>
      </c>
      <c r="G1941" s="1">
        <v>0</v>
      </c>
      <c r="H1941" s="1" t="str">
        <f>"96/12/26"</f>
        <v>96/12/26</v>
      </c>
      <c r="I1941" s="1" t="str">
        <f>"كيلوگرم"</f>
        <v>كيلوگرم</v>
      </c>
      <c r="J1941" s="1" t="str">
        <f>"0000000076"</f>
        <v>0000000076</v>
      </c>
      <c r="K1941" s="1" t="str">
        <f>"قير 60/70 - فله"</f>
        <v>قير 60/70 - فله</v>
      </c>
      <c r="L1941" s="1">
        <v>100</v>
      </c>
      <c r="M1941" s="1" t="str">
        <f>"مخازن قير اصفهان"</f>
        <v>مخازن قير اصفهان</v>
      </c>
      <c r="N1941" s="1">
        <v>11187</v>
      </c>
      <c r="O1941" s="1">
        <v>50039086</v>
      </c>
      <c r="P1941" s="1" t="str">
        <f>"  ساعي نصر"</f>
        <v xml:space="preserve">  ساعي نصر</v>
      </c>
      <c r="Q1941" s="1">
        <v>62</v>
      </c>
      <c r="R1941" s="1" t="str">
        <f>"فروش داخلي - سازمان بنيادمسكن انقلاب اسلامي"</f>
        <v>فروش داخلي - سازمان بنيادمسكن انقلاب اسلامي</v>
      </c>
      <c r="S1941" s="1" t="str">
        <f>"قرارداد فروش"</f>
        <v>قرارداد فروش</v>
      </c>
      <c r="T1941" s="1" t="str">
        <f>"ندارد"</f>
        <v>ندارد</v>
      </c>
      <c r="U1941" s="1" t="str">
        <f>"غلام نجفي سيامك‌‌‌‌‌‌(1881082)"</f>
        <v>غلام نجفي سيامك‌‌‌‌‌‌(1881082)</v>
      </c>
      <c r="V1941" s="1">
        <v>966200725</v>
      </c>
      <c r="W1941" s="1">
        <v>966200725</v>
      </c>
      <c r="X1941" s="1" t="str">
        <f>"1396555392"</f>
        <v>1396555392</v>
      </c>
      <c r="Y1941" s="1" t="str">
        <f>"96/12/26"</f>
        <v>96/12/26</v>
      </c>
      <c r="Z1941" s="1" t="str">
        <f>"59384/د"</f>
        <v>59384/د</v>
      </c>
      <c r="AA1941" s="1" t="str">
        <f>"بنيادمسكن انقلاب اسلامي"</f>
        <v>بنيادمسكن انقلاب اسلامي</v>
      </c>
      <c r="AB1941" s="1" t="str">
        <f>"96/12/23"</f>
        <v>96/12/23</v>
      </c>
      <c r="AC1941" s="1" t="str">
        <f>"كهكيلويه و بوير احمد"</f>
        <v>كهكيلويه و بوير احمد</v>
      </c>
      <c r="AD1941" s="1" t="str">
        <f>"96/12/26"</f>
        <v>96/12/26</v>
      </c>
      <c r="AE1941" s="1" t="str">
        <f>"اختتام"</f>
        <v>اختتام</v>
      </c>
      <c r="AF1941" s="1" t="str">
        <f>""</f>
        <v/>
      </c>
      <c r="AG1941" s="1" t="str">
        <f>""</f>
        <v/>
      </c>
      <c r="AH1941" s="1" t="str">
        <f>""</f>
        <v/>
      </c>
      <c r="AI1941" s="1" t="str">
        <f>""</f>
        <v/>
      </c>
      <c r="AJ1941" s="1" t="str">
        <f>""</f>
        <v/>
      </c>
      <c r="AK1941" s="1" t="str">
        <f>""</f>
        <v/>
      </c>
    </row>
    <row r="1942" spans="1:37">
      <c r="A1942" s="1">
        <v>134276</v>
      </c>
      <c r="B1942" s="1">
        <v>962000036</v>
      </c>
      <c r="C1942" s="1" t="str">
        <f>"تخليه اصفهان داران بلواردانشگاه كارخانه آسفالت جهاد"</f>
        <v>تخليه اصفهان داران بلواردانشگاه كارخانه آسفالت جهاد</v>
      </c>
      <c r="D1942" s="1">
        <v>9113</v>
      </c>
      <c r="E1942" s="1">
        <v>133716</v>
      </c>
      <c r="F1942" s="1">
        <v>96</v>
      </c>
      <c r="G1942" s="1">
        <v>560</v>
      </c>
      <c r="H1942" s="1" t="str">
        <f>"96/07/03"</f>
        <v>96/07/03</v>
      </c>
      <c r="I1942" s="1" t="str">
        <f>"كيلوگرم"</f>
        <v>كيلوگرم</v>
      </c>
      <c r="J1942" s="1" t="str">
        <f>"0000000076"</f>
        <v>0000000076</v>
      </c>
      <c r="K1942" s="1" t="str">
        <f>"قير 60/70 - فله"</f>
        <v>قير 60/70 - فله</v>
      </c>
      <c r="L1942" s="1">
        <v>100</v>
      </c>
      <c r="M1942" s="1" t="str">
        <f>"مخازن قير اصفهان"</f>
        <v>مخازن قير اصفهان</v>
      </c>
      <c r="N1942" s="1">
        <v>11190</v>
      </c>
      <c r="O1942" s="1">
        <v>50036182</v>
      </c>
      <c r="P1942" s="1" t="str">
        <f>"  شهرداري داران"</f>
        <v xml:space="preserve">  شهرداري داران</v>
      </c>
      <c r="Q1942" s="1">
        <v>20</v>
      </c>
      <c r="R1942" s="1" t="str">
        <f>"فروش داخلي - سازمان شهرداري ها و دهياري هاي كشور"</f>
        <v>فروش داخلي - سازمان شهرداري ها و دهياري هاي كشور</v>
      </c>
      <c r="S1942" s="1" t="str">
        <f>"قرارداد فروش"</f>
        <v>قرارداد فروش</v>
      </c>
      <c r="T1942" s="1" t="str">
        <f>"ندارد"</f>
        <v>ندارد</v>
      </c>
      <c r="U1942" s="1" t="str">
        <f>"تعاوني جم گستر (1001 ج 89)"</f>
        <v>تعاوني جم گستر (1001 ج 89)</v>
      </c>
      <c r="V1942" s="1">
        <v>962000036</v>
      </c>
      <c r="W1942" s="1">
        <v>962000036</v>
      </c>
      <c r="X1942" s="1" t="str">
        <f>"1396514467"</f>
        <v>1396514467</v>
      </c>
      <c r="Y1942" s="1" t="str">
        <f>"96/07/03"</f>
        <v>96/07/03</v>
      </c>
      <c r="Z1942" s="1" t="str">
        <f>"26823مرحله اول"</f>
        <v>26823مرحله اول</v>
      </c>
      <c r="AA1942" s="1" t="str">
        <f>"شهرداريها"</f>
        <v>شهرداريها</v>
      </c>
      <c r="AB1942" s="1" t="str">
        <f>"96/06/29"</f>
        <v>96/06/29</v>
      </c>
      <c r="AC1942" s="1" t="str">
        <f>"استان اصفهان"</f>
        <v>استان اصفهان</v>
      </c>
      <c r="AD1942" s="1" t="str">
        <f>"96/07/03"</f>
        <v>96/07/03</v>
      </c>
      <c r="AE1942" s="1" t="str">
        <f>"تاييدشده"</f>
        <v>تاييدشده</v>
      </c>
      <c r="AF1942" s="1" t="str">
        <f>""</f>
        <v/>
      </c>
      <c r="AG1942" s="1" t="str">
        <f>""</f>
        <v/>
      </c>
      <c r="AH1942" s="1" t="str">
        <f>""</f>
        <v/>
      </c>
      <c r="AI1942" s="1" t="str">
        <f>""</f>
        <v/>
      </c>
      <c r="AJ1942" s="1" t="str">
        <f>""</f>
        <v/>
      </c>
      <c r="AK1942" s="1" t="str">
        <f>""</f>
        <v/>
      </c>
    </row>
    <row r="1943" spans="1:37">
      <c r="A1943" s="1">
        <v>200000</v>
      </c>
      <c r="B1943" s="1">
        <v>966200666</v>
      </c>
      <c r="C1943" s="1" t="str">
        <f>"تخليه - لرستان-ازنا-کيلومتر 7 جاده اليگودرز-جنب روستاي نوروزآباد"</f>
        <v>تخليه - لرستان-ازنا-کيلومتر 7 جاده اليگودرز-جنب روستاي نوروزآباد</v>
      </c>
      <c r="D1943" s="1">
        <v>13350</v>
      </c>
      <c r="E1943" s="1">
        <v>198520</v>
      </c>
      <c r="F1943" s="1">
        <v>96</v>
      </c>
      <c r="G1943" s="1">
        <v>1480</v>
      </c>
      <c r="H1943" s="1" t="str">
        <f>"96/12/16"</f>
        <v>96/12/16</v>
      </c>
      <c r="I1943" s="1" t="str">
        <f>"كيلوگرم"</f>
        <v>كيلوگرم</v>
      </c>
      <c r="J1943" s="1" t="str">
        <f>"0000000076"</f>
        <v>0000000076</v>
      </c>
      <c r="K1943" s="1" t="str">
        <f>"قير 60/70 - فله"</f>
        <v>قير 60/70 - فله</v>
      </c>
      <c r="L1943" s="1">
        <v>100</v>
      </c>
      <c r="M1943" s="1" t="str">
        <f>"مخازن قير اصفهان"</f>
        <v>مخازن قير اصفهان</v>
      </c>
      <c r="N1943" s="1">
        <v>11217</v>
      </c>
      <c r="O1943" s="1">
        <v>50038818</v>
      </c>
      <c r="P1943" s="1" t="str">
        <f>"  شميم کاه گل"</f>
        <v xml:space="preserve">  شميم کاه گل</v>
      </c>
      <c r="Q1943" s="1">
        <v>62</v>
      </c>
      <c r="R1943" s="1" t="str">
        <f>"فروش داخلي - سازمان بنيادمسكن انقلاب اسلامي"</f>
        <v>فروش داخلي - سازمان بنيادمسكن انقلاب اسلامي</v>
      </c>
      <c r="S1943" s="1" t="str">
        <f>"قرارداد فروش"</f>
        <v>قرارداد فروش</v>
      </c>
      <c r="T1943" s="1" t="str">
        <f>"ندارد"</f>
        <v>ندارد</v>
      </c>
      <c r="U1943" s="1" t="str">
        <f>". شاهين راه(1881080)"</f>
        <v>. شاهين راه(1881080)</v>
      </c>
      <c r="V1943" s="1">
        <v>966200666</v>
      </c>
      <c r="W1943" s="1">
        <v>966200666</v>
      </c>
      <c r="X1943" s="1" t="str">
        <f>"1396553438"</f>
        <v>1396553438</v>
      </c>
      <c r="Y1943" s="1" t="str">
        <f>"96/12/16"</f>
        <v>96/12/16</v>
      </c>
      <c r="Z1943" s="1" t="str">
        <f>"57454/د"</f>
        <v>57454/د</v>
      </c>
      <c r="AA1943" s="1" t="str">
        <f>"بنيادمسكن انقلاب اسلامي"</f>
        <v>بنيادمسكن انقلاب اسلامي</v>
      </c>
      <c r="AB1943" s="1" t="str">
        <f>"96/12/15"</f>
        <v>96/12/15</v>
      </c>
      <c r="AC1943" s="1" t="str">
        <f>"لرستان"</f>
        <v>لرستان</v>
      </c>
      <c r="AD1943" s="1" t="str">
        <f>"96/12/16"</f>
        <v>96/12/16</v>
      </c>
      <c r="AE1943" s="1" t="str">
        <f>"اختتام"</f>
        <v>اختتام</v>
      </c>
      <c r="AF1943" s="1" t="str">
        <f>""</f>
        <v/>
      </c>
      <c r="AG1943" s="1" t="str">
        <f>""</f>
        <v/>
      </c>
      <c r="AH1943" s="1" t="str">
        <f>""</f>
        <v/>
      </c>
      <c r="AI1943" s="1" t="str">
        <f>""</f>
        <v/>
      </c>
      <c r="AJ1943" s="1" t="str">
        <f>""</f>
        <v/>
      </c>
      <c r="AK1943" s="1" t="str">
        <f>""</f>
        <v/>
      </c>
    </row>
    <row r="1944" spans="1:37">
      <c r="A1944" s="1">
        <v>276000</v>
      </c>
      <c r="B1944" s="1">
        <v>966200503</v>
      </c>
      <c r="C1944" s="1" t="str">
        <f>"تخليه - کرمان-کيلومتر 13 جاده بهرامجرد-کارخانه آسفالت طلايي"</f>
        <v>تخليه - کرمان-کيلومتر 13 جاده بهرامجرد-کارخانه آسفالت طلايي</v>
      </c>
      <c r="D1944" s="1">
        <v>12850</v>
      </c>
      <c r="E1944" s="1">
        <v>276000</v>
      </c>
      <c r="F1944" s="1">
        <v>96</v>
      </c>
      <c r="G1944" s="1">
        <v>0</v>
      </c>
      <c r="H1944" s="1" t="str">
        <f>"96/10/12"</f>
        <v>96/10/12</v>
      </c>
      <c r="I1944" s="1" t="str">
        <f>"كيلوگرم"</f>
        <v>كيلوگرم</v>
      </c>
      <c r="J1944" s="1" t="str">
        <f>"0000000076"</f>
        <v>0000000076</v>
      </c>
      <c r="K1944" s="1" t="str">
        <f>"قير 60/70 - فله"</f>
        <v>قير 60/70 - فله</v>
      </c>
      <c r="L1944" s="1">
        <v>100</v>
      </c>
      <c r="M1944" s="1" t="str">
        <f>"مخازن قير اصفهان"</f>
        <v>مخازن قير اصفهان</v>
      </c>
      <c r="N1944" s="1">
        <v>11269</v>
      </c>
      <c r="O1944" s="1">
        <v>50038036</v>
      </c>
      <c r="P1944" s="1" t="str">
        <f>"  نيارش سازه هيرمند"</f>
        <v xml:space="preserve">  نيارش سازه هيرمند</v>
      </c>
      <c r="Q1944" s="1">
        <v>62</v>
      </c>
      <c r="R1944" s="1" t="str">
        <f>"فروش داخلي - سازمان بنيادمسكن انقلاب اسلامي"</f>
        <v>فروش داخلي - سازمان بنيادمسكن انقلاب اسلامي</v>
      </c>
      <c r="S1944" s="1" t="str">
        <f>"قرارداد فروش"</f>
        <v>قرارداد فروش</v>
      </c>
      <c r="T1944" s="1" t="str">
        <f>"ندارد"</f>
        <v>ندارد</v>
      </c>
      <c r="U1944" s="1" t="str">
        <f>"دهقانيان بيژن (4954038)"</f>
        <v>دهقانيان بيژن (4954038)</v>
      </c>
      <c r="V1944" s="1">
        <v>966200503</v>
      </c>
      <c r="W1944" s="1">
        <v>966200503</v>
      </c>
      <c r="X1944" s="1" t="str">
        <f>"1396536916"</f>
        <v>1396536916</v>
      </c>
      <c r="Y1944" s="1" t="str">
        <f>"96/10/12"</f>
        <v>96/10/12</v>
      </c>
      <c r="Z1944" s="1" t="str">
        <f>"45268/د"</f>
        <v>45268/د</v>
      </c>
      <c r="AA1944" s="1" t="str">
        <f>"بنيادمسكن انقلاب اسلامي"</f>
        <v>بنيادمسكن انقلاب اسلامي</v>
      </c>
      <c r="AB1944" s="1" t="str">
        <f>"96/10/12"</f>
        <v>96/10/12</v>
      </c>
      <c r="AC1944" s="1" t="str">
        <f>"استان كرمان"</f>
        <v>استان كرمان</v>
      </c>
      <c r="AD1944" s="1" t="str">
        <f>"96/10/12"</f>
        <v>96/10/12</v>
      </c>
      <c r="AE1944" s="1" t="str">
        <f>"اختتام"</f>
        <v>اختتام</v>
      </c>
      <c r="AF1944" s="1" t="str">
        <f>""</f>
        <v/>
      </c>
      <c r="AG1944" s="1" t="str">
        <f>""</f>
        <v/>
      </c>
      <c r="AH1944" s="1" t="str">
        <f>""</f>
        <v/>
      </c>
      <c r="AI1944" s="1" t="str">
        <f>""</f>
        <v/>
      </c>
      <c r="AJ1944" s="1" t="str">
        <f>""</f>
        <v/>
      </c>
      <c r="AK1944" s="1" t="str">
        <f>""</f>
        <v/>
      </c>
    </row>
    <row r="1945" spans="1:37">
      <c r="A1945" s="1">
        <v>26000</v>
      </c>
      <c r="B1945" s="1">
        <v>966200759</v>
      </c>
      <c r="C1945" s="1" t="str">
        <f>"تخليه - کرمان-کيلومتر 13 جاده بهرامجرد-کارخانه آسفالت طلايي"</f>
        <v>تخليه - کرمان-کيلومتر 13 جاده بهرامجرد-کارخانه آسفالت طلايي</v>
      </c>
      <c r="D1945" s="1">
        <v>13350</v>
      </c>
      <c r="E1945" s="1">
        <v>25920</v>
      </c>
      <c r="F1945" s="1">
        <v>96</v>
      </c>
      <c r="G1945" s="1">
        <v>80</v>
      </c>
      <c r="H1945" s="1" t="str">
        <f>"96/12/27"</f>
        <v>96/12/27</v>
      </c>
      <c r="I1945" s="1" t="str">
        <f>"كيلوگرم"</f>
        <v>كيلوگرم</v>
      </c>
      <c r="J1945" s="1" t="str">
        <f>"0000000076"</f>
        <v>0000000076</v>
      </c>
      <c r="K1945" s="1" t="str">
        <f>"قير 60/70 - فله"</f>
        <v>قير 60/70 - فله</v>
      </c>
      <c r="L1945" s="1">
        <v>100</v>
      </c>
      <c r="M1945" s="1" t="str">
        <f>"مخازن قير اصفهان"</f>
        <v>مخازن قير اصفهان</v>
      </c>
      <c r="N1945" s="1">
        <v>11269</v>
      </c>
      <c r="O1945" s="1">
        <v>50039127</v>
      </c>
      <c r="P1945" s="1" t="str">
        <f>"  نيارش سازه هيرمند"</f>
        <v xml:space="preserve">  نيارش سازه هيرمند</v>
      </c>
      <c r="Q1945" s="1">
        <v>62</v>
      </c>
      <c r="R1945" s="1" t="str">
        <f>"فروش داخلي - سازمان بنيادمسكن انقلاب اسلامي"</f>
        <v>فروش داخلي - سازمان بنيادمسكن انقلاب اسلامي</v>
      </c>
      <c r="S1945" s="1" t="str">
        <f>"قرارداد فروش"</f>
        <v>قرارداد فروش</v>
      </c>
      <c r="T1945" s="1" t="str">
        <f>"ندارد"</f>
        <v>ندارد</v>
      </c>
      <c r="U1945" s="1" t="str">
        <f>"دهقانيان بيژن (4954038)"</f>
        <v>دهقانيان بيژن (4954038)</v>
      </c>
      <c r="V1945" s="1">
        <v>966200759</v>
      </c>
      <c r="W1945" s="1">
        <v>966200759</v>
      </c>
      <c r="X1945" s="1" t="str">
        <f>"1396555465"</f>
        <v>1396555465</v>
      </c>
      <c r="Y1945" s="1" t="str">
        <f>"96/12/27"</f>
        <v>96/12/27</v>
      </c>
      <c r="Z1945" s="1" t="str">
        <f>"59994/د"</f>
        <v>59994/د</v>
      </c>
      <c r="AA1945" s="1" t="str">
        <f>"بنيادمسكن انقلاب اسلامي"</f>
        <v>بنيادمسكن انقلاب اسلامي</v>
      </c>
      <c r="AB1945" s="1" t="str">
        <f>"96/12/26"</f>
        <v>96/12/26</v>
      </c>
      <c r="AC1945" s="1" t="str">
        <f>"استان كرمان"</f>
        <v>استان كرمان</v>
      </c>
      <c r="AD1945" s="1" t="str">
        <f>"96/12/27"</f>
        <v>96/12/27</v>
      </c>
      <c r="AE1945" s="1" t="str">
        <f>"اختتام"</f>
        <v>اختتام</v>
      </c>
      <c r="AF1945" s="1" t="str">
        <f>""</f>
        <v/>
      </c>
      <c r="AG1945" s="1" t="str">
        <f>""</f>
        <v/>
      </c>
      <c r="AH1945" s="1" t="str">
        <f>""</f>
        <v/>
      </c>
      <c r="AI1945" s="1" t="str">
        <f>""</f>
        <v/>
      </c>
      <c r="AJ1945" s="1" t="str">
        <f>""</f>
        <v/>
      </c>
      <c r="AK1945" s="1" t="str">
        <f>""</f>
        <v/>
      </c>
    </row>
    <row r="1946" spans="1:37">
      <c r="A1946" s="1">
        <v>98000</v>
      </c>
      <c r="B1946" s="1">
        <v>966200585</v>
      </c>
      <c r="C1946" s="1" t="str">
        <f>"تخليه - هرمزگان-جاده بندر عباس-سيرجان دوراهي گهکم کيلومتر 5 جاده شيراز بندرعباس-روستاي هاشم آباد"</f>
        <v>تخليه - هرمزگان-جاده بندر عباس-سيرجان دوراهي گهکم کيلومتر 5 جاده شيراز بندرعباس-روستاي هاشم آباد</v>
      </c>
      <c r="D1946" s="1">
        <v>13200</v>
      </c>
      <c r="E1946" s="1">
        <v>98000</v>
      </c>
      <c r="F1946" s="1">
        <v>96</v>
      </c>
      <c r="G1946" s="1">
        <v>0</v>
      </c>
      <c r="H1946" s="1" t="str">
        <f>"96/11/25"</f>
        <v>96/11/25</v>
      </c>
      <c r="I1946" s="1" t="str">
        <f>"كيلوگرم"</f>
        <v>كيلوگرم</v>
      </c>
      <c r="J1946" s="1" t="str">
        <f>"0000000076"</f>
        <v>0000000076</v>
      </c>
      <c r="K1946" s="1" t="str">
        <f>"قير 60/70 - فله"</f>
        <v>قير 60/70 - فله</v>
      </c>
      <c r="L1946" s="1">
        <v>100</v>
      </c>
      <c r="M1946" s="1" t="str">
        <f>"مخازن قير اصفهان"</f>
        <v>مخازن قير اصفهان</v>
      </c>
      <c r="N1946" s="1">
        <v>11299</v>
      </c>
      <c r="O1946" s="1">
        <v>50038521</v>
      </c>
      <c r="P1946" s="1" t="str">
        <f>"  ميعاد گستر مهر سمنگان"</f>
        <v xml:space="preserve">  ميعاد گستر مهر سمنگان</v>
      </c>
      <c r="Q1946" s="1">
        <v>62</v>
      </c>
      <c r="R1946" s="1" t="str">
        <f>"فروش داخلي - سازمان بنيادمسكن انقلاب اسلامي"</f>
        <v>فروش داخلي - سازمان بنيادمسكن انقلاب اسلامي</v>
      </c>
      <c r="S1946" s="1" t="str">
        <f>"قرارداد فروش"</f>
        <v>قرارداد فروش</v>
      </c>
      <c r="T1946" s="1" t="str">
        <f>"ندارد"</f>
        <v>ندارد</v>
      </c>
      <c r="U1946" s="1" t="str">
        <f>"قره باغي مجيد(1871065)"</f>
        <v>قره باغي مجيد(1871065)</v>
      </c>
      <c r="V1946" s="1">
        <v>966200585</v>
      </c>
      <c r="W1946" s="1">
        <v>966200585</v>
      </c>
      <c r="X1946" s="1" t="str">
        <f>"1396548725"</f>
        <v>1396548725</v>
      </c>
      <c r="Y1946" s="1" t="str">
        <f>"96/11/25"</f>
        <v>96/11/25</v>
      </c>
      <c r="Z1946" s="1" t="str">
        <f>"53050/د"</f>
        <v>53050/د</v>
      </c>
      <c r="AA1946" s="1" t="str">
        <f>"بنيادمسكن انقلاب اسلامي"</f>
        <v>بنيادمسكن انقلاب اسلامي</v>
      </c>
      <c r="AB1946" s="1" t="str">
        <f>"96/11/24"</f>
        <v>96/11/24</v>
      </c>
      <c r="AC1946" s="1" t="str">
        <f>"استان كرمان"</f>
        <v>استان كرمان</v>
      </c>
      <c r="AD1946" s="1" t="str">
        <f>"96/11/25"</f>
        <v>96/11/25</v>
      </c>
      <c r="AE1946" s="1" t="str">
        <f>"اختتام"</f>
        <v>اختتام</v>
      </c>
      <c r="AF1946" s="1" t="str">
        <f>""</f>
        <v/>
      </c>
      <c r="AG1946" s="1" t="str">
        <f>""</f>
        <v/>
      </c>
      <c r="AH1946" s="1" t="str">
        <f>""</f>
        <v/>
      </c>
      <c r="AI1946" s="1" t="str">
        <f>""</f>
        <v/>
      </c>
      <c r="AJ1946" s="1" t="str">
        <f>""</f>
        <v/>
      </c>
      <c r="AK1946" s="1" t="str">
        <f>""</f>
        <v/>
      </c>
    </row>
    <row r="1947" spans="1:37">
      <c r="A1947" s="1">
        <v>477000</v>
      </c>
      <c r="B1947" s="1">
        <v>966200553</v>
      </c>
      <c r="C1947" s="1" t="str">
        <f>"تخليه - کرمان - جيرفت-کمربندي به طرف کهنوج بعداز دانشگاه آزاد روبروي مدرسه استثنائي-کارخانه آسفالت مشاهير"</f>
        <v>تخليه - کرمان - جيرفت-کمربندي به طرف کهنوج بعداز دانشگاه آزاد روبروي مدرسه استثنائي-کارخانه آسفالت مشاهير</v>
      </c>
      <c r="D1947" s="1">
        <v>13200</v>
      </c>
      <c r="E1947" s="1">
        <v>474640</v>
      </c>
      <c r="F1947" s="1">
        <v>96</v>
      </c>
      <c r="G1947" s="1">
        <v>2360</v>
      </c>
      <c r="H1947" s="1" t="str">
        <f>"96/11/14"</f>
        <v>96/11/14</v>
      </c>
      <c r="I1947" s="1" t="str">
        <f>"كيلوگرم"</f>
        <v>كيلوگرم</v>
      </c>
      <c r="J1947" s="1" t="str">
        <f>"0000000076"</f>
        <v>0000000076</v>
      </c>
      <c r="K1947" s="1" t="str">
        <f>"قير 60/70 - فله"</f>
        <v>قير 60/70 - فله</v>
      </c>
      <c r="L1947" s="1">
        <v>100</v>
      </c>
      <c r="M1947" s="1" t="str">
        <f>"مخازن قير اصفهان"</f>
        <v>مخازن قير اصفهان</v>
      </c>
      <c r="N1947" s="1">
        <v>11320</v>
      </c>
      <c r="O1947" s="1">
        <v>50038358</v>
      </c>
      <c r="P1947" s="1" t="str">
        <f>"  طراحان بتن ماندگار"</f>
        <v xml:space="preserve">  طراحان بتن ماندگار</v>
      </c>
      <c r="Q1947" s="1">
        <v>62</v>
      </c>
      <c r="R1947" s="1" t="str">
        <f>"فروش داخلي - سازمان بنيادمسكن انقلاب اسلامي"</f>
        <v>فروش داخلي - سازمان بنيادمسكن انقلاب اسلامي</v>
      </c>
      <c r="S1947" s="1" t="str">
        <f>"قرارداد فروش"</f>
        <v>قرارداد فروش</v>
      </c>
      <c r="T1947" s="1" t="str">
        <f>"ندارد"</f>
        <v>ندارد</v>
      </c>
      <c r="U1947" s="1" t="str">
        <f>"دشت بشي پودنگ وبرادران رضا(4844014)"</f>
        <v>دشت بشي پودنگ وبرادران رضا(4844014)</v>
      </c>
      <c r="V1947" s="1">
        <v>966200553</v>
      </c>
      <c r="W1947" s="1">
        <v>966200553</v>
      </c>
      <c r="X1947" s="1" t="str">
        <f>"1396545121"</f>
        <v>1396545121</v>
      </c>
      <c r="Y1947" s="1" t="str">
        <f>"96/11/14"</f>
        <v>96/11/14</v>
      </c>
      <c r="Z1947" s="1" t="str">
        <f>"50738/د"</f>
        <v>50738/د</v>
      </c>
      <c r="AA1947" s="1" t="str">
        <f>"بنيادمسكن انقلاب اسلامي"</f>
        <v>بنيادمسكن انقلاب اسلامي</v>
      </c>
      <c r="AB1947" s="1" t="str">
        <f>"96/11/11"</f>
        <v>96/11/11</v>
      </c>
      <c r="AC1947" s="1" t="str">
        <f>"استان كرمان"</f>
        <v>استان كرمان</v>
      </c>
      <c r="AD1947" s="1" t="str">
        <f>"96/11/14"</f>
        <v>96/11/14</v>
      </c>
      <c r="AE1947" s="1" t="str">
        <f>"اختتام"</f>
        <v>اختتام</v>
      </c>
      <c r="AF1947" s="1" t="str">
        <f>""</f>
        <v/>
      </c>
      <c r="AG1947" s="1" t="str">
        <f>""</f>
        <v/>
      </c>
      <c r="AH1947" s="1" t="str">
        <f>""</f>
        <v/>
      </c>
      <c r="AI1947" s="1" t="str">
        <f>""</f>
        <v/>
      </c>
      <c r="AJ1947" s="1" t="str">
        <f>""</f>
        <v/>
      </c>
      <c r="AK1947" s="1" t="str">
        <f>""</f>
        <v/>
      </c>
    </row>
    <row r="1948" spans="1:37">
      <c r="A1948" s="1">
        <v>60000</v>
      </c>
      <c r="B1948" s="1">
        <v>966200037</v>
      </c>
      <c r="C1948" s="1" t="str">
        <f>"تخليه - اصفهان- محور نجف آباد-تيران-پشت شهرک صنعتي تيران"</f>
        <v>تخليه - اصفهان- محور نجف آباد-تيران-پشت شهرک صنعتي تيران</v>
      </c>
      <c r="D1948" s="1">
        <v>8918</v>
      </c>
      <c r="E1948" s="1">
        <v>59600</v>
      </c>
      <c r="F1948" s="1">
        <v>96</v>
      </c>
      <c r="G1948" s="1">
        <v>400</v>
      </c>
      <c r="H1948" s="1" t="str">
        <f>"96/02/04"</f>
        <v>96/02/04</v>
      </c>
      <c r="I1948" s="1" t="str">
        <f>"كيلوگرم"</f>
        <v>كيلوگرم</v>
      </c>
      <c r="J1948" s="1" t="str">
        <f>"0000000076"</f>
        <v>0000000076</v>
      </c>
      <c r="K1948" s="1" t="str">
        <f>"قير 60/70 - فله"</f>
        <v>قير 60/70 - فله</v>
      </c>
      <c r="L1948" s="1">
        <v>100</v>
      </c>
      <c r="M1948" s="1" t="str">
        <f>"مخازن قير اصفهان"</f>
        <v>مخازن قير اصفهان</v>
      </c>
      <c r="N1948" s="1">
        <v>11336</v>
      </c>
      <c r="O1948" s="1">
        <v>50034677</v>
      </c>
      <c r="P1948" s="1" t="str">
        <f>"  مقاوم راه زاينده رود"</f>
        <v xml:space="preserve">  مقاوم راه زاينده رود</v>
      </c>
      <c r="Q1948" s="1">
        <v>62</v>
      </c>
      <c r="R1948" s="1" t="str">
        <f>"فروش داخلي - سازمان بنيادمسكن انقلاب اسلامي"</f>
        <v>فروش داخلي - سازمان بنيادمسكن انقلاب اسلامي</v>
      </c>
      <c r="S1948" s="1" t="str">
        <f>"قرارداد فروش"</f>
        <v>قرارداد فروش</v>
      </c>
      <c r="T1948" s="1" t="str">
        <f>"ندارد"</f>
        <v>ندارد</v>
      </c>
      <c r="U1948" s="1" t="str">
        <f>"سيفي پور عبدالمجيد(1009ج89)"</f>
        <v>سيفي پور عبدالمجيد(1009ج89)</v>
      </c>
      <c r="V1948" s="1">
        <v>966200037</v>
      </c>
      <c r="W1948" s="1">
        <v>966200037</v>
      </c>
      <c r="X1948" s="1" t="str">
        <f>"1396476390"</f>
        <v>1396476390</v>
      </c>
      <c r="Y1948" s="1" t="str">
        <f>"96/02/04"</f>
        <v>96/02/04</v>
      </c>
      <c r="Z1948" s="1" t="str">
        <f>"3300/د"</f>
        <v>3300/د</v>
      </c>
      <c r="AA1948" s="1" t="str">
        <f>"بنيادمسكن انقلاب اسلامي"</f>
        <v>بنيادمسكن انقلاب اسلامي</v>
      </c>
      <c r="AB1948" s="1" t="str">
        <f>"96/02/03"</f>
        <v>96/02/03</v>
      </c>
      <c r="AC1948" s="1" t="str">
        <f>"استان اصفهان"</f>
        <v>استان اصفهان</v>
      </c>
      <c r="AD1948" s="1" t="str">
        <f>"96/02/04"</f>
        <v>96/02/04</v>
      </c>
      <c r="AE1948" s="1" t="str">
        <f>"اختتام"</f>
        <v>اختتام</v>
      </c>
      <c r="AF1948" s="1" t="str">
        <f>""</f>
        <v/>
      </c>
      <c r="AG1948" s="1" t="str">
        <f>""</f>
        <v/>
      </c>
      <c r="AH1948" s="1" t="str">
        <f>""</f>
        <v/>
      </c>
      <c r="AI1948" s="1" t="str">
        <f>""</f>
        <v/>
      </c>
      <c r="AJ1948" s="1" t="str">
        <f>""</f>
        <v/>
      </c>
      <c r="AK1948" s="1" t="str">
        <f>""</f>
        <v/>
      </c>
    </row>
    <row r="1949" spans="1:37">
      <c r="A1949" s="1">
        <v>45000</v>
      </c>
      <c r="B1949" s="1">
        <v>966200298</v>
      </c>
      <c r="C1949" s="1" t="str">
        <f>"تخليه - اصفهان- محور نجف آباد-تيران-پشت شهرک صنعتي تيران"</f>
        <v>تخليه - اصفهان- محور نجف آباد-تيران-پشت شهرک صنعتي تيران</v>
      </c>
      <c r="D1949" s="1">
        <v>9113</v>
      </c>
      <c r="E1949" s="1">
        <v>44860</v>
      </c>
      <c r="F1949" s="1">
        <v>96</v>
      </c>
      <c r="G1949" s="1">
        <v>140</v>
      </c>
      <c r="H1949" s="1" t="str">
        <f>"96/07/15"</f>
        <v>96/07/15</v>
      </c>
      <c r="I1949" s="1" t="str">
        <f>"كيلوگرم"</f>
        <v>كيلوگرم</v>
      </c>
      <c r="J1949" s="1" t="str">
        <f>"0000000076"</f>
        <v>0000000076</v>
      </c>
      <c r="K1949" s="1" t="str">
        <f>"قير 60/70 - فله"</f>
        <v>قير 60/70 - فله</v>
      </c>
      <c r="L1949" s="1">
        <v>100</v>
      </c>
      <c r="M1949" s="1" t="str">
        <f>"مخازن قير اصفهان"</f>
        <v>مخازن قير اصفهان</v>
      </c>
      <c r="N1949" s="1">
        <v>11336</v>
      </c>
      <c r="O1949" s="1">
        <v>50036559</v>
      </c>
      <c r="P1949" s="1" t="str">
        <f>"  مقاوم راه زاينده رود"</f>
        <v xml:space="preserve">  مقاوم راه زاينده رود</v>
      </c>
      <c r="Q1949" s="1">
        <v>62</v>
      </c>
      <c r="R1949" s="1" t="str">
        <f>"فروش داخلي - سازمان بنيادمسكن انقلاب اسلامي"</f>
        <v>فروش داخلي - سازمان بنيادمسكن انقلاب اسلامي</v>
      </c>
      <c r="S1949" s="1" t="str">
        <f>"قرارداد فروش"</f>
        <v>قرارداد فروش</v>
      </c>
      <c r="T1949" s="1" t="str">
        <f>"ندارد"</f>
        <v>ندارد</v>
      </c>
      <c r="U1949" s="1" t="str">
        <f>"سيفي پور عبدالمجيد(1009ج89)"</f>
        <v>سيفي پور عبدالمجيد(1009ج89)</v>
      </c>
      <c r="V1949" s="1">
        <v>966200298</v>
      </c>
      <c r="W1949" s="1">
        <v>966200298</v>
      </c>
      <c r="X1949" s="1" t="str">
        <f>"1396516997"</f>
        <v>1396516997</v>
      </c>
      <c r="Y1949" s="1" t="str">
        <f>"96/07/15"</f>
        <v>96/07/15</v>
      </c>
      <c r="Z1949" s="1" t="str">
        <f>"30950/د"</f>
        <v>30950/د</v>
      </c>
      <c r="AA1949" s="1" t="str">
        <f>"بنيادمسكن انقلاب اسلامي"</f>
        <v>بنيادمسكن انقلاب اسلامي</v>
      </c>
      <c r="AB1949" s="1" t="str">
        <f>"96/07/12"</f>
        <v>96/07/12</v>
      </c>
      <c r="AC1949" s="1" t="str">
        <f>"استان اصفهان"</f>
        <v>استان اصفهان</v>
      </c>
      <c r="AD1949" s="1" t="str">
        <f>"96/07/15"</f>
        <v>96/07/15</v>
      </c>
      <c r="AE1949" s="1" t="str">
        <f>"اختتام"</f>
        <v>اختتام</v>
      </c>
      <c r="AF1949" s="1" t="str">
        <f>""</f>
        <v/>
      </c>
      <c r="AG1949" s="1" t="str">
        <f>""</f>
        <v/>
      </c>
      <c r="AH1949" s="1" t="str">
        <f>""</f>
        <v/>
      </c>
      <c r="AI1949" s="1" t="str">
        <f>""</f>
        <v/>
      </c>
      <c r="AJ1949" s="1" t="str">
        <f>""</f>
        <v/>
      </c>
      <c r="AK1949" s="1" t="str">
        <f>""</f>
        <v/>
      </c>
    </row>
    <row r="1950" spans="1:37">
      <c r="A1950" s="1">
        <v>362000</v>
      </c>
      <c r="B1950" s="1">
        <v>966200036</v>
      </c>
      <c r="C1950" s="1" t="str">
        <f>"تخليه - هرمزگان - بندرلنگه-8 کيلومتري جاده بستک-روستاي بارچاه-کارخانه آسفالت شرکت عمران ابنيه هرمز"</f>
        <v>تخليه - هرمزگان - بندرلنگه-8 کيلومتري جاده بستک-روستاي بارچاه-کارخانه آسفالت شرکت عمران ابنيه هرمز</v>
      </c>
      <c r="D1950" s="1">
        <v>8918</v>
      </c>
      <c r="E1950" s="1">
        <v>361480</v>
      </c>
      <c r="F1950" s="1">
        <v>96</v>
      </c>
      <c r="G1950" s="1">
        <v>520</v>
      </c>
      <c r="H1950" s="1" t="str">
        <f>"96/02/04"</f>
        <v>96/02/04</v>
      </c>
      <c r="I1950" s="1" t="str">
        <f>"كيلوگرم"</f>
        <v>كيلوگرم</v>
      </c>
      <c r="J1950" s="1" t="str">
        <f>"0000000076"</f>
        <v>0000000076</v>
      </c>
      <c r="K1950" s="1" t="str">
        <f>"قير 60/70 - فله"</f>
        <v>قير 60/70 - فله</v>
      </c>
      <c r="L1950" s="1">
        <v>100</v>
      </c>
      <c r="M1950" s="1" t="str">
        <f>"مخازن قير اصفهان"</f>
        <v>مخازن قير اصفهان</v>
      </c>
      <c r="N1950" s="1">
        <v>11337</v>
      </c>
      <c r="O1950" s="1">
        <v>50034676</v>
      </c>
      <c r="P1950" s="1" t="str">
        <f>"  عمران راه لنگه"</f>
        <v xml:space="preserve">  عمران راه لنگه</v>
      </c>
      <c r="Q1950" s="1">
        <v>62</v>
      </c>
      <c r="R1950" s="1" t="str">
        <f>"فروش داخلي - سازمان بنيادمسكن انقلاب اسلامي"</f>
        <v>فروش داخلي - سازمان بنيادمسكن انقلاب اسلامي</v>
      </c>
      <c r="S1950" s="1" t="str">
        <f>"قرارداد فروش"</f>
        <v>قرارداد فروش</v>
      </c>
      <c r="T1950" s="1" t="str">
        <f>"ندارد"</f>
        <v>ندارد</v>
      </c>
      <c r="U1950" s="1" t="str">
        <f>"حاصليان ترابرجنوب مرتضي حاصلي (4844006)"</f>
        <v>حاصليان ترابرجنوب مرتضي حاصلي (4844006)</v>
      </c>
      <c r="V1950" s="1">
        <v>966200036</v>
      </c>
      <c r="W1950" s="1">
        <v>966200036</v>
      </c>
      <c r="X1950" s="1" t="str">
        <f>"1396476390"</f>
        <v>1396476390</v>
      </c>
      <c r="Y1950" s="1" t="str">
        <f>"96/02/04"</f>
        <v>96/02/04</v>
      </c>
      <c r="Z1950" s="1" t="str">
        <f>"3237/د"</f>
        <v>3237/د</v>
      </c>
      <c r="AA1950" s="1" t="str">
        <f>"بنيادمسكن انقلاب اسلامي"</f>
        <v>بنيادمسكن انقلاب اسلامي</v>
      </c>
      <c r="AB1950" s="1" t="str">
        <f>"96/02/03"</f>
        <v>96/02/03</v>
      </c>
      <c r="AC1950" s="1" t="str">
        <f>"استان هرمزگان"</f>
        <v>استان هرمزگان</v>
      </c>
      <c r="AD1950" s="1" t="str">
        <f>"96/02/04"</f>
        <v>96/02/04</v>
      </c>
      <c r="AE1950" s="1" t="str">
        <f>"اختتام"</f>
        <v>اختتام</v>
      </c>
      <c r="AF1950" s="1" t="str">
        <f>""</f>
        <v/>
      </c>
      <c r="AG1950" s="1" t="str">
        <f>""</f>
        <v/>
      </c>
      <c r="AH1950" s="1" t="str">
        <f>""</f>
        <v/>
      </c>
      <c r="AI1950" s="1" t="str">
        <f>""</f>
        <v/>
      </c>
      <c r="AJ1950" s="1" t="str">
        <f>""</f>
        <v/>
      </c>
      <c r="AK1950" s="1" t="str">
        <f>""</f>
        <v/>
      </c>
    </row>
    <row r="1951" spans="1:37">
      <c r="A1951" s="1">
        <v>22000</v>
      </c>
      <c r="B1951" s="1">
        <v>966200044</v>
      </c>
      <c r="C1951" s="1" t="str">
        <f>"تخليه - هرمزگان-ميناب-پنجشنبه بازار-کارخانه آسفالت شهرداري ميناب"</f>
        <v>تخليه - هرمزگان-ميناب-پنجشنبه بازار-کارخانه آسفالت شهرداري ميناب</v>
      </c>
      <c r="D1951" s="1">
        <v>8918</v>
      </c>
      <c r="E1951" s="1">
        <v>21220</v>
      </c>
      <c r="F1951" s="1">
        <v>96</v>
      </c>
      <c r="G1951" s="1">
        <v>780</v>
      </c>
      <c r="H1951" s="1" t="str">
        <f>"96/02/06"</f>
        <v>96/02/06</v>
      </c>
      <c r="I1951" s="1" t="str">
        <f>"كيلوگرم"</f>
        <v>كيلوگرم</v>
      </c>
      <c r="J1951" s="1" t="str">
        <f>"0000000076"</f>
        <v>0000000076</v>
      </c>
      <c r="K1951" s="1" t="str">
        <f>"قير 60/70 - فله"</f>
        <v>قير 60/70 - فله</v>
      </c>
      <c r="L1951" s="1">
        <v>100</v>
      </c>
      <c r="M1951" s="1" t="str">
        <f>"مخازن قير اصفهان"</f>
        <v>مخازن قير اصفهان</v>
      </c>
      <c r="N1951" s="1">
        <v>11340</v>
      </c>
      <c r="O1951" s="1">
        <v>50034689</v>
      </c>
      <c r="P1951" s="1" t="str">
        <f>"  شهرداري ميناب"</f>
        <v xml:space="preserve">  شهرداري ميناب</v>
      </c>
      <c r="Q1951" s="1">
        <v>62</v>
      </c>
      <c r="R1951" s="1" t="str">
        <f>"فروش داخلي - سازمان بنيادمسكن انقلاب اسلامي"</f>
        <v>فروش داخلي - سازمان بنيادمسكن انقلاب اسلامي</v>
      </c>
      <c r="S1951" s="1" t="str">
        <f>"قرارداد فروش"</f>
        <v>قرارداد فروش</v>
      </c>
      <c r="T1951" s="1" t="str">
        <f>"ندارد"</f>
        <v>ندارد</v>
      </c>
      <c r="U1951" s="1" t="str">
        <f>"حاصليان ترابرجنوب مرتضي حاصلي (4844006)"</f>
        <v>حاصليان ترابرجنوب مرتضي حاصلي (4844006)</v>
      </c>
      <c r="V1951" s="1">
        <v>966200044</v>
      </c>
      <c r="W1951" s="1">
        <v>966200044</v>
      </c>
      <c r="X1951" s="1" t="str">
        <f>"1396477333"</f>
        <v>1396477333</v>
      </c>
      <c r="Y1951" s="1" t="str">
        <f>"96/02/06"</f>
        <v>96/02/06</v>
      </c>
      <c r="Z1951" s="1" t="str">
        <f>"3285/د"</f>
        <v>3285/د</v>
      </c>
      <c r="AA1951" s="1" t="str">
        <f>"بنيادمسكن انقلاب اسلامي"</f>
        <v>بنيادمسكن انقلاب اسلامي</v>
      </c>
      <c r="AB1951" s="1" t="str">
        <f>"96/02/03"</f>
        <v>96/02/03</v>
      </c>
      <c r="AC1951" s="1" t="str">
        <f>"استان هرمزگان"</f>
        <v>استان هرمزگان</v>
      </c>
      <c r="AD1951" s="1" t="str">
        <f>"96/02/06"</f>
        <v>96/02/06</v>
      </c>
      <c r="AE1951" s="1" t="str">
        <f>"اختتام"</f>
        <v>اختتام</v>
      </c>
      <c r="AF1951" s="1" t="str">
        <f>""</f>
        <v/>
      </c>
      <c r="AG1951" s="1" t="str">
        <f>""</f>
        <v/>
      </c>
      <c r="AH1951" s="1" t="str">
        <f>""</f>
        <v/>
      </c>
      <c r="AI1951" s="1" t="str">
        <f>""</f>
        <v/>
      </c>
      <c r="AJ1951" s="1" t="str">
        <f>""</f>
        <v/>
      </c>
      <c r="AK1951" s="1" t="str">
        <f>""</f>
        <v/>
      </c>
    </row>
    <row r="1952" spans="1:37">
      <c r="A1952" s="1">
        <v>202000</v>
      </c>
      <c r="B1952" s="1">
        <v>966200571</v>
      </c>
      <c r="C1952" s="1" t="str">
        <f>"تخليه - قزوين-جاده تاکستان به همدان-نرسيده به روستاي سيف آباد-شرکت صفادشت تاکستان بام"</f>
        <v>تخليه - قزوين-جاده تاکستان به همدان-نرسيده به روستاي سيف آباد-شرکت صفادشت تاکستان بام</v>
      </c>
      <c r="D1952" s="1">
        <v>13200</v>
      </c>
      <c r="E1952" s="1">
        <v>200660</v>
      </c>
      <c r="F1952" s="1">
        <v>96</v>
      </c>
      <c r="G1952" s="1">
        <v>1340</v>
      </c>
      <c r="H1952" s="1" t="str">
        <f>"96/11/18"</f>
        <v>96/11/18</v>
      </c>
      <c r="I1952" s="1" t="str">
        <f>"كيلوگرم"</f>
        <v>كيلوگرم</v>
      </c>
      <c r="J1952" s="1" t="str">
        <f>"0000000076"</f>
        <v>0000000076</v>
      </c>
      <c r="K1952" s="1" t="str">
        <f>"قير 60/70 - فله"</f>
        <v>قير 60/70 - فله</v>
      </c>
      <c r="L1952" s="1">
        <v>100</v>
      </c>
      <c r="M1952" s="1" t="str">
        <f>"مخازن قير اصفهان"</f>
        <v>مخازن قير اصفهان</v>
      </c>
      <c r="N1952" s="1">
        <v>11349</v>
      </c>
      <c r="O1952" s="1">
        <v>50038437</v>
      </c>
      <c r="P1952" s="1" t="str">
        <f>"  بنيادمسکن استان قزوين"</f>
        <v xml:space="preserve">  بنيادمسکن استان قزوين</v>
      </c>
      <c r="Q1952" s="1">
        <v>62</v>
      </c>
      <c r="R1952" s="1" t="str">
        <f>"فروش داخلي - سازمان بنيادمسكن انقلاب اسلامي"</f>
        <v>فروش داخلي - سازمان بنيادمسكن انقلاب اسلامي</v>
      </c>
      <c r="S1952" s="1" t="str">
        <f>"قرارداد فروش"</f>
        <v>قرارداد فروش</v>
      </c>
      <c r="T1952" s="1" t="str">
        <f>"ندارد"</f>
        <v>ندارد</v>
      </c>
      <c r="U1952" s="1" t="str">
        <f>"درودي محمدكاظم(1841010)"</f>
        <v>درودي محمدكاظم(1841010)</v>
      </c>
      <c r="V1952" s="1">
        <v>966200571</v>
      </c>
      <c r="W1952" s="1">
        <v>966200571</v>
      </c>
      <c r="X1952" s="1" t="str">
        <f>"1396546760"</f>
        <v>1396546760</v>
      </c>
      <c r="Y1952" s="1" t="str">
        <f>"96/11/18"</f>
        <v>96/11/18</v>
      </c>
      <c r="Z1952" s="1" t="str">
        <f>"52010/د"</f>
        <v>52010/د</v>
      </c>
      <c r="AA1952" s="1" t="str">
        <f>"بنيادمسكن انقلاب اسلامي"</f>
        <v>بنيادمسكن انقلاب اسلامي</v>
      </c>
      <c r="AB1952" s="1" t="str">
        <f>"96/11/17"</f>
        <v>96/11/17</v>
      </c>
      <c r="AC1952" s="1" t="str">
        <f>"قزوين"</f>
        <v>قزوين</v>
      </c>
      <c r="AD1952" s="1" t="str">
        <f>"96/11/18"</f>
        <v>96/11/18</v>
      </c>
      <c r="AE1952" s="1" t="str">
        <f>"اختتام"</f>
        <v>اختتام</v>
      </c>
      <c r="AF1952" s="1" t="str">
        <f>""</f>
        <v/>
      </c>
      <c r="AG1952" s="1" t="str">
        <f>""</f>
        <v/>
      </c>
      <c r="AH1952" s="1" t="str">
        <f>""</f>
        <v/>
      </c>
      <c r="AI1952" s="1" t="str">
        <f>""</f>
        <v/>
      </c>
      <c r="AJ1952" s="1" t="str">
        <f>""</f>
        <v/>
      </c>
      <c r="AK1952" s="1" t="str">
        <f>""</f>
        <v/>
      </c>
    </row>
    <row r="1953" spans="1:37">
      <c r="A1953" s="1">
        <v>98000</v>
      </c>
      <c r="B1953" s="1">
        <v>966200088</v>
      </c>
      <c r="C1953" s="1" t="str">
        <f>"تخليه - بوشهر-خورموج-جاده لاور شرقي به طرف بوشهر-کارخانه آسفالت جلالي"</f>
        <v>تخليه - بوشهر-خورموج-جاده لاور شرقي به طرف بوشهر-کارخانه آسفالت جلالي</v>
      </c>
      <c r="D1953" s="1">
        <v>8918</v>
      </c>
      <c r="E1953" s="1">
        <v>97820</v>
      </c>
      <c r="F1953" s="1">
        <v>96</v>
      </c>
      <c r="G1953" s="1">
        <v>180</v>
      </c>
      <c r="H1953" s="1" t="str">
        <f>"96/02/27"</f>
        <v>96/02/27</v>
      </c>
      <c r="I1953" s="1" t="str">
        <f>"كيلوگرم"</f>
        <v>كيلوگرم</v>
      </c>
      <c r="J1953" s="1" t="str">
        <f>"0000000076"</f>
        <v>0000000076</v>
      </c>
      <c r="K1953" s="1" t="str">
        <f>"قير 60/70 - فله"</f>
        <v>قير 60/70 - فله</v>
      </c>
      <c r="L1953" s="1">
        <v>100</v>
      </c>
      <c r="M1953" s="1" t="str">
        <f>"مخازن قير اصفهان"</f>
        <v>مخازن قير اصفهان</v>
      </c>
      <c r="N1953" s="1">
        <v>11358</v>
      </c>
      <c r="O1953" s="1">
        <v>50034858</v>
      </c>
      <c r="P1953" s="1" t="str">
        <f>"  نگين پرداز طراحان قرن"</f>
        <v xml:space="preserve">  نگين پرداز طراحان قرن</v>
      </c>
      <c r="Q1953" s="1">
        <v>62</v>
      </c>
      <c r="R1953" s="1" t="str">
        <f>"فروش داخلي - سازمان بنيادمسكن انقلاب اسلامي"</f>
        <v>فروش داخلي - سازمان بنيادمسكن انقلاب اسلامي</v>
      </c>
      <c r="S1953" s="1" t="str">
        <f>"قرارداد فروش"</f>
        <v>قرارداد فروش</v>
      </c>
      <c r="T1953" s="1" t="str">
        <f>"ندارد"</f>
        <v>ندارد</v>
      </c>
      <c r="U1953" s="1" t="str">
        <f>"اژدري مسعود(4844011)"</f>
        <v>اژدري مسعود(4844011)</v>
      </c>
      <c r="V1953" s="1">
        <v>966200088</v>
      </c>
      <c r="W1953" s="1">
        <v>966200088</v>
      </c>
      <c r="X1953" s="1" t="str">
        <f>"1396481875"</f>
        <v>1396481875</v>
      </c>
      <c r="Y1953" s="1" t="str">
        <f>"96/02/27"</f>
        <v>96/02/27</v>
      </c>
      <c r="Z1953" s="1" t="str">
        <f>"6840/د"</f>
        <v>6840/د</v>
      </c>
      <c r="AA1953" s="1" t="str">
        <f>"بنيادمسكن انقلاب اسلامي"</f>
        <v>بنيادمسكن انقلاب اسلامي</v>
      </c>
      <c r="AB1953" s="1" t="str">
        <f>"96/02/25"</f>
        <v>96/02/25</v>
      </c>
      <c r="AC1953" s="1" t="str">
        <f>"بوشهر"</f>
        <v>بوشهر</v>
      </c>
      <c r="AD1953" s="1" t="str">
        <f>"96/02/27"</f>
        <v>96/02/27</v>
      </c>
      <c r="AE1953" s="1" t="str">
        <f>"اختتام"</f>
        <v>اختتام</v>
      </c>
      <c r="AF1953" s="1" t="str">
        <f>""</f>
        <v/>
      </c>
      <c r="AG1953" s="1" t="str">
        <f>""</f>
        <v/>
      </c>
      <c r="AH1953" s="1" t="str">
        <f>""</f>
        <v/>
      </c>
      <c r="AI1953" s="1" t="str">
        <f>""</f>
        <v/>
      </c>
      <c r="AJ1953" s="1" t="str">
        <f>""</f>
        <v/>
      </c>
      <c r="AK1953" s="1" t="str">
        <f>""</f>
        <v/>
      </c>
    </row>
    <row r="1954" spans="1:37">
      <c r="A1954" s="1">
        <v>252000</v>
      </c>
      <c r="B1954" s="1">
        <v>966200089</v>
      </c>
      <c r="C1954" s="1" t="str">
        <f>"تخليه - بوشهر-خورموج-جاده لاور شرقي به طرف بوشهر-کارخانه آسفالت جلالي"</f>
        <v>تخليه - بوشهر-خورموج-جاده لاور شرقي به طرف بوشهر-کارخانه آسفالت جلالي</v>
      </c>
      <c r="D1954" s="1">
        <v>8918</v>
      </c>
      <c r="E1954" s="1">
        <v>250620</v>
      </c>
      <c r="F1954" s="1">
        <v>96</v>
      </c>
      <c r="G1954" s="1">
        <v>1380</v>
      </c>
      <c r="H1954" s="1" t="str">
        <f>"96/02/27"</f>
        <v>96/02/27</v>
      </c>
      <c r="I1954" s="1" t="str">
        <f>"كيلوگرم"</f>
        <v>كيلوگرم</v>
      </c>
      <c r="J1954" s="1" t="str">
        <f>"0000000076"</f>
        <v>0000000076</v>
      </c>
      <c r="K1954" s="1" t="str">
        <f>"قير 60/70 - فله"</f>
        <v>قير 60/70 - فله</v>
      </c>
      <c r="L1954" s="1">
        <v>100</v>
      </c>
      <c r="M1954" s="1" t="str">
        <f>"مخازن قير اصفهان"</f>
        <v>مخازن قير اصفهان</v>
      </c>
      <c r="N1954" s="1">
        <v>11359</v>
      </c>
      <c r="O1954" s="1">
        <v>50034859</v>
      </c>
      <c r="P1954" s="1" t="str">
        <f>"  آرال بتن تيوا"</f>
        <v xml:space="preserve">  آرال بتن تيوا</v>
      </c>
      <c r="Q1954" s="1">
        <v>62</v>
      </c>
      <c r="R1954" s="1" t="str">
        <f>"فروش داخلي - سازمان بنيادمسكن انقلاب اسلامي"</f>
        <v>فروش داخلي - سازمان بنيادمسكن انقلاب اسلامي</v>
      </c>
      <c r="S1954" s="1" t="str">
        <f>"قرارداد فروش"</f>
        <v>قرارداد فروش</v>
      </c>
      <c r="T1954" s="1" t="str">
        <f>"ندارد"</f>
        <v>ندارد</v>
      </c>
      <c r="U1954" s="1" t="str">
        <f>"اژدري مسعود(4844011)"</f>
        <v>اژدري مسعود(4844011)</v>
      </c>
      <c r="V1954" s="1">
        <v>966200089</v>
      </c>
      <c r="W1954" s="1">
        <v>966200089</v>
      </c>
      <c r="X1954" s="1" t="str">
        <f>"1396481875"</f>
        <v>1396481875</v>
      </c>
      <c r="Y1954" s="1" t="str">
        <f>"96/02/27"</f>
        <v>96/02/27</v>
      </c>
      <c r="Z1954" s="1" t="str">
        <f>"6836/د"</f>
        <v>6836/د</v>
      </c>
      <c r="AA1954" s="1" t="str">
        <f>"بنيادمسكن انقلاب اسلامي"</f>
        <v>بنيادمسكن انقلاب اسلامي</v>
      </c>
      <c r="AB1954" s="1" t="str">
        <f>"95/02/25"</f>
        <v>95/02/25</v>
      </c>
      <c r="AC1954" s="1" t="str">
        <f>"بوشهر"</f>
        <v>بوشهر</v>
      </c>
      <c r="AD1954" s="1" t="str">
        <f>"96/02/27"</f>
        <v>96/02/27</v>
      </c>
      <c r="AE1954" s="1" t="str">
        <f>"اختتام"</f>
        <v>اختتام</v>
      </c>
      <c r="AF1954" s="1" t="str">
        <f>""</f>
        <v/>
      </c>
      <c r="AG1954" s="1" t="str">
        <f>""</f>
        <v/>
      </c>
      <c r="AH1954" s="1" t="str">
        <f>""</f>
        <v/>
      </c>
      <c r="AI1954" s="1" t="str">
        <f>""</f>
        <v/>
      </c>
      <c r="AJ1954" s="1" t="str">
        <f>""</f>
        <v/>
      </c>
      <c r="AK1954" s="1" t="str">
        <f>""</f>
        <v/>
      </c>
    </row>
    <row r="1955" spans="1:37">
      <c r="A1955" s="1">
        <v>362000</v>
      </c>
      <c r="B1955" s="1">
        <v>966200200</v>
      </c>
      <c r="C1955" s="1" t="str">
        <f>"تخليه - سيستان و بلوچستان-هامون-شهرمحمدآباد -کارخانه آسفالت برادران طباطبايي"</f>
        <v>تخليه - سيستان و بلوچستان-هامون-شهرمحمدآباد -کارخانه آسفالت برادران طباطبايي</v>
      </c>
      <c r="D1955" s="1">
        <v>8704</v>
      </c>
      <c r="E1955" s="1">
        <v>360980</v>
      </c>
      <c r="F1955" s="1">
        <v>96</v>
      </c>
      <c r="G1955" s="1">
        <v>1020</v>
      </c>
      <c r="H1955" s="1" t="str">
        <f>"96/05/31"</f>
        <v>96/05/31</v>
      </c>
      <c r="I1955" s="1" t="str">
        <f>"كيلوگرم"</f>
        <v>كيلوگرم</v>
      </c>
      <c r="J1955" s="1" t="str">
        <f>"0000000076"</f>
        <v>0000000076</v>
      </c>
      <c r="K1955" s="1" t="str">
        <f>"قير 60/70 - فله"</f>
        <v>قير 60/70 - فله</v>
      </c>
      <c r="L1955" s="1">
        <v>100</v>
      </c>
      <c r="M1955" s="1" t="str">
        <f>"مخازن قير اصفهان"</f>
        <v>مخازن قير اصفهان</v>
      </c>
      <c r="N1955" s="1">
        <v>11360</v>
      </c>
      <c r="O1955" s="1">
        <v>50035766</v>
      </c>
      <c r="P1955" s="1" t="str">
        <f>"  پارت سازان هامون"</f>
        <v xml:space="preserve">  پارت سازان هامون</v>
      </c>
      <c r="Q1955" s="1">
        <v>62</v>
      </c>
      <c r="R1955" s="1" t="str">
        <f>"فروش داخلي - سازمان بنيادمسكن انقلاب اسلامي"</f>
        <v>فروش داخلي - سازمان بنيادمسكن انقلاب اسلامي</v>
      </c>
      <c r="S1955" s="1" t="str">
        <f>"قرارداد فروش"</f>
        <v>قرارداد فروش</v>
      </c>
      <c r="T1955" s="1" t="str">
        <f>"ندارد"</f>
        <v>ندارد</v>
      </c>
      <c r="U1955" s="1" t="str">
        <f>"قانعي محمدرضا(1011ج89)"</f>
        <v>قانعي محمدرضا(1011ج89)</v>
      </c>
      <c r="V1955" s="1">
        <v>966200200</v>
      </c>
      <c r="W1955" s="1">
        <v>966200200</v>
      </c>
      <c r="X1955" s="1" t="str">
        <f>"1396507045"</f>
        <v>1396507045</v>
      </c>
      <c r="Y1955" s="1" t="str">
        <f>"96/05/31"</f>
        <v>96/05/31</v>
      </c>
      <c r="Z1955" s="1" t="str">
        <f>"23015/د"</f>
        <v>23015/د</v>
      </c>
      <c r="AA1955" s="1" t="str">
        <f>"بنيادمسكن انقلاب اسلامي"</f>
        <v>بنيادمسكن انقلاب اسلامي</v>
      </c>
      <c r="AB1955" s="1" t="str">
        <f>"96/05/29"</f>
        <v>96/05/29</v>
      </c>
      <c r="AC1955" s="1" t="str">
        <f>"استان سيستان بلوچستان"</f>
        <v>استان سيستان بلوچستان</v>
      </c>
      <c r="AD1955" s="1" t="str">
        <f>"96/05/31"</f>
        <v>96/05/31</v>
      </c>
      <c r="AE1955" s="1" t="str">
        <f>"اختتام"</f>
        <v>اختتام</v>
      </c>
      <c r="AF1955" s="1" t="str">
        <f>""</f>
        <v/>
      </c>
      <c r="AG1955" s="1" t="str">
        <f>""</f>
        <v/>
      </c>
      <c r="AH1955" s="1" t="str">
        <f>""</f>
        <v/>
      </c>
      <c r="AI1955" s="1" t="str">
        <f>""</f>
        <v/>
      </c>
      <c r="AJ1955" s="1" t="str">
        <f>""</f>
        <v/>
      </c>
      <c r="AK1955" s="1" t="str">
        <f>""</f>
        <v/>
      </c>
    </row>
    <row r="1956" spans="1:37">
      <c r="A1956" s="1">
        <v>103000</v>
      </c>
      <c r="B1956" s="1">
        <v>966200205</v>
      </c>
      <c r="C1956" s="1" t="str">
        <f>"تخليه - سيستان و بلوچستان-هامون-شهرمحمدآباد -کارخانه آسفالت برادران طباطبايي"</f>
        <v>تخليه - سيستان و بلوچستان-هامون-شهرمحمدآباد -کارخانه آسفالت برادران طباطبايي</v>
      </c>
      <c r="D1956" s="1">
        <v>8704</v>
      </c>
      <c r="E1956" s="1">
        <v>102480</v>
      </c>
      <c r="F1956" s="1">
        <v>96</v>
      </c>
      <c r="G1956" s="1">
        <v>520</v>
      </c>
      <c r="H1956" s="1" t="str">
        <f>"96/05/31"</f>
        <v>96/05/31</v>
      </c>
      <c r="I1956" s="1" t="str">
        <f>"كيلوگرم"</f>
        <v>كيلوگرم</v>
      </c>
      <c r="J1956" s="1" t="str">
        <f>"0000000076"</f>
        <v>0000000076</v>
      </c>
      <c r="K1956" s="1" t="str">
        <f>"قير 60/70 - فله"</f>
        <v>قير 60/70 - فله</v>
      </c>
      <c r="L1956" s="1">
        <v>100</v>
      </c>
      <c r="M1956" s="1" t="str">
        <f>"مخازن قير اصفهان"</f>
        <v>مخازن قير اصفهان</v>
      </c>
      <c r="N1956" s="1">
        <v>11360</v>
      </c>
      <c r="O1956" s="1">
        <v>50035771</v>
      </c>
      <c r="P1956" s="1" t="str">
        <f>"  پارت سازان هامون"</f>
        <v xml:space="preserve">  پارت سازان هامون</v>
      </c>
      <c r="Q1956" s="1">
        <v>62</v>
      </c>
      <c r="R1956" s="1" t="str">
        <f>"فروش داخلي - سازمان بنيادمسكن انقلاب اسلامي"</f>
        <v>فروش داخلي - سازمان بنيادمسكن انقلاب اسلامي</v>
      </c>
      <c r="S1956" s="1" t="str">
        <f>"قرارداد فروش"</f>
        <v>قرارداد فروش</v>
      </c>
      <c r="T1956" s="1" t="str">
        <f>"ندارد"</f>
        <v>ندارد</v>
      </c>
      <c r="U1956" s="1" t="str">
        <f>"قانعي محمدرضا(1011ج89)"</f>
        <v>قانعي محمدرضا(1011ج89)</v>
      </c>
      <c r="V1956" s="1">
        <v>966200205</v>
      </c>
      <c r="W1956" s="1">
        <v>966200205</v>
      </c>
      <c r="X1956" s="1" t="str">
        <f>"1396507045"</f>
        <v>1396507045</v>
      </c>
      <c r="Y1956" s="1" t="str">
        <f>"96/05/31"</f>
        <v>96/05/31</v>
      </c>
      <c r="Z1956" s="1" t="str">
        <f>"23007/د"</f>
        <v>23007/د</v>
      </c>
      <c r="AA1956" s="1" t="str">
        <f>"بنيادمسكن انقلاب اسلامي"</f>
        <v>بنيادمسكن انقلاب اسلامي</v>
      </c>
      <c r="AB1956" s="1" t="str">
        <f>"96/05/29"</f>
        <v>96/05/29</v>
      </c>
      <c r="AC1956" s="1" t="str">
        <f>"استان سيستان بلوچستان"</f>
        <v>استان سيستان بلوچستان</v>
      </c>
      <c r="AD1956" s="1" t="str">
        <f>"96/05/31"</f>
        <v>96/05/31</v>
      </c>
      <c r="AE1956" s="1" t="str">
        <f>"اختتام"</f>
        <v>اختتام</v>
      </c>
      <c r="AF1956" s="1" t="str">
        <f>""</f>
        <v/>
      </c>
      <c r="AG1956" s="1" t="str">
        <f>""</f>
        <v/>
      </c>
      <c r="AH1956" s="1" t="str">
        <f>""</f>
        <v/>
      </c>
      <c r="AI1956" s="1" t="str">
        <f>""</f>
        <v/>
      </c>
      <c r="AJ1956" s="1" t="str">
        <f>""</f>
        <v/>
      </c>
      <c r="AK1956" s="1" t="str">
        <f>""</f>
        <v/>
      </c>
    </row>
    <row r="1957" spans="1:37">
      <c r="A1957" s="1">
        <v>94000</v>
      </c>
      <c r="B1957" s="1">
        <v>966200206</v>
      </c>
      <c r="C1957" s="1" t="str">
        <f>"تخليه - سيستان و بلوچستان-هامون-شهرمحمدآباد -کارخانه آسفالت برادران طباطبايي"</f>
        <v>تخليه - سيستان و بلوچستان-هامون-شهرمحمدآباد -کارخانه آسفالت برادران طباطبايي</v>
      </c>
      <c r="D1957" s="1">
        <v>8704</v>
      </c>
      <c r="E1957" s="1">
        <v>93640</v>
      </c>
      <c r="F1957" s="1">
        <v>96</v>
      </c>
      <c r="G1957" s="1">
        <v>360</v>
      </c>
      <c r="H1957" s="1" t="str">
        <f>"96/05/31"</f>
        <v>96/05/31</v>
      </c>
      <c r="I1957" s="1" t="str">
        <f>"كيلوگرم"</f>
        <v>كيلوگرم</v>
      </c>
      <c r="J1957" s="1" t="str">
        <f>"0000000076"</f>
        <v>0000000076</v>
      </c>
      <c r="K1957" s="1" t="str">
        <f>"قير 60/70 - فله"</f>
        <v>قير 60/70 - فله</v>
      </c>
      <c r="L1957" s="1">
        <v>100</v>
      </c>
      <c r="M1957" s="1" t="str">
        <f>"مخازن قير اصفهان"</f>
        <v>مخازن قير اصفهان</v>
      </c>
      <c r="N1957" s="1">
        <v>11360</v>
      </c>
      <c r="O1957" s="1">
        <v>50035772</v>
      </c>
      <c r="P1957" s="1" t="str">
        <f>"  پارت سازان هامون"</f>
        <v xml:space="preserve">  پارت سازان هامون</v>
      </c>
      <c r="Q1957" s="1">
        <v>62</v>
      </c>
      <c r="R1957" s="1" t="str">
        <f>"فروش داخلي - سازمان بنيادمسكن انقلاب اسلامي"</f>
        <v>فروش داخلي - سازمان بنيادمسكن انقلاب اسلامي</v>
      </c>
      <c r="S1957" s="1" t="str">
        <f>"قرارداد فروش"</f>
        <v>قرارداد فروش</v>
      </c>
      <c r="T1957" s="1" t="str">
        <f>"ندارد"</f>
        <v>ندارد</v>
      </c>
      <c r="U1957" s="1" t="str">
        <f>"قانعي محمدرضا(1011ج89)"</f>
        <v>قانعي محمدرضا(1011ج89)</v>
      </c>
      <c r="V1957" s="1">
        <v>966200206</v>
      </c>
      <c r="W1957" s="1">
        <v>966200206</v>
      </c>
      <c r="X1957" s="1" t="str">
        <f>"1396507045"</f>
        <v>1396507045</v>
      </c>
      <c r="Y1957" s="1" t="str">
        <f>"96/05/31"</f>
        <v>96/05/31</v>
      </c>
      <c r="Z1957" s="1" t="str">
        <f>"23014/د"</f>
        <v>23014/د</v>
      </c>
      <c r="AA1957" s="1" t="str">
        <f>"بنيادمسكن انقلاب اسلامي"</f>
        <v>بنيادمسكن انقلاب اسلامي</v>
      </c>
      <c r="AB1957" s="1" t="str">
        <f>"96/05/29"</f>
        <v>96/05/29</v>
      </c>
      <c r="AC1957" s="1" t="str">
        <f>"استان سيستان بلوچستان"</f>
        <v>استان سيستان بلوچستان</v>
      </c>
      <c r="AD1957" s="1" t="str">
        <f>"96/05/31"</f>
        <v>96/05/31</v>
      </c>
      <c r="AE1957" s="1" t="str">
        <f>"اختتام"</f>
        <v>اختتام</v>
      </c>
      <c r="AF1957" s="1" t="str">
        <f>""</f>
        <v/>
      </c>
      <c r="AG1957" s="1" t="str">
        <f>""</f>
        <v/>
      </c>
      <c r="AH1957" s="1" t="str">
        <f>""</f>
        <v/>
      </c>
      <c r="AI1957" s="1" t="str">
        <f>""</f>
        <v/>
      </c>
      <c r="AJ1957" s="1" t="str">
        <f>""</f>
        <v/>
      </c>
      <c r="AK1957" s="1" t="str">
        <f>""</f>
        <v/>
      </c>
    </row>
    <row r="1958" spans="1:37">
      <c r="A1958" s="1">
        <v>194000</v>
      </c>
      <c r="B1958" s="1">
        <v>966200318</v>
      </c>
      <c r="C1958" s="1" t="str">
        <f>"تخليه - سيستان و بلوچستان-هامون-شهرمحمدآباد -کارخانه آسفالت برادران طباطبايي"</f>
        <v>تخليه - سيستان و بلوچستان-هامون-شهرمحمدآباد -کارخانه آسفالت برادران طباطبايي</v>
      </c>
      <c r="D1958" s="1">
        <v>9113</v>
      </c>
      <c r="E1958" s="1">
        <v>194000</v>
      </c>
      <c r="F1958" s="1">
        <v>96</v>
      </c>
      <c r="G1958" s="1">
        <v>0</v>
      </c>
      <c r="H1958" s="1" t="str">
        <f>"96/07/24"</f>
        <v>96/07/24</v>
      </c>
      <c r="I1958" s="1" t="str">
        <f>"كيلوگرم"</f>
        <v>كيلوگرم</v>
      </c>
      <c r="J1958" s="1" t="str">
        <f>"0000000076"</f>
        <v>0000000076</v>
      </c>
      <c r="K1958" s="1" t="str">
        <f>"قير 60/70 - فله"</f>
        <v>قير 60/70 - فله</v>
      </c>
      <c r="L1958" s="1">
        <v>100</v>
      </c>
      <c r="M1958" s="1" t="str">
        <f>"مخازن قير اصفهان"</f>
        <v>مخازن قير اصفهان</v>
      </c>
      <c r="N1958" s="1">
        <v>11360</v>
      </c>
      <c r="O1958" s="1">
        <v>50036748</v>
      </c>
      <c r="P1958" s="1" t="str">
        <f>"  پارت سازان هامون"</f>
        <v xml:space="preserve">  پارت سازان هامون</v>
      </c>
      <c r="Q1958" s="1">
        <v>62</v>
      </c>
      <c r="R1958" s="1" t="str">
        <f>"فروش داخلي - سازمان بنيادمسكن انقلاب اسلامي"</f>
        <v>فروش داخلي - سازمان بنيادمسكن انقلاب اسلامي</v>
      </c>
      <c r="S1958" s="1" t="str">
        <f>"قرارداد فروش"</f>
        <v>قرارداد فروش</v>
      </c>
      <c r="T1958" s="1" t="str">
        <f>"ندارد"</f>
        <v>ندارد</v>
      </c>
      <c r="U1958" s="1" t="str">
        <f>"قانعي محمدرضا(1011ج89)"</f>
        <v>قانعي محمدرضا(1011ج89)</v>
      </c>
      <c r="V1958" s="1">
        <v>966200318</v>
      </c>
      <c r="W1958" s="1">
        <v>966200318</v>
      </c>
      <c r="X1958" s="1" t="str">
        <f>"1396518902"</f>
        <v>1396518902</v>
      </c>
      <c r="Y1958" s="1" t="str">
        <f>"96/07/24"</f>
        <v>96/07/24</v>
      </c>
      <c r="Z1958" s="1" t="str">
        <f>"32926/د"</f>
        <v>32926/د</v>
      </c>
      <c r="AA1958" s="1" t="str">
        <f>"بنيادمسكن انقلاب اسلامي"</f>
        <v>بنيادمسكن انقلاب اسلامي</v>
      </c>
      <c r="AB1958" s="1" t="str">
        <f>"96/07/24"</f>
        <v>96/07/24</v>
      </c>
      <c r="AC1958" s="1" t="str">
        <f>"استان سيستان بلوچستان"</f>
        <v>استان سيستان بلوچستان</v>
      </c>
      <c r="AD1958" s="1" t="str">
        <f>"96/07/24"</f>
        <v>96/07/24</v>
      </c>
      <c r="AE1958" s="1" t="str">
        <f>"اختتام"</f>
        <v>اختتام</v>
      </c>
      <c r="AF1958" s="1" t="str">
        <f>""</f>
        <v/>
      </c>
      <c r="AG1958" s="1" t="str">
        <f>""</f>
        <v/>
      </c>
      <c r="AH1958" s="1" t="str">
        <f>""</f>
        <v/>
      </c>
      <c r="AI1958" s="1" t="str">
        <f>""</f>
        <v/>
      </c>
      <c r="AJ1958" s="1" t="str">
        <f>""</f>
        <v/>
      </c>
      <c r="AK1958" s="1" t="str">
        <f>""</f>
        <v/>
      </c>
    </row>
    <row r="1959" spans="1:37">
      <c r="A1959" s="1">
        <v>280000</v>
      </c>
      <c r="B1959" s="1">
        <v>966200352</v>
      </c>
      <c r="C1959" s="1" t="str">
        <f>"تخليه سيتان وبلوچستان چابهارروستاي كمبل سليمان"</f>
        <v>تخليه سيتان وبلوچستان چابهارروستاي كمبل سليمان</v>
      </c>
      <c r="D1959" s="1">
        <v>9113</v>
      </c>
      <c r="E1959" s="1">
        <v>278700</v>
      </c>
      <c r="F1959" s="1">
        <v>96</v>
      </c>
      <c r="G1959" s="1">
        <v>1300</v>
      </c>
      <c r="H1959" s="1" t="str">
        <f>"96/07/29"</f>
        <v>96/07/29</v>
      </c>
      <c r="I1959" s="1" t="str">
        <f>"كيلوگرم"</f>
        <v>كيلوگرم</v>
      </c>
      <c r="J1959" s="1" t="str">
        <f>"0000000076"</f>
        <v>0000000076</v>
      </c>
      <c r="K1959" s="1" t="str">
        <f>"قير 60/70 - فله"</f>
        <v>قير 60/70 - فله</v>
      </c>
      <c r="L1959" s="1">
        <v>100</v>
      </c>
      <c r="M1959" s="1" t="str">
        <f>"مخازن قير اصفهان"</f>
        <v>مخازن قير اصفهان</v>
      </c>
      <c r="N1959" s="1">
        <v>11361</v>
      </c>
      <c r="O1959" s="1">
        <v>50036850</v>
      </c>
      <c r="P1959" s="1" t="str">
        <f>"  سانلي سازه جنوب"</f>
        <v xml:space="preserve">  سانلي سازه جنوب</v>
      </c>
      <c r="Q1959" s="1">
        <v>62</v>
      </c>
      <c r="R1959" s="1" t="str">
        <f>"فروش داخلي - سازمان بنيادمسكن انقلاب اسلامي"</f>
        <v>فروش داخلي - سازمان بنيادمسكن انقلاب اسلامي</v>
      </c>
      <c r="S1959" s="1" t="str">
        <f>"قرارداد فروش"</f>
        <v>قرارداد فروش</v>
      </c>
      <c r="T1959" s="1" t="str">
        <f>"ندارد"</f>
        <v>ندارد</v>
      </c>
      <c r="U1959" s="1" t="str">
        <f>"بلوچ پاسارگاد(5965002)"</f>
        <v>بلوچ پاسارگاد(5965002)</v>
      </c>
      <c r="V1959" s="1">
        <v>966200352</v>
      </c>
      <c r="W1959" s="1">
        <v>966200352</v>
      </c>
      <c r="X1959" s="1" t="str">
        <f>"1396520117"</f>
        <v>1396520117</v>
      </c>
      <c r="Y1959" s="1" t="str">
        <f>"96/07/29"</f>
        <v>96/07/29</v>
      </c>
      <c r="Z1959" s="1" t="str">
        <f>"33243/د"</f>
        <v>33243/د</v>
      </c>
      <c r="AA1959" s="1" t="str">
        <f>"بنيادمسكن انقلاب اسلامي"</f>
        <v>بنيادمسكن انقلاب اسلامي</v>
      </c>
      <c r="AB1959" s="1" t="str">
        <f>"96/07/25"</f>
        <v>96/07/25</v>
      </c>
      <c r="AC1959" s="1" t="str">
        <f>"استان سيستان بلوچستان"</f>
        <v>استان سيستان بلوچستان</v>
      </c>
      <c r="AD1959" s="1" t="str">
        <f>"96/07/29"</f>
        <v>96/07/29</v>
      </c>
      <c r="AE1959" s="1" t="str">
        <f>"اختتام"</f>
        <v>اختتام</v>
      </c>
      <c r="AF1959" s="1" t="str">
        <f>""</f>
        <v/>
      </c>
      <c r="AG1959" s="1" t="str">
        <f>""</f>
        <v/>
      </c>
      <c r="AH1959" s="1" t="str">
        <f>""</f>
        <v/>
      </c>
      <c r="AI1959" s="1" t="str">
        <f>""</f>
        <v/>
      </c>
      <c r="AJ1959" s="1" t="str">
        <f>""</f>
        <v/>
      </c>
      <c r="AK1959" s="1" t="str">
        <f>""</f>
        <v/>
      </c>
    </row>
    <row r="1960" spans="1:37">
      <c r="A1960" s="1">
        <v>155000</v>
      </c>
      <c r="B1960" s="1">
        <v>966200656</v>
      </c>
      <c r="C1960" s="1" t="str">
        <f>"تخليه - لرستان-ويسيان-کيلومتر5 جاده خوزستان"</f>
        <v>تخليه - لرستان-ويسيان-کيلومتر5 جاده خوزستان</v>
      </c>
      <c r="D1960" s="1">
        <v>13350</v>
      </c>
      <c r="E1960" s="1">
        <v>154400</v>
      </c>
      <c r="F1960" s="1">
        <v>96</v>
      </c>
      <c r="G1960" s="1">
        <v>600</v>
      </c>
      <c r="H1960" s="1" t="str">
        <f>"96/12/15"</f>
        <v>96/12/15</v>
      </c>
      <c r="I1960" s="1" t="str">
        <f>"كيلوگرم"</f>
        <v>كيلوگرم</v>
      </c>
      <c r="J1960" s="1" t="str">
        <f>"0000000076"</f>
        <v>0000000076</v>
      </c>
      <c r="K1960" s="1" t="str">
        <f>"قير 60/70 - فله"</f>
        <v>قير 60/70 - فله</v>
      </c>
      <c r="L1960" s="1">
        <v>100</v>
      </c>
      <c r="M1960" s="1" t="str">
        <f>"مخازن قير اصفهان"</f>
        <v>مخازن قير اصفهان</v>
      </c>
      <c r="N1960" s="1">
        <v>11363</v>
      </c>
      <c r="O1960" s="1">
        <v>50038784</v>
      </c>
      <c r="P1960" s="1" t="str">
        <f>"  شاهين راه غرب"</f>
        <v xml:space="preserve">  شاهين راه غرب</v>
      </c>
      <c r="Q1960" s="1">
        <v>62</v>
      </c>
      <c r="R1960" s="1" t="str">
        <f>"فروش داخلي - سازمان بنيادمسكن انقلاب اسلامي"</f>
        <v>فروش داخلي - سازمان بنيادمسكن انقلاب اسلامي</v>
      </c>
      <c r="S1960" s="1" t="str">
        <f>"قرارداد فروش"</f>
        <v>قرارداد فروش</v>
      </c>
      <c r="T1960" s="1" t="str">
        <f>"ندارد"</f>
        <v>ندارد</v>
      </c>
      <c r="U1960" s="1" t="str">
        <f>"عظيمي محمد(2842015)"</f>
        <v>عظيمي محمد(2842015)</v>
      </c>
      <c r="V1960" s="1">
        <v>966200656</v>
      </c>
      <c r="W1960" s="1">
        <v>966200656</v>
      </c>
      <c r="X1960" s="1" t="str">
        <f>"1396552658"</f>
        <v>1396552658</v>
      </c>
      <c r="Y1960" s="1" t="str">
        <f>"96/12/15"</f>
        <v>96/12/15</v>
      </c>
      <c r="Z1960" s="1" t="str">
        <f>"57116/د"</f>
        <v>57116/د</v>
      </c>
      <c r="AA1960" s="1" t="str">
        <f>"بنيادمسكن انقلاب اسلامي"</f>
        <v>بنيادمسكن انقلاب اسلامي</v>
      </c>
      <c r="AB1960" s="1" t="str">
        <f>"96/12/15"</f>
        <v>96/12/15</v>
      </c>
      <c r="AC1960" s="1" t="str">
        <f>"لرستان"</f>
        <v>لرستان</v>
      </c>
      <c r="AD1960" s="1" t="str">
        <f>"96/12/15"</f>
        <v>96/12/15</v>
      </c>
      <c r="AE1960" s="1" t="str">
        <f>"اختتام"</f>
        <v>اختتام</v>
      </c>
      <c r="AF1960" s="1" t="str">
        <f>""</f>
        <v/>
      </c>
      <c r="AG1960" s="1" t="str">
        <f>""</f>
        <v/>
      </c>
      <c r="AH1960" s="1" t="str">
        <f>""</f>
        <v/>
      </c>
      <c r="AI1960" s="1" t="str">
        <f>""</f>
        <v/>
      </c>
      <c r="AJ1960" s="1" t="str">
        <f>""</f>
        <v/>
      </c>
      <c r="AK1960" s="1" t="str">
        <f>""</f>
        <v/>
      </c>
    </row>
    <row r="1961" spans="1:37">
      <c r="A1961" s="1">
        <v>147000</v>
      </c>
      <c r="B1961" s="1">
        <v>966200324</v>
      </c>
      <c r="C1961" s="1" t="str">
        <f>"تخليه - لرستان-جاده بروجرد-دورود-کارخانه قند لرستان -کارخانه آقاي ياراحمدي شرکت اپال سان صنعت"</f>
        <v>تخليه - لرستان-جاده بروجرد-دورود-کارخانه قند لرستان -کارخانه آقاي ياراحمدي شرکت اپال سان صنعت</v>
      </c>
      <c r="D1961" s="1">
        <v>9113</v>
      </c>
      <c r="E1961" s="1">
        <v>144660</v>
      </c>
      <c r="F1961" s="1">
        <v>96</v>
      </c>
      <c r="G1961" s="1">
        <v>2340</v>
      </c>
      <c r="H1961" s="1" t="str">
        <f>"96/07/24"</f>
        <v>96/07/24</v>
      </c>
      <c r="I1961" s="1" t="str">
        <f>"كيلوگرم"</f>
        <v>كيلوگرم</v>
      </c>
      <c r="J1961" s="1" t="str">
        <f>"0000000076"</f>
        <v>0000000076</v>
      </c>
      <c r="K1961" s="1" t="str">
        <f>"قير 60/70 - فله"</f>
        <v>قير 60/70 - فله</v>
      </c>
      <c r="L1961" s="1">
        <v>100</v>
      </c>
      <c r="M1961" s="1" t="str">
        <f>"مخازن قير اصفهان"</f>
        <v>مخازن قير اصفهان</v>
      </c>
      <c r="N1961" s="1">
        <v>11364</v>
      </c>
      <c r="O1961" s="1">
        <v>50036754</v>
      </c>
      <c r="P1961" s="1" t="str">
        <f>"  اپال سان صنعت"</f>
        <v xml:space="preserve">  اپال سان صنعت</v>
      </c>
      <c r="Q1961" s="1">
        <v>62</v>
      </c>
      <c r="R1961" s="1" t="str">
        <f>"فروش داخلي - سازمان بنيادمسكن انقلاب اسلامي"</f>
        <v>فروش داخلي - سازمان بنيادمسكن انقلاب اسلامي</v>
      </c>
      <c r="S1961" s="1" t="str">
        <f>"قرارداد فروش"</f>
        <v>قرارداد فروش</v>
      </c>
      <c r="T1961" s="1" t="str">
        <f>"ندارد"</f>
        <v>ندارد</v>
      </c>
      <c r="U1961" s="1" t="str">
        <f>"رضائي كلهر حسن (1901099)"</f>
        <v>رضائي كلهر حسن (1901099)</v>
      </c>
      <c r="V1961" s="1">
        <v>966200324</v>
      </c>
      <c r="W1961" s="1">
        <v>966200324</v>
      </c>
      <c r="X1961" s="1" t="str">
        <f>"1396518902"</f>
        <v>1396518902</v>
      </c>
      <c r="Y1961" s="1" t="str">
        <f>"96/07/24"</f>
        <v>96/07/24</v>
      </c>
      <c r="Z1961" s="1" t="str">
        <f>"32912/د"</f>
        <v>32912/د</v>
      </c>
      <c r="AA1961" s="1" t="str">
        <f>"بنيادمسكن انقلاب اسلامي"</f>
        <v>بنيادمسكن انقلاب اسلامي</v>
      </c>
      <c r="AB1961" s="1" t="str">
        <f>"96/07/24"</f>
        <v>96/07/24</v>
      </c>
      <c r="AC1961" s="1" t="str">
        <f>"لرستان"</f>
        <v>لرستان</v>
      </c>
      <c r="AD1961" s="1" t="str">
        <f>"96/07/24"</f>
        <v>96/07/24</v>
      </c>
      <c r="AE1961" s="1" t="str">
        <f>"اختتام"</f>
        <v>اختتام</v>
      </c>
      <c r="AF1961" s="1" t="str">
        <f>""</f>
        <v/>
      </c>
      <c r="AG1961" s="1" t="str">
        <f>""</f>
        <v/>
      </c>
      <c r="AH1961" s="1" t="str">
        <f>""</f>
        <v/>
      </c>
      <c r="AI1961" s="1" t="str">
        <f>""</f>
        <v/>
      </c>
      <c r="AJ1961" s="1" t="str">
        <f>""</f>
        <v/>
      </c>
      <c r="AK1961" s="1" t="str">
        <f>""</f>
        <v/>
      </c>
    </row>
    <row r="1962" spans="1:37">
      <c r="A1962" s="1">
        <v>333000</v>
      </c>
      <c r="B1962" s="1">
        <v>966200179</v>
      </c>
      <c r="C1962" s="1" t="str">
        <f>"تخليه - مازندران-نکا-کيلومتر3جاده بهشهر-روستاي چاله پل-کارخانه آسفالت سليم بهرامي"</f>
        <v>تخليه - مازندران-نکا-کيلومتر3جاده بهشهر-روستاي چاله پل-کارخانه آسفالت سليم بهرامي</v>
      </c>
      <c r="D1962" s="1">
        <v>8704</v>
      </c>
      <c r="E1962" s="1">
        <v>333000</v>
      </c>
      <c r="F1962" s="1">
        <v>96</v>
      </c>
      <c r="G1962" s="1">
        <v>0</v>
      </c>
      <c r="H1962" s="1" t="str">
        <f>"96/05/15"</f>
        <v>96/05/15</v>
      </c>
      <c r="I1962" s="1" t="str">
        <f>"كيلوگرم"</f>
        <v>كيلوگرم</v>
      </c>
      <c r="J1962" s="1" t="str">
        <f>"0000000076"</f>
        <v>0000000076</v>
      </c>
      <c r="K1962" s="1" t="str">
        <f>"قير 60/70 - فله"</f>
        <v>قير 60/70 - فله</v>
      </c>
      <c r="L1962" s="1">
        <v>100</v>
      </c>
      <c r="M1962" s="1" t="str">
        <f>"مخازن قير اصفهان"</f>
        <v>مخازن قير اصفهان</v>
      </c>
      <c r="N1962" s="1">
        <v>11366</v>
      </c>
      <c r="O1962" s="1">
        <v>50035535</v>
      </c>
      <c r="P1962" s="1" t="str">
        <f>"  بنيان سازان مهرايرانيان"</f>
        <v xml:space="preserve">  بنيان سازان مهرايرانيان</v>
      </c>
      <c r="Q1962" s="1">
        <v>62</v>
      </c>
      <c r="R1962" s="1" t="str">
        <f>"فروش داخلي - سازمان بنيادمسكن انقلاب اسلامي"</f>
        <v>فروش داخلي - سازمان بنيادمسكن انقلاب اسلامي</v>
      </c>
      <c r="S1962" s="1" t="str">
        <f>"قرارداد فروش"</f>
        <v>قرارداد فروش</v>
      </c>
      <c r="T1962" s="1" t="str">
        <f>"ندارد"</f>
        <v>ندارد</v>
      </c>
      <c r="U1962" s="1" t="str">
        <f>"نظام دوست امين (1911102)"</f>
        <v>نظام دوست امين (1911102)</v>
      </c>
      <c r="V1962" s="1">
        <v>966200179</v>
      </c>
      <c r="W1962" s="1">
        <v>966200179</v>
      </c>
      <c r="X1962" s="1" t="str">
        <f>"1396502842"</f>
        <v>1396502842</v>
      </c>
      <c r="Y1962" s="1" t="str">
        <f>"96/05/15"</f>
        <v>96/05/15</v>
      </c>
      <c r="Z1962" s="1" t="str">
        <f>"19683/د"</f>
        <v>19683/د</v>
      </c>
      <c r="AA1962" s="1" t="str">
        <f>"بنيادمسكن انقلاب اسلامي"</f>
        <v>بنيادمسكن انقلاب اسلامي</v>
      </c>
      <c r="AB1962" s="1" t="str">
        <f>"96/05/11"</f>
        <v>96/05/11</v>
      </c>
      <c r="AC1962" s="1" t="str">
        <f>"استان مازندران"</f>
        <v>استان مازندران</v>
      </c>
      <c r="AD1962" s="1" t="str">
        <f>"96/05/15"</f>
        <v>96/05/15</v>
      </c>
      <c r="AE1962" s="1" t="str">
        <f>"اختتام"</f>
        <v>اختتام</v>
      </c>
      <c r="AF1962" s="1" t="str">
        <f>""</f>
        <v/>
      </c>
      <c r="AG1962" s="1" t="str">
        <f>""</f>
        <v/>
      </c>
      <c r="AH1962" s="1" t="str">
        <f>""</f>
        <v/>
      </c>
      <c r="AI1962" s="1" t="str">
        <f>""</f>
        <v/>
      </c>
      <c r="AJ1962" s="1" t="str">
        <f>""</f>
        <v/>
      </c>
      <c r="AK1962" s="1" t="str">
        <f>""</f>
        <v/>
      </c>
    </row>
    <row r="1963" spans="1:37">
      <c r="A1963" s="1">
        <v>161000</v>
      </c>
      <c r="B1963" s="1">
        <v>966200146</v>
      </c>
      <c r="C1963" s="1" t="str">
        <f>"تخليه-خراسان شمالي-پروژه جوشقان و پشت بام به کيلومتر 7 محور چمن بيد-جاده شوقان-کارخانه آسفالت ريل گستر"</f>
        <v>تخليه-خراسان شمالي-پروژه جوشقان و پشت بام به کيلومتر 7 محور چمن بيد-جاده شوقان-کارخانه آسفالت ريل گستر</v>
      </c>
      <c r="D1963" s="1">
        <v>8704</v>
      </c>
      <c r="E1963" s="1">
        <v>159740</v>
      </c>
      <c r="F1963" s="1">
        <v>96</v>
      </c>
      <c r="G1963" s="1">
        <v>1260</v>
      </c>
      <c r="H1963" s="1" t="str">
        <f>"96/04/31"</f>
        <v>96/04/31</v>
      </c>
      <c r="I1963" s="1" t="str">
        <f>"كيلوگرم"</f>
        <v>كيلوگرم</v>
      </c>
      <c r="J1963" s="1" t="str">
        <f>"0000000076"</f>
        <v>0000000076</v>
      </c>
      <c r="K1963" s="1" t="str">
        <f>"قير 60/70 - فله"</f>
        <v>قير 60/70 - فله</v>
      </c>
      <c r="L1963" s="1">
        <v>100</v>
      </c>
      <c r="M1963" s="1" t="str">
        <f>"مخازن قير اصفهان"</f>
        <v>مخازن قير اصفهان</v>
      </c>
      <c r="N1963" s="1">
        <v>11376</v>
      </c>
      <c r="O1963" s="1">
        <v>50035291</v>
      </c>
      <c r="P1963" s="1" t="str">
        <f>"  نوين بنا سازان زيبا نگاره آراد"</f>
        <v xml:space="preserve">  نوين بنا سازان زيبا نگاره آراد</v>
      </c>
      <c r="Q1963" s="1">
        <v>62</v>
      </c>
      <c r="R1963" s="1" t="str">
        <f>"فروش داخلي - سازمان بنيادمسكن انقلاب اسلامي"</f>
        <v>فروش داخلي - سازمان بنيادمسكن انقلاب اسلامي</v>
      </c>
      <c r="S1963" s="1" t="str">
        <f>"قرارداد فروش"</f>
        <v>قرارداد فروش</v>
      </c>
      <c r="T1963" s="1" t="str">
        <f>"ندارد"</f>
        <v>ندارد</v>
      </c>
      <c r="U1963" s="1" t="str">
        <f>"نظام دوست امين (1911102)"</f>
        <v>نظام دوست امين (1911102)</v>
      </c>
      <c r="V1963" s="1">
        <v>966200146</v>
      </c>
      <c r="W1963" s="1">
        <v>966200146</v>
      </c>
      <c r="X1963" s="1" t="str">
        <f>"1396498686"</f>
        <v>1396498686</v>
      </c>
      <c r="Y1963" s="1" t="str">
        <f>"96/04/31"</f>
        <v>96/04/31</v>
      </c>
      <c r="Z1963" s="1" t="str">
        <f>"16903/د"</f>
        <v>16903/د</v>
      </c>
      <c r="AA1963" s="1" t="str">
        <f>"بنيادمسكن انقلاب اسلامي"</f>
        <v>بنيادمسكن انقلاب اسلامي</v>
      </c>
      <c r="AB1963" s="1" t="str">
        <f>"96/04/26"</f>
        <v>96/04/26</v>
      </c>
      <c r="AC1963" s="1" t="str">
        <f>"خراسان شمالي"</f>
        <v>خراسان شمالي</v>
      </c>
      <c r="AD1963" s="1" t="str">
        <f>"96/04/31"</f>
        <v>96/04/31</v>
      </c>
      <c r="AE1963" s="1" t="str">
        <f>"اختتام"</f>
        <v>اختتام</v>
      </c>
      <c r="AF1963" s="1" t="str">
        <f>""</f>
        <v/>
      </c>
      <c r="AG1963" s="1" t="str">
        <f>""</f>
        <v/>
      </c>
      <c r="AH1963" s="1" t="str">
        <f>""</f>
        <v/>
      </c>
      <c r="AI1963" s="1" t="str">
        <f>""</f>
        <v/>
      </c>
      <c r="AJ1963" s="1" t="str">
        <f>""</f>
        <v/>
      </c>
      <c r="AK1963" s="1" t="str">
        <f>""</f>
        <v/>
      </c>
    </row>
    <row r="1964" spans="1:37">
      <c r="A1964" s="1">
        <v>83000</v>
      </c>
      <c r="B1964" s="1">
        <v>966200400</v>
      </c>
      <c r="C1964" s="1" t="str">
        <f>"تخليه - خراسان رضوي-مشهد-کيلومتر10جاده سرخس-نرسيده به روستاي تنگل شور-بعداز پل"</f>
        <v>تخليه - خراسان رضوي-مشهد-کيلومتر10جاده سرخس-نرسيده به روستاي تنگل شور-بعداز پل</v>
      </c>
      <c r="D1964" s="1">
        <v>12820</v>
      </c>
      <c r="E1964" s="1">
        <v>82300</v>
      </c>
      <c r="F1964" s="1">
        <v>96</v>
      </c>
      <c r="G1964" s="1">
        <v>700</v>
      </c>
      <c r="H1964" s="1" t="str">
        <f>"96/09/08"</f>
        <v>96/09/08</v>
      </c>
      <c r="I1964" s="1" t="str">
        <f>"كيلوگرم"</f>
        <v>كيلوگرم</v>
      </c>
      <c r="J1964" s="1" t="str">
        <f>"0000000076"</f>
        <v>0000000076</v>
      </c>
      <c r="K1964" s="1" t="str">
        <f>"قير 60/70 - فله"</f>
        <v>قير 60/70 - فله</v>
      </c>
      <c r="L1964" s="1">
        <v>100</v>
      </c>
      <c r="M1964" s="1" t="str">
        <f>"مخازن قير اصفهان"</f>
        <v>مخازن قير اصفهان</v>
      </c>
      <c r="N1964" s="1">
        <v>11394</v>
      </c>
      <c r="O1964" s="1">
        <v>50037364</v>
      </c>
      <c r="P1964" s="1" t="str">
        <f>"  آريا راه کاو پارس"</f>
        <v xml:space="preserve">  آريا راه کاو پارس</v>
      </c>
      <c r="Q1964" s="1">
        <v>62</v>
      </c>
      <c r="R1964" s="1" t="str">
        <f>"فروش داخلي - سازمان بنيادمسكن انقلاب اسلامي"</f>
        <v>فروش داخلي - سازمان بنيادمسكن انقلاب اسلامي</v>
      </c>
      <c r="S1964" s="1" t="str">
        <f>"قرارداد فروش"</f>
        <v>قرارداد فروش</v>
      </c>
      <c r="T1964" s="1" t="str">
        <f>"ندارد"</f>
        <v>ندارد</v>
      </c>
      <c r="U1964" s="1" t="str">
        <f>"حسيني سيدجواد(1841076)"</f>
        <v>حسيني سيدجواد(1841076)</v>
      </c>
      <c r="V1964" s="1">
        <v>966200400</v>
      </c>
      <c r="W1964" s="1">
        <v>966200400</v>
      </c>
      <c r="X1964" s="1" t="str">
        <f>"1396529172"</f>
        <v>1396529172</v>
      </c>
      <c r="Y1964" s="1" t="str">
        <f>"96/09/08"</f>
        <v>96/09/08</v>
      </c>
      <c r="Z1964" s="1" t="str">
        <f>"38788/د"</f>
        <v>38788/د</v>
      </c>
      <c r="AA1964" s="1" t="str">
        <f>"بنيادمسكن انقلاب اسلامي"</f>
        <v>بنيادمسكن انقلاب اسلامي</v>
      </c>
      <c r="AB1964" s="1" t="str">
        <f>"96/09/01"</f>
        <v>96/09/01</v>
      </c>
      <c r="AC1964" s="1" t="str">
        <f>"خراسان رضوي"</f>
        <v>خراسان رضوي</v>
      </c>
      <c r="AD1964" s="1" t="str">
        <f>"96/09/08"</f>
        <v>96/09/08</v>
      </c>
      <c r="AE1964" s="1" t="str">
        <f>"اختتام"</f>
        <v>اختتام</v>
      </c>
      <c r="AF1964" s="1" t="str">
        <f>""</f>
        <v/>
      </c>
      <c r="AG1964" s="1" t="str">
        <f>""</f>
        <v/>
      </c>
      <c r="AH1964" s="1" t="str">
        <f>""</f>
        <v/>
      </c>
      <c r="AI1964" s="1" t="str">
        <f>""</f>
        <v/>
      </c>
      <c r="AJ1964" s="1" t="str">
        <f>""</f>
        <v/>
      </c>
      <c r="AK1964" s="1" t="str">
        <f>""</f>
        <v/>
      </c>
    </row>
    <row r="1965" spans="1:37">
      <c r="A1965" s="1">
        <v>130000</v>
      </c>
      <c r="B1965" s="1">
        <v>966200242</v>
      </c>
      <c r="C1965" s="1" t="str">
        <f>"تخليه - خراسان رضوي-نيشابور-شهرفيروزه-کيلومتر 12 جاده قوچان-کارخانه دل حفره نيشابور"</f>
        <v>تخليه - خراسان رضوي-نيشابور-شهرفيروزه-کيلومتر 12 جاده قوچان-کارخانه دل حفره نيشابور</v>
      </c>
      <c r="D1965" s="1">
        <v>8954</v>
      </c>
      <c r="E1965" s="1">
        <v>129320</v>
      </c>
      <c r="F1965" s="1">
        <v>96</v>
      </c>
      <c r="G1965" s="1">
        <v>680</v>
      </c>
      <c r="H1965" s="1" t="str">
        <f>"96/06/21"</f>
        <v>96/06/21</v>
      </c>
      <c r="I1965" s="1" t="str">
        <f>"كيلوگرم"</f>
        <v>كيلوگرم</v>
      </c>
      <c r="J1965" s="1" t="str">
        <f>"0000000076"</f>
        <v>0000000076</v>
      </c>
      <c r="K1965" s="1" t="str">
        <f>"قير 60/70 - فله"</f>
        <v>قير 60/70 - فله</v>
      </c>
      <c r="L1965" s="1">
        <v>100</v>
      </c>
      <c r="M1965" s="1" t="str">
        <f>"مخازن قير اصفهان"</f>
        <v>مخازن قير اصفهان</v>
      </c>
      <c r="N1965" s="1">
        <v>11405</v>
      </c>
      <c r="O1965" s="1">
        <v>50036001</v>
      </c>
      <c r="P1965" s="1" t="str">
        <f>"  شرق بتن عمران بنا"</f>
        <v xml:space="preserve">  شرق بتن عمران بنا</v>
      </c>
      <c r="Q1965" s="1">
        <v>62</v>
      </c>
      <c r="R1965" s="1" t="str">
        <f>"فروش داخلي - سازمان بنيادمسكن انقلاب اسلامي"</f>
        <v>فروش داخلي - سازمان بنيادمسكن انقلاب اسلامي</v>
      </c>
      <c r="S1965" s="1" t="str">
        <f>"قرارداد فروش"</f>
        <v>قرارداد فروش</v>
      </c>
      <c r="T1965" s="1" t="str">
        <f>"ندارد"</f>
        <v>ندارد</v>
      </c>
      <c r="U1965" s="1" t="str">
        <f>"حسيني سيدجواد(1841076)"</f>
        <v>حسيني سيدجواد(1841076)</v>
      </c>
      <c r="V1965" s="1">
        <v>966200242</v>
      </c>
      <c r="W1965" s="1">
        <v>966200242</v>
      </c>
      <c r="X1965" s="1" t="str">
        <f>"1396511620"</f>
        <v>1396511620</v>
      </c>
      <c r="Y1965" s="1" t="str">
        <f>"96/06/21"</f>
        <v>96/06/21</v>
      </c>
      <c r="Z1965" s="1" t="str">
        <f>"26738/د"</f>
        <v>26738/د</v>
      </c>
      <c r="AA1965" s="1" t="str">
        <f>"بنيادمسكن انقلاب اسلامي"</f>
        <v>بنيادمسكن انقلاب اسلامي</v>
      </c>
      <c r="AB1965" s="1" t="str">
        <f>"96/06/19"</f>
        <v>96/06/19</v>
      </c>
      <c r="AC1965" s="1" t="str">
        <f>"خراسان رضوي"</f>
        <v>خراسان رضوي</v>
      </c>
      <c r="AD1965" s="1" t="str">
        <f>"96/06/21"</f>
        <v>96/06/21</v>
      </c>
      <c r="AE1965" s="1" t="str">
        <f>"اختتام"</f>
        <v>اختتام</v>
      </c>
      <c r="AF1965" s="1" t="str">
        <f>""</f>
        <v/>
      </c>
      <c r="AG1965" s="1" t="str">
        <f>""</f>
        <v/>
      </c>
      <c r="AH1965" s="1" t="str">
        <f>""</f>
        <v/>
      </c>
      <c r="AI1965" s="1" t="str">
        <f>""</f>
        <v/>
      </c>
      <c r="AJ1965" s="1" t="str">
        <f>""</f>
        <v/>
      </c>
      <c r="AK1965" s="1" t="str">
        <f>""</f>
        <v/>
      </c>
    </row>
    <row r="1966" spans="1:37">
      <c r="A1966" s="1">
        <v>300000</v>
      </c>
      <c r="B1966" s="1">
        <v>966200296</v>
      </c>
      <c r="C1966" s="1" t="str">
        <f>"تخليه - خراسان رضوي- باخرز-کارخانه آسفالت شهرداري"</f>
        <v>تخليه - خراسان رضوي- باخرز-کارخانه آسفالت شهرداري</v>
      </c>
      <c r="D1966" s="1">
        <v>9113</v>
      </c>
      <c r="E1966" s="1">
        <v>299380</v>
      </c>
      <c r="F1966" s="1">
        <v>96</v>
      </c>
      <c r="G1966" s="1">
        <v>620</v>
      </c>
      <c r="H1966" s="1" t="str">
        <f>"96/07/15"</f>
        <v>96/07/15</v>
      </c>
      <c r="I1966" s="1" t="str">
        <f>"كيلوگرم"</f>
        <v>كيلوگرم</v>
      </c>
      <c r="J1966" s="1" t="str">
        <f>"0000000076"</f>
        <v>0000000076</v>
      </c>
      <c r="K1966" s="1" t="str">
        <f>"قير 60/70 - فله"</f>
        <v>قير 60/70 - فله</v>
      </c>
      <c r="L1966" s="1">
        <v>100</v>
      </c>
      <c r="M1966" s="1" t="str">
        <f>"مخازن قير اصفهان"</f>
        <v>مخازن قير اصفهان</v>
      </c>
      <c r="N1966" s="1">
        <v>11406</v>
      </c>
      <c r="O1966" s="1">
        <v>50036557</v>
      </c>
      <c r="P1966" s="1" t="str">
        <f>"  ساختماني نوين سازه طيبات"</f>
        <v xml:space="preserve">  ساختماني نوين سازه طيبات</v>
      </c>
      <c r="Q1966" s="1">
        <v>62</v>
      </c>
      <c r="R1966" s="1" t="str">
        <f>"فروش داخلي - سازمان بنيادمسكن انقلاب اسلامي"</f>
        <v>فروش داخلي - سازمان بنيادمسكن انقلاب اسلامي</v>
      </c>
      <c r="S1966" s="1" t="str">
        <f>"قرارداد فروش"</f>
        <v>قرارداد فروش</v>
      </c>
      <c r="T1966" s="1" t="str">
        <f>"ندارد"</f>
        <v>ندارد</v>
      </c>
      <c r="U1966" s="1" t="str">
        <f>"نظام دوست امين (1911102)"</f>
        <v>نظام دوست امين (1911102)</v>
      </c>
      <c r="V1966" s="1">
        <v>966200296</v>
      </c>
      <c r="W1966" s="1">
        <v>966200296</v>
      </c>
      <c r="X1966" s="1" t="str">
        <f>"1396516997"</f>
        <v>1396516997</v>
      </c>
      <c r="Y1966" s="1" t="str">
        <f>"96/07/15"</f>
        <v>96/07/15</v>
      </c>
      <c r="Z1966" s="1" t="str">
        <f>"30881/د"</f>
        <v>30881/د</v>
      </c>
      <c r="AA1966" s="1" t="str">
        <f>"بنيادمسكن انقلاب اسلامي"</f>
        <v>بنيادمسكن انقلاب اسلامي</v>
      </c>
      <c r="AB1966" s="1" t="str">
        <f>"96/07/12"</f>
        <v>96/07/12</v>
      </c>
      <c r="AC1966" s="1" t="str">
        <f>"خراسان رضوي"</f>
        <v>خراسان رضوي</v>
      </c>
      <c r="AD1966" s="1" t="str">
        <f>"96/07/15"</f>
        <v>96/07/15</v>
      </c>
      <c r="AE1966" s="1" t="str">
        <f>"اختتام"</f>
        <v>اختتام</v>
      </c>
      <c r="AF1966" s="1" t="str">
        <f>""</f>
        <v/>
      </c>
      <c r="AG1966" s="1" t="str">
        <f>""</f>
        <v/>
      </c>
      <c r="AH1966" s="1" t="str">
        <f>""</f>
        <v/>
      </c>
      <c r="AI1966" s="1" t="str">
        <f>""</f>
        <v/>
      </c>
      <c r="AJ1966" s="1" t="str">
        <f>""</f>
        <v/>
      </c>
      <c r="AK1966" s="1" t="str">
        <f>""</f>
        <v/>
      </c>
    </row>
    <row r="1967" spans="1:37">
      <c r="A1967" s="1">
        <v>131765</v>
      </c>
      <c r="B1967" s="1">
        <v>962000135</v>
      </c>
      <c r="C1967" s="1" t="str">
        <f>"تخليه خراسان جنوبي كيلومتر5محورخوسف كرمان روستاي فدشك كارخانه آسفالت راهدارصنعت"</f>
        <v>تخليه خراسان جنوبي كيلومتر5محورخوسف كرمان روستاي فدشك كارخانه آسفالت راهدارصنعت</v>
      </c>
      <c r="D1967" s="1">
        <v>9113</v>
      </c>
      <c r="E1967" s="1">
        <v>131765</v>
      </c>
      <c r="F1967" s="1">
        <v>96</v>
      </c>
      <c r="G1967" s="1">
        <v>0</v>
      </c>
      <c r="H1967" s="1" t="str">
        <f>"96/07/03"</f>
        <v>96/07/03</v>
      </c>
      <c r="I1967" s="1" t="str">
        <f>"كيلوگرم"</f>
        <v>كيلوگرم</v>
      </c>
      <c r="J1967" s="1" t="str">
        <f>"0000000076"</f>
        <v>0000000076</v>
      </c>
      <c r="K1967" s="1" t="str">
        <f>"قير 60/70 - فله"</f>
        <v>قير 60/70 - فله</v>
      </c>
      <c r="L1967" s="1">
        <v>100</v>
      </c>
      <c r="M1967" s="1" t="str">
        <f>"مخازن قير اصفهان"</f>
        <v>مخازن قير اصفهان</v>
      </c>
      <c r="N1967" s="1">
        <v>11425</v>
      </c>
      <c r="O1967" s="1">
        <v>50036322</v>
      </c>
      <c r="P1967" s="1" t="str">
        <f>"  شهرداري خوسف"</f>
        <v xml:space="preserve">  شهرداري خوسف</v>
      </c>
      <c r="Q1967" s="1">
        <v>20</v>
      </c>
      <c r="R1967" s="1" t="str">
        <f>"فروش داخلي - سازمان شهرداري ها و دهياري هاي كشور"</f>
        <v>فروش داخلي - سازمان شهرداري ها و دهياري هاي كشور</v>
      </c>
      <c r="S1967" s="1" t="str">
        <f>"قرارداد فروش"</f>
        <v>قرارداد فروش</v>
      </c>
      <c r="T1967" s="1" t="str">
        <f>"ندارد"</f>
        <v>ندارد</v>
      </c>
      <c r="U1967" s="1" t="str">
        <f>"تعاوني جم گستر (1001 ج 89)"</f>
        <v>تعاوني جم گستر (1001 ج 89)</v>
      </c>
      <c r="V1967" s="1">
        <v>962000135</v>
      </c>
      <c r="W1967" s="1">
        <v>962000135</v>
      </c>
      <c r="X1967" s="1" t="str">
        <f>"1396514467"</f>
        <v>1396514467</v>
      </c>
      <c r="Y1967" s="1" t="str">
        <f>"96/07/03"</f>
        <v>96/07/03</v>
      </c>
      <c r="Z1967" s="1" t="str">
        <f>"26731مرحله اول"</f>
        <v>26731مرحله اول</v>
      </c>
      <c r="AA1967" s="1" t="str">
        <f>"شهرداريها"</f>
        <v>شهرداريها</v>
      </c>
      <c r="AB1967" s="1" t="str">
        <f>"96/06/29"</f>
        <v>96/06/29</v>
      </c>
      <c r="AC1967" s="1" t="str">
        <f>"خراسان جنوبي"</f>
        <v>خراسان جنوبي</v>
      </c>
      <c r="AD1967" s="1" t="str">
        <f>"96/07/03"</f>
        <v>96/07/03</v>
      </c>
      <c r="AE1967" s="1" t="str">
        <f>"اختتام"</f>
        <v>اختتام</v>
      </c>
      <c r="AF1967" s="1" t="str">
        <f>""</f>
        <v/>
      </c>
      <c r="AG1967" s="1" t="str">
        <f>""</f>
        <v/>
      </c>
      <c r="AH1967" s="1" t="str">
        <f>""</f>
        <v/>
      </c>
      <c r="AI1967" s="1" t="str">
        <f>""</f>
        <v/>
      </c>
      <c r="AJ1967" s="1" t="str">
        <f>""</f>
        <v/>
      </c>
      <c r="AK1967" s="1" t="str">
        <f>""</f>
        <v/>
      </c>
    </row>
    <row r="1968" spans="1:37">
      <c r="A1968" s="1">
        <v>65154</v>
      </c>
      <c r="B1968" s="1">
        <v>962000285</v>
      </c>
      <c r="C1968" s="1" t="str">
        <f>"تخليه خراسان رضوي تربت جام نرسيده به شهركاريزكارخانه آسفالت استحكام انديش طوس"</f>
        <v>تخليه خراسان رضوي تربت جام نرسيده به شهركاريزكارخانه آسفالت استحكام انديش طوس</v>
      </c>
      <c r="D1968" s="1">
        <v>9113</v>
      </c>
      <c r="E1968" s="1">
        <v>61831</v>
      </c>
      <c r="F1968" s="1">
        <v>96</v>
      </c>
      <c r="G1968" s="1">
        <v>3323</v>
      </c>
      <c r="H1968" s="1" t="str">
        <f>"96/09/13"</f>
        <v>96/09/13</v>
      </c>
      <c r="I1968" s="1" t="str">
        <f>"كيلوگرم"</f>
        <v>كيلوگرم</v>
      </c>
      <c r="J1968" s="1" t="str">
        <f>"0000000076"</f>
        <v>0000000076</v>
      </c>
      <c r="K1968" s="1" t="str">
        <f>"قير 60/70 - فله"</f>
        <v>قير 60/70 - فله</v>
      </c>
      <c r="L1968" s="1">
        <v>100</v>
      </c>
      <c r="M1968" s="1" t="str">
        <f>"مخازن قير اصفهان"</f>
        <v>مخازن قير اصفهان</v>
      </c>
      <c r="N1968" s="1">
        <v>11428</v>
      </c>
      <c r="O1968" s="1">
        <v>50037485</v>
      </c>
      <c r="P1968" s="1" t="str">
        <f>"  شهرداري احمدآبادصولت"</f>
        <v xml:space="preserve">  شهرداري احمدآبادصولت</v>
      </c>
      <c r="Q1968" s="1">
        <v>20</v>
      </c>
      <c r="R1968" s="1" t="str">
        <f>"فروش داخلي - سازمان شهرداري ها و دهياري هاي كشور"</f>
        <v>فروش داخلي - سازمان شهرداري ها و دهياري هاي كشور</v>
      </c>
      <c r="S1968" s="1" t="str">
        <f>"قرارداد فروش"</f>
        <v>قرارداد فروش</v>
      </c>
      <c r="T1968" s="1" t="str">
        <f>"ندارد"</f>
        <v>ندارد</v>
      </c>
      <c r="U1968" s="1" t="str">
        <f>"تعاوني جم گستر (1001 ج 89)"</f>
        <v>تعاوني جم گستر (1001 ج 89)</v>
      </c>
      <c r="V1968" s="1">
        <v>962000285</v>
      </c>
      <c r="W1968" s="1">
        <v>962000285</v>
      </c>
      <c r="X1968" s="1" t="str">
        <f>"1396514467"</f>
        <v>1396514467</v>
      </c>
      <c r="Y1968" s="1" t="str">
        <f>"96/09/12"</f>
        <v>96/09/12</v>
      </c>
      <c r="Z1968" s="1" t="str">
        <f>"37008مرحله دوم"</f>
        <v>37008مرحله دوم</v>
      </c>
      <c r="AA1968" s="1" t="str">
        <f>"شهرداريها"</f>
        <v>شهرداريها</v>
      </c>
      <c r="AB1968" s="1" t="str">
        <f>"96/09/04"</f>
        <v>96/09/04</v>
      </c>
      <c r="AC1968" s="1" t="str">
        <f>"خراسان رضوي"</f>
        <v>خراسان رضوي</v>
      </c>
      <c r="AD1968" s="1" t="str">
        <f>"96/07/03"</f>
        <v>96/07/03</v>
      </c>
      <c r="AE1968" s="1" t="str">
        <f>"اختتام"</f>
        <v>اختتام</v>
      </c>
      <c r="AF1968" s="1" t="str">
        <f>""</f>
        <v/>
      </c>
      <c r="AG1968" s="1" t="str">
        <f>""</f>
        <v/>
      </c>
      <c r="AH1968" s="1" t="str">
        <f>""</f>
        <v/>
      </c>
      <c r="AI1968" s="1" t="str">
        <f>""</f>
        <v/>
      </c>
      <c r="AJ1968" s="1" t="str">
        <f>""</f>
        <v/>
      </c>
      <c r="AK1968" s="1" t="str">
        <f>""</f>
        <v/>
      </c>
    </row>
    <row r="1969" spans="1:37">
      <c r="A1969" s="1">
        <v>124434</v>
      </c>
      <c r="B1969" s="1">
        <v>962000156</v>
      </c>
      <c r="C1969" s="1" t="str">
        <f>"تخليه خراسان رضوي باخرزكيلومتر5جاده تربت حيدريه كارخانه آسفالت شهرداري"</f>
        <v>تخليه خراسان رضوي باخرزكيلومتر5جاده تربت حيدريه كارخانه آسفالت شهرداري</v>
      </c>
      <c r="D1969" s="1">
        <v>9113</v>
      </c>
      <c r="E1969" s="1">
        <v>124434</v>
      </c>
      <c r="F1969" s="1">
        <v>96</v>
      </c>
      <c r="G1969" s="1">
        <v>0</v>
      </c>
      <c r="H1969" s="1" t="str">
        <f>"96/07/03"</f>
        <v>96/07/03</v>
      </c>
      <c r="I1969" s="1" t="str">
        <f>"كيلوگرم"</f>
        <v>كيلوگرم</v>
      </c>
      <c r="J1969" s="1" t="str">
        <f>"0000000076"</f>
        <v>0000000076</v>
      </c>
      <c r="K1969" s="1" t="str">
        <f>"قير 60/70 - فله"</f>
        <v>قير 60/70 - فله</v>
      </c>
      <c r="L1969" s="1">
        <v>100</v>
      </c>
      <c r="M1969" s="1" t="str">
        <f>"مخازن قير اصفهان"</f>
        <v>مخازن قير اصفهان</v>
      </c>
      <c r="N1969" s="1">
        <v>11431</v>
      </c>
      <c r="O1969" s="1">
        <v>50036360</v>
      </c>
      <c r="P1969" s="1" t="str">
        <f>"  شهرداري باخرز"</f>
        <v xml:space="preserve">  شهرداري باخرز</v>
      </c>
      <c r="Q1969" s="1">
        <v>20</v>
      </c>
      <c r="R1969" s="1" t="str">
        <f>"فروش داخلي - سازمان شهرداري ها و دهياري هاي كشور"</f>
        <v>فروش داخلي - سازمان شهرداري ها و دهياري هاي كشور</v>
      </c>
      <c r="S1969" s="1" t="str">
        <f>"قرارداد فروش"</f>
        <v>قرارداد فروش</v>
      </c>
      <c r="T1969" s="1" t="str">
        <f>"ندارد"</f>
        <v>ندارد</v>
      </c>
      <c r="U1969" s="1" t="str">
        <f>"تعاوني جم گستر (1001 ج 89)"</f>
        <v>تعاوني جم گستر (1001 ج 89)</v>
      </c>
      <c r="V1969" s="1">
        <v>962000156</v>
      </c>
      <c r="W1969" s="1">
        <v>962000156</v>
      </c>
      <c r="X1969" s="1" t="str">
        <f>"1396514467"</f>
        <v>1396514467</v>
      </c>
      <c r="Y1969" s="1" t="str">
        <f>"96/07/03"</f>
        <v>96/07/03</v>
      </c>
      <c r="Z1969" s="1" t="str">
        <f>"26871مرحله اول"</f>
        <v>26871مرحله اول</v>
      </c>
      <c r="AA1969" s="1" t="str">
        <f>"شهرداريها"</f>
        <v>شهرداريها</v>
      </c>
      <c r="AB1969" s="1" t="str">
        <f>"96/06/29"</f>
        <v>96/06/29</v>
      </c>
      <c r="AC1969" s="1" t="str">
        <f>"خراسان رضوي"</f>
        <v>خراسان رضوي</v>
      </c>
      <c r="AD1969" s="1" t="str">
        <f>"96/07/03"</f>
        <v>96/07/03</v>
      </c>
      <c r="AE1969" s="1" t="str">
        <f>"اختتام"</f>
        <v>اختتام</v>
      </c>
      <c r="AF1969" s="1" t="str">
        <f>""</f>
        <v/>
      </c>
      <c r="AG1969" s="1" t="str">
        <f>""</f>
        <v/>
      </c>
      <c r="AH1969" s="1" t="str">
        <f>""</f>
        <v/>
      </c>
      <c r="AI1969" s="1" t="str">
        <f>""</f>
        <v/>
      </c>
      <c r="AJ1969" s="1" t="str">
        <f>""</f>
        <v/>
      </c>
      <c r="AK1969" s="1" t="str">
        <f>""</f>
        <v/>
      </c>
    </row>
    <row r="1970" spans="1:37">
      <c r="A1970" s="1">
        <v>115596</v>
      </c>
      <c r="B1970" s="1">
        <v>962000158</v>
      </c>
      <c r="C1970" s="1" t="str">
        <f>"تخليه خراسان رضوي تربت حيدريه جاده عباس آبادشركت آسفالت قطب"</f>
        <v>تخليه خراسان رضوي تربت حيدريه جاده عباس آبادشركت آسفالت قطب</v>
      </c>
      <c r="D1970" s="1">
        <v>9113</v>
      </c>
      <c r="E1970" s="1">
        <v>115596</v>
      </c>
      <c r="F1970" s="1">
        <v>96</v>
      </c>
      <c r="G1970" s="1">
        <v>0</v>
      </c>
      <c r="H1970" s="1" t="str">
        <f>"96/07/03"</f>
        <v>96/07/03</v>
      </c>
      <c r="I1970" s="1" t="str">
        <f>"كيلوگرم"</f>
        <v>كيلوگرم</v>
      </c>
      <c r="J1970" s="1" t="str">
        <f>"0000000076"</f>
        <v>0000000076</v>
      </c>
      <c r="K1970" s="1" t="str">
        <f>"قير 60/70 - فله"</f>
        <v>قير 60/70 - فله</v>
      </c>
      <c r="L1970" s="1">
        <v>100</v>
      </c>
      <c r="M1970" s="1" t="str">
        <f>"مخازن قير اصفهان"</f>
        <v>مخازن قير اصفهان</v>
      </c>
      <c r="N1970" s="1">
        <v>11433</v>
      </c>
      <c r="O1970" s="1">
        <v>50036362</v>
      </c>
      <c r="P1970" s="1" t="str">
        <f>"  شهرداري بايگ"</f>
        <v xml:space="preserve">  شهرداري بايگ</v>
      </c>
      <c r="Q1970" s="1">
        <v>20</v>
      </c>
      <c r="R1970" s="1" t="str">
        <f>"فروش داخلي - سازمان شهرداري ها و دهياري هاي كشور"</f>
        <v>فروش داخلي - سازمان شهرداري ها و دهياري هاي كشور</v>
      </c>
      <c r="S1970" s="1" t="str">
        <f>"قرارداد فروش"</f>
        <v>قرارداد فروش</v>
      </c>
      <c r="T1970" s="1" t="str">
        <f>"ندارد"</f>
        <v>ندارد</v>
      </c>
      <c r="U1970" s="1" t="str">
        <f>"تعاوني جم گستر (1001 ج 89)"</f>
        <v>تعاوني جم گستر (1001 ج 89)</v>
      </c>
      <c r="V1970" s="1">
        <v>962000158</v>
      </c>
      <c r="W1970" s="1">
        <v>962000158</v>
      </c>
      <c r="X1970" s="1" t="str">
        <f>"1396514467"</f>
        <v>1396514467</v>
      </c>
      <c r="Y1970" s="1" t="str">
        <f>"96/07/03"</f>
        <v>96/07/03</v>
      </c>
      <c r="Z1970" s="1" t="str">
        <f>"26888مرحله اول"</f>
        <v>26888مرحله اول</v>
      </c>
      <c r="AA1970" s="1" t="str">
        <f>"شهرداريها"</f>
        <v>شهرداريها</v>
      </c>
      <c r="AB1970" s="1" t="str">
        <f>"96/06/29"</f>
        <v>96/06/29</v>
      </c>
      <c r="AC1970" s="1" t="str">
        <f>"خراسان رضوي"</f>
        <v>خراسان رضوي</v>
      </c>
      <c r="AD1970" s="1" t="str">
        <f>"96/07/03"</f>
        <v>96/07/03</v>
      </c>
      <c r="AE1970" s="1" t="str">
        <f>"اختتام"</f>
        <v>اختتام</v>
      </c>
      <c r="AF1970" s="1" t="str">
        <f>""</f>
        <v/>
      </c>
      <c r="AG1970" s="1" t="str">
        <f>""</f>
        <v/>
      </c>
      <c r="AH1970" s="1" t="str">
        <f>""</f>
        <v/>
      </c>
      <c r="AI1970" s="1" t="str">
        <f>""</f>
        <v/>
      </c>
      <c r="AJ1970" s="1" t="str">
        <f>""</f>
        <v/>
      </c>
      <c r="AK1970" s="1" t="str">
        <f>""</f>
        <v/>
      </c>
    </row>
    <row r="1971" spans="1:37">
      <c r="A1971" s="1">
        <v>169327</v>
      </c>
      <c r="B1971" s="1">
        <v>962000167</v>
      </c>
      <c r="C1971" s="1" t="str">
        <f>"تخليه خراسان رضوي انتهاي بلوار72تن شهيدميدان شهيدصبوري كارخانه آسفالت شهرداري خواف"</f>
        <v>تخليه خراسان رضوي انتهاي بلوار72تن شهيدميدان شهيدصبوري كارخانه آسفالت شهرداري خواف</v>
      </c>
      <c r="D1971" s="1">
        <v>9113</v>
      </c>
      <c r="E1971" s="1">
        <v>169327</v>
      </c>
      <c r="F1971" s="1">
        <v>96</v>
      </c>
      <c r="G1971" s="1">
        <v>0</v>
      </c>
      <c r="H1971" s="1" t="str">
        <f>"96/07/03"</f>
        <v>96/07/03</v>
      </c>
      <c r="I1971" s="1" t="str">
        <f>"كيلوگرم"</f>
        <v>كيلوگرم</v>
      </c>
      <c r="J1971" s="1" t="str">
        <f>"0000000076"</f>
        <v>0000000076</v>
      </c>
      <c r="K1971" s="1" t="str">
        <f>"قير 60/70 - فله"</f>
        <v>قير 60/70 - فله</v>
      </c>
      <c r="L1971" s="1">
        <v>100</v>
      </c>
      <c r="M1971" s="1" t="str">
        <f>"مخازن قير اصفهان"</f>
        <v>مخازن قير اصفهان</v>
      </c>
      <c r="N1971" s="1">
        <v>11439</v>
      </c>
      <c r="O1971" s="1">
        <v>50036372</v>
      </c>
      <c r="P1971" s="1" t="str">
        <f>"  شهرداري خواف"</f>
        <v xml:space="preserve">  شهرداري خواف</v>
      </c>
      <c r="Q1971" s="1">
        <v>20</v>
      </c>
      <c r="R1971" s="1" t="str">
        <f>"فروش داخلي - سازمان شهرداري ها و دهياري هاي كشور"</f>
        <v>فروش داخلي - سازمان شهرداري ها و دهياري هاي كشور</v>
      </c>
      <c r="S1971" s="1" t="str">
        <f>"قرارداد فروش"</f>
        <v>قرارداد فروش</v>
      </c>
      <c r="T1971" s="1" t="str">
        <f>"ندارد"</f>
        <v>ندارد</v>
      </c>
      <c r="U1971" s="1" t="str">
        <f>"تعاوني جم گستر (1001 ج 89)"</f>
        <v>تعاوني جم گستر (1001 ج 89)</v>
      </c>
      <c r="V1971" s="1">
        <v>962000167</v>
      </c>
      <c r="W1971" s="1">
        <v>962000167</v>
      </c>
      <c r="X1971" s="1" t="str">
        <f>"1396514467"</f>
        <v>1396514467</v>
      </c>
      <c r="Y1971" s="1" t="str">
        <f>"96/07/03"</f>
        <v>96/07/03</v>
      </c>
      <c r="Z1971" s="1" t="str">
        <f>"26827مرحله اول"</f>
        <v>26827مرحله اول</v>
      </c>
      <c r="AA1971" s="1" t="str">
        <f>"شهرداريها"</f>
        <v>شهرداريها</v>
      </c>
      <c r="AB1971" s="1" t="str">
        <f>"96/06/29"</f>
        <v>96/06/29</v>
      </c>
      <c r="AC1971" s="1" t="str">
        <f>"خراسان رضوي"</f>
        <v>خراسان رضوي</v>
      </c>
      <c r="AD1971" s="1" t="str">
        <f>"96/07/03"</f>
        <v>96/07/03</v>
      </c>
      <c r="AE1971" s="1" t="str">
        <f>"اختتام"</f>
        <v>اختتام</v>
      </c>
      <c r="AF1971" s="1" t="str">
        <f>""</f>
        <v/>
      </c>
      <c r="AG1971" s="1" t="str">
        <f>""</f>
        <v/>
      </c>
      <c r="AH1971" s="1" t="str">
        <f>""</f>
        <v/>
      </c>
      <c r="AI1971" s="1" t="str">
        <f>""</f>
        <v/>
      </c>
      <c r="AJ1971" s="1" t="str">
        <f>""</f>
        <v/>
      </c>
      <c r="AK1971" s="1" t="str">
        <f>""</f>
        <v/>
      </c>
    </row>
    <row r="1972" spans="1:37">
      <c r="A1972" s="1">
        <v>119915</v>
      </c>
      <c r="B1972" s="1">
        <v>962000173</v>
      </c>
      <c r="C1972" s="1" t="str">
        <f>"تخليه خراسان رضوي كيلومتر22جاده مشهدكلات كارخانه آسفالت آيندسازان مهرجاويد"</f>
        <v>تخليه خراسان رضوي كيلومتر22جاده مشهدكلات كارخانه آسفالت آيندسازان مهرجاويد</v>
      </c>
      <c r="D1972" s="1">
        <v>9113</v>
      </c>
      <c r="E1972" s="1">
        <v>119915</v>
      </c>
      <c r="F1972" s="1">
        <v>96</v>
      </c>
      <c r="G1972" s="1">
        <v>0</v>
      </c>
      <c r="H1972" s="1" t="str">
        <f>"96/07/03"</f>
        <v>96/07/03</v>
      </c>
      <c r="I1972" s="1" t="str">
        <f>"كيلوگرم"</f>
        <v>كيلوگرم</v>
      </c>
      <c r="J1972" s="1" t="str">
        <f>"0000000076"</f>
        <v>0000000076</v>
      </c>
      <c r="K1972" s="1" t="str">
        <f>"قير 60/70 - فله"</f>
        <v>قير 60/70 - فله</v>
      </c>
      <c r="L1972" s="1">
        <v>100</v>
      </c>
      <c r="M1972" s="1" t="str">
        <f>"مخازن قير اصفهان"</f>
        <v>مخازن قير اصفهان</v>
      </c>
      <c r="N1972" s="1">
        <v>11442</v>
      </c>
      <c r="O1972" s="1">
        <v>50036378</v>
      </c>
      <c r="P1972" s="1" t="str">
        <f>"  شهرداري زاوين (زو)"</f>
        <v xml:space="preserve">  شهرداري زاوين (زو)</v>
      </c>
      <c r="Q1972" s="1">
        <v>20</v>
      </c>
      <c r="R1972" s="1" t="str">
        <f>"فروش داخلي - سازمان شهرداري ها و دهياري هاي كشور"</f>
        <v>فروش داخلي - سازمان شهرداري ها و دهياري هاي كشور</v>
      </c>
      <c r="S1972" s="1" t="str">
        <f>"قرارداد فروش"</f>
        <v>قرارداد فروش</v>
      </c>
      <c r="T1972" s="1" t="str">
        <f>"ندارد"</f>
        <v>ندارد</v>
      </c>
      <c r="U1972" s="1" t="str">
        <f>"تعاوني جم گستر (1001 ج 89)"</f>
        <v>تعاوني جم گستر (1001 ج 89)</v>
      </c>
      <c r="V1972" s="1">
        <v>962000173</v>
      </c>
      <c r="W1972" s="1">
        <v>962000173</v>
      </c>
      <c r="X1972" s="1" t="str">
        <f>"1396514467"</f>
        <v>1396514467</v>
      </c>
      <c r="Y1972" s="1" t="str">
        <f>"96/07/03"</f>
        <v>96/07/03</v>
      </c>
      <c r="Z1972" s="1" t="str">
        <f>"26783مرحله اول"</f>
        <v>26783مرحله اول</v>
      </c>
      <c r="AA1972" s="1" t="str">
        <f>"شهرداريها"</f>
        <v>شهرداريها</v>
      </c>
      <c r="AB1972" s="1" t="str">
        <f>"96/06/29"</f>
        <v>96/06/29</v>
      </c>
      <c r="AC1972" s="1" t="str">
        <f>"خراسان رضوي"</f>
        <v>خراسان رضوي</v>
      </c>
      <c r="AD1972" s="1" t="str">
        <f>"96/07/03"</f>
        <v>96/07/03</v>
      </c>
      <c r="AE1972" s="1" t="str">
        <f>"اختتام"</f>
        <v>اختتام</v>
      </c>
      <c r="AF1972" s="1" t="str">
        <f>""</f>
        <v/>
      </c>
      <c r="AG1972" s="1" t="str">
        <f>""</f>
        <v/>
      </c>
      <c r="AH1972" s="1" t="str">
        <f>""</f>
        <v/>
      </c>
      <c r="AI1972" s="1" t="str">
        <f>""</f>
        <v/>
      </c>
      <c r="AJ1972" s="1" t="str">
        <f>""</f>
        <v/>
      </c>
      <c r="AK1972" s="1" t="str">
        <f>""</f>
        <v/>
      </c>
    </row>
    <row r="1973" spans="1:37">
      <c r="A1973" s="1">
        <v>59957</v>
      </c>
      <c r="B1973" s="1">
        <v>962000324</v>
      </c>
      <c r="C1973" s="1" t="str">
        <f>"تخليه خراسان رضويكيلومتر22جاده مشهدكلات كارخانه آسفالت آتيه سازان مهرجاويد"</f>
        <v>تخليه خراسان رضويكيلومتر22جاده مشهدكلات كارخانه آسفالت آتيه سازان مهرجاويد</v>
      </c>
      <c r="D1973" s="1">
        <v>9113</v>
      </c>
      <c r="E1973" s="1">
        <v>59745</v>
      </c>
      <c r="F1973" s="1">
        <v>96</v>
      </c>
      <c r="G1973" s="1">
        <v>212</v>
      </c>
      <c r="H1973" s="1" t="str">
        <f>"96/09/13"</f>
        <v>96/09/13</v>
      </c>
      <c r="I1973" s="1" t="str">
        <f>"كيلوگرم"</f>
        <v>كيلوگرم</v>
      </c>
      <c r="J1973" s="1" t="str">
        <f>"0000000076"</f>
        <v>0000000076</v>
      </c>
      <c r="K1973" s="1" t="str">
        <f>"قير 60/70 - فله"</f>
        <v>قير 60/70 - فله</v>
      </c>
      <c r="L1973" s="1">
        <v>100</v>
      </c>
      <c r="M1973" s="1" t="str">
        <f>"مخازن قير اصفهان"</f>
        <v>مخازن قير اصفهان</v>
      </c>
      <c r="N1973" s="1">
        <v>11442</v>
      </c>
      <c r="O1973" s="1">
        <v>50037531</v>
      </c>
      <c r="P1973" s="1" t="str">
        <f>"  شهرداري زاوين (زو)"</f>
        <v xml:space="preserve">  شهرداري زاوين (زو)</v>
      </c>
      <c r="Q1973" s="1">
        <v>20</v>
      </c>
      <c r="R1973" s="1" t="str">
        <f>"فروش داخلي - سازمان شهرداري ها و دهياري هاي كشور"</f>
        <v>فروش داخلي - سازمان شهرداري ها و دهياري هاي كشور</v>
      </c>
      <c r="S1973" s="1" t="str">
        <f>"قرارداد فروش"</f>
        <v>قرارداد فروش</v>
      </c>
      <c r="T1973" s="1" t="str">
        <f>"ندارد"</f>
        <v>ندارد</v>
      </c>
      <c r="U1973" s="1" t="str">
        <f>"تعاوني جم گستر (1001 ج 89)"</f>
        <v>تعاوني جم گستر (1001 ج 89)</v>
      </c>
      <c r="V1973" s="1">
        <v>962000324</v>
      </c>
      <c r="W1973" s="1">
        <v>962000324</v>
      </c>
      <c r="X1973" s="1" t="str">
        <f>"1396514468"</f>
        <v>1396514468</v>
      </c>
      <c r="Y1973" s="1" t="str">
        <f>"96/09/12"</f>
        <v>96/09/12</v>
      </c>
      <c r="Z1973" s="1" t="str">
        <f>"37038مرحله دوم"</f>
        <v>37038مرحله دوم</v>
      </c>
      <c r="AA1973" s="1" t="str">
        <f>"شهرداريها"</f>
        <v>شهرداريها</v>
      </c>
      <c r="AB1973" s="1" t="str">
        <f>"96/09/04"</f>
        <v>96/09/04</v>
      </c>
      <c r="AC1973" s="1" t="str">
        <f>"خراسان رضوي"</f>
        <v>خراسان رضوي</v>
      </c>
      <c r="AD1973" s="1" t="str">
        <f>"96/07/03"</f>
        <v>96/07/03</v>
      </c>
      <c r="AE1973" s="1" t="str">
        <f>"اختتام"</f>
        <v>اختتام</v>
      </c>
      <c r="AF1973" s="1" t="str">
        <f>""</f>
        <v/>
      </c>
      <c r="AG1973" s="1" t="str">
        <f>""</f>
        <v/>
      </c>
      <c r="AH1973" s="1" t="str">
        <f>""</f>
        <v/>
      </c>
      <c r="AI1973" s="1" t="str">
        <f>""</f>
        <v/>
      </c>
      <c r="AJ1973" s="1" t="str">
        <f>""</f>
        <v/>
      </c>
      <c r="AK1973" s="1" t="str">
        <f>""</f>
        <v/>
      </c>
    </row>
    <row r="1974" spans="1:37">
      <c r="A1974" s="1">
        <v>60459</v>
      </c>
      <c r="B1974" s="1">
        <v>962000302</v>
      </c>
      <c r="C1974" s="1" t="str">
        <f>"تخليه - خراسان رضوي-خواف-بلوارفردوسي-انتهاي بلوار عطار-کيلومتر 5 جاده براکو-شرکت نيکچه"</f>
        <v>تخليه - خراسان رضوي-خواف-بلوارفردوسي-انتهاي بلوار عطار-کيلومتر 5 جاده براکو-شرکت نيکچه</v>
      </c>
      <c r="D1974" s="1">
        <v>9113</v>
      </c>
      <c r="E1974" s="1">
        <v>60101</v>
      </c>
      <c r="F1974" s="1">
        <v>96</v>
      </c>
      <c r="G1974" s="1">
        <v>358</v>
      </c>
      <c r="H1974" s="1" t="str">
        <f>"96/09/13"</f>
        <v>96/09/13</v>
      </c>
      <c r="I1974" s="1" t="str">
        <f>"كيلوگرم"</f>
        <v>كيلوگرم</v>
      </c>
      <c r="J1974" s="1" t="str">
        <f>"0000000076"</f>
        <v>0000000076</v>
      </c>
      <c r="K1974" s="1" t="str">
        <f>"قير 60/70 - فله"</f>
        <v>قير 60/70 - فله</v>
      </c>
      <c r="L1974" s="1">
        <v>100</v>
      </c>
      <c r="M1974" s="1" t="str">
        <f>"مخازن قير اصفهان"</f>
        <v>مخازن قير اصفهان</v>
      </c>
      <c r="N1974" s="1">
        <v>11454</v>
      </c>
      <c r="O1974" s="1">
        <v>50037504</v>
      </c>
      <c r="P1974" s="1" t="str">
        <f>"  شهرداري نشتيفان"</f>
        <v xml:space="preserve">  شهرداري نشتيفان</v>
      </c>
      <c r="Q1974" s="1">
        <v>20</v>
      </c>
      <c r="R1974" s="1" t="str">
        <f>"فروش داخلي - سازمان شهرداري ها و دهياري هاي كشور"</f>
        <v>فروش داخلي - سازمان شهرداري ها و دهياري هاي كشور</v>
      </c>
      <c r="S1974" s="1" t="str">
        <f>"قرارداد فروش"</f>
        <v>قرارداد فروش</v>
      </c>
      <c r="T1974" s="1" t="str">
        <f>"ندارد"</f>
        <v>ندارد</v>
      </c>
      <c r="U1974" s="1" t="str">
        <f>"تعاوني جم گستر (1001 ج 89)"</f>
        <v>تعاوني جم گستر (1001 ج 89)</v>
      </c>
      <c r="V1974" s="1">
        <v>962000302</v>
      </c>
      <c r="W1974" s="1">
        <v>962000302</v>
      </c>
      <c r="X1974" s="1" t="str">
        <f>"1396514467"</f>
        <v>1396514467</v>
      </c>
      <c r="Y1974" s="1" t="str">
        <f>"96/09/12"</f>
        <v>96/09/12</v>
      </c>
      <c r="Z1974" s="1" t="str">
        <f>"37063مرحله دوم"</f>
        <v>37063مرحله دوم</v>
      </c>
      <c r="AA1974" s="1" t="str">
        <f>"شهرداريها"</f>
        <v>شهرداريها</v>
      </c>
      <c r="AB1974" s="1" t="str">
        <f>"96/09/04"</f>
        <v>96/09/04</v>
      </c>
      <c r="AC1974" s="1" t="str">
        <f>"خراسان رضوي"</f>
        <v>خراسان رضوي</v>
      </c>
      <c r="AD1974" s="1" t="str">
        <f>"96/07/03"</f>
        <v>96/07/03</v>
      </c>
      <c r="AE1974" s="1" t="str">
        <f>"اختتام"</f>
        <v>اختتام</v>
      </c>
      <c r="AF1974" s="1" t="str">
        <f>""</f>
        <v/>
      </c>
      <c r="AG1974" s="1" t="str">
        <f>""</f>
        <v/>
      </c>
      <c r="AH1974" s="1" t="str">
        <f>""</f>
        <v/>
      </c>
      <c r="AI1974" s="1" t="str">
        <f>""</f>
        <v/>
      </c>
      <c r="AJ1974" s="1" t="str">
        <f>""</f>
        <v/>
      </c>
      <c r="AK1974" s="1" t="str">
        <f>""</f>
        <v/>
      </c>
    </row>
    <row r="1975" spans="1:37">
      <c r="A1975" s="1">
        <v>306000</v>
      </c>
      <c r="B1975" s="1">
        <v>966200351</v>
      </c>
      <c r="C1975" s="1" t="str">
        <f>"تخليه-لرستان-سلسله-فيروزآباد-کارخانه آسفالت زاگرس راه نصر"</f>
        <v>تخليه-لرستان-سلسله-فيروزآباد-کارخانه آسفالت زاگرس راه نصر</v>
      </c>
      <c r="D1975" s="1">
        <v>9113</v>
      </c>
      <c r="E1975" s="1">
        <v>304500</v>
      </c>
      <c r="F1975" s="1">
        <v>96</v>
      </c>
      <c r="G1975" s="1">
        <v>1500</v>
      </c>
      <c r="H1975" s="1" t="str">
        <f>"96/07/29"</f>
        <v>96/07/29</v>
      </c>
      <c r="I1975" s="1" t="str">
        <f>"كيلوگرم"</f>
        <v>كيلوگرم</v>
      </c>
      <c r="J1975" s="1" t="str">
        <f>"0000000076"</f>
        <v>0000000076</v>
      </c>
      <c r="K1975" s="1" t="str">
        <f>"قير 60/70 - فله"</f>
        <v>قير 60/70 - فله</v>
      </c>
      <c r="L1975" s="1">
        <v>100</v>
      </c>
      <c r="M1975" s="1" t="str">
        <f>"مخازن قير اصفهان"</f>
        <v>مخازن قير اصفهان</v>
      </c>
      <c r="N1975" s="1">
        <v>11483</v>
      </c>
      <c r="O1975" s="1">
        <v>50036849</v>
      </c>
      <c r="P1975" s="1" t="str">
        <f>"  مرواريد راه کوشا"</f>
        <v xml:space="preserve">  مرواريد راه کوشا</v>
      </c>
      <c r="Q1975" s="1">
        <v>62</v>
      </c>
      <c r="R1975" s="1" t="str">
        <f>"فروش داخلي - سازمان بنيادمسكن انقلاب اسلامي"</f>
        <v>فروش داخلي - سازمان بنيادمسكن انقلاب اسلامي</v>
      </c>
      <c r="S1975" s="1" t="str">
        <f>"قرارداد فروش"</f>
        <v>قرارداد فروش</v>
      </c>
      <c r="T1975" s="1" t="str">
        <f>"ندارد"</f>
        <v>ندارد</v>
      </c>
      <c r="U1975" s="1" t="str">
        <f>"عظيمي محمد(2842015)"</f>
        <v>عظيمي محمد(2842015)</v>
      </c>
      <c r="V1975" s="1">
        <v>966200351</v>
      </c>
      <c r="W1975" s="1">
        <v>966200351</v>
      </c>
      <c r="X1975" s="1" t="str">
        <f>"1396520117"</f>
        <v>1396520117</v>
      </c>
      <c r="Y1975" s="1" t="str">
        <f>"96/07/29"</f>
        <v>96/07/29</v>
      </c>
      <c r="Z1975" s="1" t="str">
        <f>"33195/د"</f>
        <v>33195/د</v>
      </c>
      <c r="AA1975" s="1" t="str">
        <f>"بنيادمسكن انقلاب اسلامي"</f>
        <v>بنيادمسكن انقلاب اسلامي</v>
      </c>
      <c r="AB1975" s="1" t="str">
        <f>"96/07/25"</f>
        <v>96/07/25</v>
      </c>
      <c r="AC1975" s="1" t="str">
        <f>"لرستان"</f>
        <v>لرستان</v>
      </c>
      <c r="AD1975" s="1" t="str">
        <f>"96/07/29"</f>
        <v>96/07/29</v>
      </c>
      <c r="AE1975" s="1" t="str">
        <f>"اختتام"</f>
        <v>اختتام</v>
      </c>
      <c r="AF1975" s="1" t="str">
        <f>""</f>
        <v/>
      </c>
      <c r="AG1975" s="1" t="str">
        <f>""</f>
        <v/>
      </c>
      <c r="AH1975" s="1" t="str">
        <f>""</f>
        <v/>
      </c>
      <c r="AI1975" s="1" t="str">
        <f>""</f>
        <v/>
      </c>
      <c r="AJ1975" s="1" t="str">
        <f>""</f>
        <v/>
      </c>
      <c r="AK1975" s="1" t="str">
        <f>""</f>
        <v/>
      </c>
    </row>
    <row r="1976" spans="1:37">
      <c r="A1976" s="1">
        <v>50000</v>
      </c>
      <c r="B1976" s="1">
        <v>966200735</v>
      </c>
      <c r="C1976" s="1" t="str">
        <f>"تخليه - کهگيلويه و بويراحمد-ياسوج-20کيلومتري جاده ياسوج اصفهان-کارخانه آسفالت مقصود مرتضوي"</f>
        <v>تخليه - کهگيلويه و بويراحمد-ياسوج-20کيلومتري جاده ياسوج اصفهان-کارخانه آسفالت مقصود مرتضوي</v>
      </c>
      <c r="D1976" s="1">
        <v>13350</v>
      </c>
      <c r="E1976" s="1">
        <v>48160</v>
      </c>
      <c r="F1976" s="1">
        <v>96</v>
      </c>
      <c r="G1976" s="1">
        <v>1840</v>
      </c>
      <c r="H1976" s="1" t="str">
        <f>"96/12/26"</f>
        <v>96/12/26</v>
      </c>
      <c r="I1976" s="1" t="str">
        <f>"كيلوگرم"</f>
        <v>كيلوگرم</v>
      </c>
      <c r="J1976" s="1" t="str">
        <f>"0000000076"</f>
        <v>0000000076</v>
      </c>
      <c r="K1976" s="1" t="str">
        <f>"قير 60/70 - فله"</f>
        <v>قير 60/70 - فله</v>
      </c>
      <c r="L1976" s="1">
        <v>100</v>
      </c>
      <c r="M1976" s="1" t="str">
        <f>"مخازن قير اصفهان"</f>
        <v>مخازن قير اصفهان</v>
      </c>
      <c r="N1976" s="1">
        <v>11490</v>
      </c>
      <c r="O1976" s="1">
        <v>50039096</v>
      </c>
      <c r="P1976" s="1" t="str">
        <f>"  فرهاد بيستون جنوب"</f>
        <v xml:space="preserve">  فرهاد بيستون جنوب</v>
      </c>
      <c r="Q1976" s="1">
        <v>62</v>
      </c>
      <c r="R1976" s="1" t="str">
        <f>"فروش داخلي - سازمان بنيادمسكن انقلاب اسلامي"</f>
        <v>فروش داخلي - سازمان بنيادمسكن انقلاب اسلامي</v>
      </c>
      <c r="S1976" s="1" t="str">
        <f>"قرارداد فروش"</f>
        <v>قرارداد فروش</v>
      </c>
      <c r="T1976" s="1" t="str">
        <f>"ندارد"</f>
        <v>ندارد</v>
      </c>
      <c r="U1976" s="1" t="str">
        <f>"غلام نجفي سيامك‌‌‌‌‌‌(1881082)"</f>
        <v>غلام نجفي سيامك‌‌‌‌‌‌(1881082)</v>
      </c>
      <c r="V1976" s="1">
        <v>966200735</v>
      </c>
      <c r="W1976" s="1">
        <v>966200735</v>
      </c>
      <c r="X1976" s="1" t="str">
        <f>"1396555422"</f>
        <v>1396555422</v>
      </c>
      <c r="Y1976" s="1" t="str">
        <f>"96/12/26"</f>
        <v>96/12/26</v>
      </c>
      <c r="Z1976" s="1" t="str">
        <f>"59450/د"</f>
        <v>59450/د</v>
      </c>
      <c r="AA1976" s="1" t="str">
        <f>"بنيادمسكن انقلاب اسلامي"</f>
        <v>بنيادمسكن انقلاب اسلامي</v>
      </c>
      <c r="AB1976" s="1" t="str">
        <f>"96/12/23"</f>
        <v>96/12/23</v>
      </c>
      <c r="AC1976" s="1" t="str">
        <f>"كهكيلويه و بوير احمد"</f>
        <v>كهكيلويه و بوير احمد</v>
      </c>
      <c r="AD1976" s="1" t="str">
        <f>"96/12/26"</f>
        <v>96/12/26</v>
      </c>
      <c r="AE1976" s="1" t="str">
        <f>"اختتام"</f>
        <v>اختتام</v>
      </c>
      <c r="AF1976" s="1" t="str">
        <f>""</f>
        <v/>
      </c>
      <c r="AG1976" s="1" t="str">
        <f>""</f>
        <v/>
      </c>
      <c r="AH1976" s="1" t="str">
        <f>""</f>
        <v/>
      </c>
      <c r="AI1976" s="1" t="str">
        <f>""</f>
        <v/>
      </c>
      <c r="AJ1976" s="1" t="str">
        <f>""</f>
        <v/>
      </c>
      <c r="AK1976" s="1" t="str">
        <f>""</f>
        <v/>
      </c>
    </row>
    <row r="1977" spans="1:37">
      <c r="A1977" s="1">
        <v>110000</v>
      </c>
      <c r="B1977" s="1">
        <v>966300027</v>
      </c>
      <c r="C1977" s="1" t="str">
        <f>"تخليه اصفهان تونل شهركردكارخانه زرين استحكام"</f>
        <v>تخليه اصفهان تونل شهركردكارخانه زرين استحكام</v>
      </c>
      <c r="D1977" s="1">
        <v>12820</v>
      </c>
      <c r="E1977" s="1">
        <v>108980</v>
      </c>
      <c r="F1977" s="1">
        <v>96</v>
      </c>
      <c r="G1977" s="1">
        <v>1020</v>
      </c>
      <c r="H1977" s="1" t="str">
        <f>"96/09/08"</f>
        <v>96/09/08</v>
      </c>
      <c r="I1977" s="1" t="str">
        <f>"كيلوگرم"</f>
        <v>كيلوگرم</v>
      </c>
      <c r="J1977" s="1" t="str">
        <f>"0000000076"</f>
        <v>0000000076</v>
      </c>
      <c r="K1977" s="1" t="str">
        <f>"قير 60/70 - فله"</f>
        <v>قير 60/70 - فله</v>
      </c>
      <c r="L1977" s="1">
        <v>100</v>
      </c>
      <c r="M1977" s="1" t="str">
        <f>"مخازن قير اصفهان"</f>
        <v>مخازن قير اصفهان</v>
      </c>
      <c r="N1977" s="1">
        <v>11494</v>
      </c>
      <c r="O1977" s="1">
        <v>50037353</v>
      </c>
      <c r="P1977" s="1" t="str">
        <f>"  صنعت سازان صاعقه زاگرس"</f>
        <v xml:space="preserve">  صنعت سازان صاعقه زاگرس</v>
      </c>
      <c r="Q1977" s="1">
        <v>63</v>
      </c>
      <c r="R1977" s="1" t="str">
        <f>"سازمان نوسازي،توسعه و تجهيز مدارس كشور"</f>
        <v>سازمان نوسازي،توسعه و تجهيز مدارس كشور</v>
      </c>
      <c r="S1977" s="1" t="str">
        <f>"قرارداد فروش"</f>
        <v>قرارداد فروش</v>
      </c>
      <c r="T1977" s="1" t="str">
        <f>"ندارد"</f>
        <v>ندارد</v>
      </c>
      <c r="U1977" s="1" t="str">
        <f>"قره باغي مجيد(1871065)"</f>
        <v>قره باغي مجيد(1871065)</v>
      </c>
      <c r="V1977" s="1">
        <v>966300027</v>
      </c>
      <c r="W1977" s="1">
        <v>966300027</v>
      </c>
      <c r="X1977" s="1" t="str">
        <f>"1396529162"</f>
        <v>1396529162</v>
      </c>
      <c r="Y1977" s="1" t="str">
        <f>"96/09/08"</f>
        <v>96/09/08</v>
      </c>
      <c r="Z1977" s="1" t="str">
        <f>"18/96/1/7892"</f>
        <v>18/96/1/7892</v>
      </c>
      <c r="AA1977" s="1" t="str">
        <f>"سازمان نوسازي توسعه وتجهيزمدارس كشور"</f>
        <v>سازمان نوسازي توسعه وتجهيزمدارس كشور</v>
      </c>
      <c r="AB1977" s="1" t="str">
        <f>"96/08/23"</f>
        <v>96/08/23</v>
      </c>
      <c r="AC1977" s="1" t="str">
        <f>"استان چهارمحال بختياري"</f>
        <v>استان چهارمحال بختياري</v>
      </c>
      <c r="AD1977" s="1" t="str">
        <f>"96/09/08"</f>
        <v>96/09/08</v>
      </c>
      <c r="AE1977" s="1" t="str">
        <f>"اختتام"</f>
        <v>اختتام</v>
      </c>
      <c r="AF1977" s="1" t="str">
        <f>""</f>
        <v/>
      </c>
      <c r="AG1977" s="1" t="str">
        <f>""</f>
        <v/>
      </c>
      <c r="AH1977" s="1" t="str">
        <f>""</f>
        <v/>
      </c>
      <c r="AI1977" s="1" t="str">
        <f>""</f>
        <v/>
      </c>
      <c r="AJ1977" s="1" t="str">
        <f>""</f>
        <v/>
      </c>
      <c r="AK1977" s="1" t="str">
        <f>""</f>
        <v/>
      </c>
    </row>
    <row r="1978" spans="1:37">
      <c r="A1978" s="1">
        <v>58953</v>
      </c>
      <c r="B1978" s="1">
        <v>962000319</v>
      </c>
      <c r="C1978" s="1" t="str">
        <f>"تخليه خراسان رضوي سنگ بست كيلومتر20جاده مشهدفريمان كارخانه آسفالت طوفان"</f>
        <v>تخليه خراسان رضوي سنگ بست كيلومتر20جاده مشهدفريمان كارخانه آسفالت طوفان</v>
      </c>
      <c r="D1978" s="1">
        <v>9113</v>
      </c>
      <c r="E1978" s="1">
        <v>57540</v>
      </c>
      <c r="F1978" s="1">
        <v>96</v>
      </c>
      <c r="G1978" s="1">
        <v>1413</v>
      </c>
      <c r="H1978" s="1" t="str">
        <f>"96/09/13"</f>
        <v>96/09/13</v>
      </c>
      <c r="I1978" s="1" t="str">
        <f>"كيلوگرم"</f>
        <v>كيلوگرم</v>
      </c>
      <c r="J1978" s="1" t="str">
        <f>"0000000076"</f>
        <v>0000000076</v>
      </c>
      <c r="K1978" s="1" t="str">
        <f>"قير 60/70 - فله"</f>
        <v>قير 60/70 - فله</v>
      </c>
      <c r="L1978" s="1">
        <v>100</v>
      </c>
      <c r="M1978" s="1" t="str">
        <f>"مخازن قير اصفهان"</f>
        <v>مخازن قير اصفهان</v>
      </c>
      <c r="N1978" s="1">
        <v>11513</v>
      </c>
      <c r="O1978" s="1">
        <v>50037524</v>
      </c>
      <c r="P1978" s="1" t="str">
        <f>"  شهرداري قلندرآباد"</f>
        <v xml:space="preserve">  شهرداري قلندرآباد</v>
      </c>
      <c r="Q1978" s="1">
        <v>20</v>
      </c>
      <c r="R1978" s="1" t="str">
        <f>"فروش داخلي - سازمان شهرداري ها و دهياري هاي كشور"</f>
        <v>فروش داخلي - سازمان شهرداري ها و دهياري هاي كشور</v>
      </c>
      <c r="S1978" s="1" t="str">
        <f>"قرارداد فروش"</f>
        <v>قرارداد فروش</v>
      </c>
      <c r="T1978" s="1" t="str">
        <f>"ندارد"</f>
        <v>ندارد</v>
      </c>
      <c r="U1978" s="1" t="str">
        <f>"تعاوني جم گستر (1001 ج 89)"</f>
        <v>تعاوني جم گستر (1001 ج 89)</v>
      </c>
      <c r="V1978" s="1">
        <v>962000319</v>
      </c>
      <c r="W1978" s="1">
        <v>962000319</v>
      </c>
      <c r="X1978" s="1" t="str">
        <f>"1396514467"</f>
        <v>1396514467</v>
      </c>
      <c r="Y1978" s="1" t="str">
        <f>"96/09/12"</f>
        <v>96/09/12</v>
      </c>
      <c r="Z1978" s="1" t="str">
        <f>"37049مرحله دوم"</f>
        <v>37049مرحله دوم</v>
      </c>
      <c r="AA1978" s="1" t="str">
        <f>"شهرداريها"</f>
        <v>شهرداريها</v>
      </c>
      <c r="AB1978" s="1" t="str">
        <f>"96/09/04"</f>
        <v>96/09/04</v>
      </c>
      <c r="AC1978" s="1" t="str">
        <f>"خراسان رضوي"</f>
        <v>خراسان رضوي</v>
      </c>
      <c r="AD1978" s="1" t="str">
        <f>"96/07/03"</f>
        <v>96/07/03</v>
      </c>
      <c r="AE1978" s="1" t="str">
        <f>"اختتام"</f>
        <v>اختتام</v>
      </c>
      <c r="AF1978" s="1" t="str">
        <f>""</f>
        <v/>
      </c>
      <c r="AG1978" s="1" t="str">
        <f>""</f>
        <v/>
      </c>
      <c r="AH1978" s="1" t="str">
        <f>""</f>
        <v/>
      </c>
      <c r="AI1978" s="1" t="str">
        <f>""</f>
        <v/>
      </c>
      <c r="AJ1978" s="1" t="str">
        <f>""</f>
        <v/>
      </c>
      <c r="AK1978" s="1" t="str">
        <f>""</f>
        <v/>
      </c>
    </row>
    <row r="1979" spans="1:37">
      <c r="A1979" s="1">
        <v>39104</v>
      </c>
      <c r="B1979" s="1">
        <v>962000350</v>
      </c>
      <c r="C1979" s="1" t="str">
        <f>"تخليه كرمان شهربابك 60كيلومتري جاده شهربابك -هرات شركت پورياصباح"</f>
        <v>تخليه كرمان شهربابك 60كيلومتري جاده شهربابك -هرات شركت پورياصباح</v>
      </c>
      <c r="D1979" s="1">
        <v>12820</v>
      </c>
      <c r="E1979" s="1">
        <v>39104</v>
      </c>
      <c r="F1979" s="1">
        <v>96</v>
      </c>
      <c r="G1979" s="1">
        <v>0</v>
      </c>
      <c r="H1979" s="1" t="str">
        <f>"96/09/18"</f>
        <v>96/09/18</v>
      </c>
      <c r="I1979" s="1" t="str">
        <f>"كيلوگرم"</f>
        <v>كيلوگرم</v>
      </c>
      <c r="J1979" s="1" t="str">
        <f>"0000000076"</f>
        <v>0000000076</v>
      </c>
      <c r="K1979" s="1" t="str">
        <f>"قير 60/70 - فله"</f>
        <v>قير 60/70 - فله</v>
      </c>
      <c r="L1979" s="1">
        <v>100</v>
      </c>
      <c r="M1979" s="1" t="str">
        <f>"مخازن قير اصفهان"</f>
        <v>مخازن قير اصفهان</v>
      </c>
      <c r="N1979" s="1">
        <v>11520</v>
      </c>
      <c r="O1979" s="1">
        <v>50037608</v>
      </c>
      <c r="P1979" s="1" t="str">
        <f>"  شهرداري خاتون آباد"</f>
        <v xml:space="preserve">  شهرداري خاتون آباد</v>
      </c>
      <c r="Q1979" s="1">
        <v>20</v>
      </c>
      <c r="R1979" s="1" t="str">
        <f>"فروش داخلي - سازمان شهرداري ها و دهياري هاي كشور"</f>
        <v>فروش داخلي - سازمان شهرداري ها و دهياري هاي كشور</v>
      </c>
      <c r="S1979" s="1" t="str">
        <f>"قرارداد فروش"</f>
        <v>قرارداد فروش</v>
      </c>
      <c r="T1979" s="1" t="str">
        <f>"ندارد"</f>
        <v>ندارد</v>
      </c>
      <c r="U1979" s="1" t="str">
        <f>"تعاوني جم گستر (1001 ج 89)"</f>
        <v>تعاوني جم گستر (1001 ج 89)</v>
      </c>
      <c r="V1979" s="1">
        <v>962000350</v>
      </c>
      <c r="W1979" s="1">
        <v>962000350</v>
      </c>
      <c r="X1979" s="1" t="str">
        <f>"1396529711"</f>
        <v>1396529711</v>
      </c>
      <c r="Y1979" s="1" t="str">
        <f>"96/09/18"</f>
        <v>96/09/18</v>
      </c>
      <c r="Z1979" s="1" t="str">
        <f>"38589مرحله دوم"</f>
        <v>38589مرحله دوم</v>
      </c>
      <c r="AA1979" s="1" t="str">
        <f>"شهرداريها"</f>
        <v>شهرداريها</v>
      </c>
      <c r="AB1979" s="1" t="str">
        <f>"96/09/11"</f>
        <v>96/09/11</v>
      </c>
      <c r="AC1979" s="1" t="str">
        <f>"استان كرمان"</f>
        <v>استان كرمان</v>
      </c>
      <c r="AD1979" s="1" t="str">
        <f>"96/09/13"</f>
        <v>96/09/13</v>
      </c>
      <c r="AE1979" s="1" t="str">
        <f>"اختتام"</f>
        <v>اختتام</v>
      </c>
      <c r="AF1979" s="1" t="str">
        <f>""</f>
        <v/>
      </c>
      <c r="AG1979" s="1" t="str">
        <f>""</f>
        <v/>
      </c>
      <c r="AH1979" s="1" t="str">
        <f>""</f>
        <v/>
      </c>
      <c r="AI1979" s="1" t="str">
        <f>""</f>
        <v/>
      </c>
      <c r="AJ1979" s="1" t="str">
        <f>""</f>
        <v/>
      </c>
      <c r="AK1979" s="1" t="str">
        <f>""</f>
        <v/>
      </c>
    </row>
    <row r="1980" spans="1:37">
      <c r="A1980" s="1">
        <v>50000</v>
      </c>
      <c r="B1980" s="1">
        <v>966200626</v>
      </c>
      <c r="C1980" s="1" t="str">
        <f>"تخليه - کهگيلويه و بيراحمد-ليکک-کارخانه آسفالت دموري نژاد"</f>
        <v>تخليه - کهگيلويه و بيراحمد-ليکک-کارخانه آسفالت دموري نژاد</v>
      </c>
      <c r="D1980" s="1">
        <v>13350</v>
      </c>
      <c r="E1980" s="1">
        <v>37760</v>
      </c>
      <c r="F1980" s="1">
        <v>96</v>
      </c>
      <c r="G1980" s="1">
        <v>12240</v>
      </c>
      <c r="H1980" s="1" t="str">
        <f>"96/12/12"</f>
        <v>96/12/12</v>
      </c>
      <c r="I1980" s="1" t="str">
        <f>"كيلوگرم"</f>
        <v>كيلوگرم</v>
      </c>
      <c r="J1980" s="1" t="str">
        <f>"0000000076"</f>
        <v>0000000076</v>
      </c>
      <c r="K1980" s="1" t="str">
        <f>"قير 60/70 - فله"</f>
        <v>قير 60/70 - فله</v>
      </c>
      <c r="L1980" s="1">
        <v>100</v>
      </c>
      <c r="M1980" s="1" t="str">
        <f>"مخازن قير اصفهان"</f>
        <v>مخازن قير اصفهان</v>
      </c>
      <c r="N1980" s="1">
        <v>11521</v>
      </c>
      <c r="O1980" s="1">
        <v>50038701</v>
      </c>
      <c r="P1980" s="1" t="str">
        <f>"  پس باغ گستر"</f>
        <v xml:space="preserve">  پس باغ گستر</v>
      </c>
      <c r="Q1980" s="1">
        <v>62</v>
      </c>
      <c r="R1980" s="1" t="str">
        <f>"فروش داخلي - سازمان بنيادمسكن انقلاب اسلامي"</f>
        <v>فروش داخلي - سازمان بنيادمسكن انقلاب اسلامي</v>
      </c>
      <c r="S1980" s="1" t="str">
        <f>"قرارداد فروش"</f>
        <v>قرارداد فروش</v>
      </c>
      <c r="T1980" s="1" t="str">
        <f>"ندارد"</f>
        <v>ندارد</v>
      </c>
      <c r="U1980" s="1" t="str">
        <f>"غلام نجفي سيامك‌‌‌‌‌‌(1881082)"</f>
        <v>غلام نجفي سيامك‌‌‌‌‌‌(1881082)</v>
      </c>
      <c r="V1980" s="1">
        <v>966200626</v>
      </c>
      <c r="W1980" s="1">
        <v>966200626</v>
      </c>
      <c r="X1980" s="1" t="str">
        <f>"1396551836"</f>
        <v>1396551836</v>
      </c>
      <c r="Y1980" s="1" t="str">
        <f>"96/12/12"</f>
        <v>96/12/12</v>
      </c>
      <c r="Z1980" s="1" t="str">
        <f>"56009/د"</f>
        <v>56009/د</v>
      </c>
      <c r="AA1980" s="1" t="str">
        <f>"بنيادمسكن انقلاب اسلامي"</f>
        <v>بنيادمسكن انقلاب اسلامي</v>
      </c>
      <c r="AB1980" s="1" t="str">
        <f>"96/12/09"</f>
        <v>96/12/09</v>
      </c>
      <c r="AC1980" s="1" t="str">
        <f>"كهكيلويه و بوير احمد"</f>
        <v>كهكيلويه و بوير احمد</v>
      </c>
      <c r="AD1980" s="1" t="str">
        <f>"96/12/12"</f>
        <v>96/12/12</v>
      </c>
      <c r="AE1980" s="1" t="str">
        <f>"اختتام"</f>
        <v>اختتام</v>
      </c>
      <c r="AF1980" s="1" t="str">
        <f>""</f>
        <v/>
      </c>
      <c r="AG1980" s="1" t="str">
        <f>""</f>
        <v/>
      </c>
      <c r="AH1980" s="1" t="str">
        <f>""</f>
        <v/>
      </c>
      <c r="AI1980" s="1" t="str">
        <f>""</f>
        <v/>
      </c>
      <c r="AJ1980" s="1" t="str">
        <f>""</f>
        <v/>
      </c>
      <c r="AK1980" s="1" t="str">
        <f>""</f>
        <v/>
      </c>
    </row>
    <row r="1981" spans="1:37">
      <c r="A1981" s="1">
        <v>147000</v>
      </c>
      <c r="B1981" s="1">
        <v>966200689</v>
      </c>
      <c r="C1981" s="1" t="str">
        <f>"کرمان-کيلومتر7جاده هرات به  شهربابک-کارخانه آسفالت پوريا صباح"</f>
        <v>کرمان-کيلومتر7جاده هرات به  شهربابک-کارخانه آسفالت پوريا صباح</v>
      </c>
      <c r="D1981" s="1">
        <v>13350</v>
      </c>
      <c r="E1981" s="1">
        <v>146480</v>
      </c>
      <c r="F1981" s="1">
        <v>96</v>
      </c>
      <c r="G1981" s="1">
        <v>520</v>
      </c>
      <c r="H1981" s="1" t="str">
        <f>"96/12/23"</f>
        <v>96/12/23</v>
      </c>
      <c r="I1981" s="1" t="str">
        <f>"كيلوگرم"</f>
        <v>كيلوگرم</v>
      </c>
      <c r="J1981" s="1" t="str">
        <f>"0000000076"</f>
        <v>0000000076</v>
      </c>
      <c r="K1981" s="1" t="str">
        <f>"قير 60/70 - فله"</f>
        <v>قير 60/70 - فله</v>
      </c>
      <c r="L1981" s="1">
        <v>100</v>
      </c>
      <c r="M1981" s="1" t="str">
        <f>"مخازن قير اصفهان"</f>
        <v>مخازن قير اصفهان</v>
      </c>
      <c r="N1981" s="1">
        <v>11534</v>
      </c>
      <c r="O1981" s="1">
        <v>50038958</v>
      </c>
      <c r="P1981" s="1" t="str">
        <f>"  معدنکاري و راهسازي پوريا صباح"</f>
        <v xml:space="preserve">  معدنکاري و راهسازي پوريا صباح</v>
      </c>
      <c r="Q1981" s="1">
        <v>62</v>
      </c>
      <c r="R1981" s="1" t="str">
        <f>"فروش داخلي - سازمان بنيادمسكن انقلاب اسلامي"</f>
        <v>فروش داخلي - سازمان بنيادمسكن انقلاب اسلامي</v>
      </c>
      <c r="S1981" s="1" t="str">
        <f>"قرارداد فروش"</f>
        <v>قرارداد فروش</v>
      </c>
      <c r="T1981" s="1" t="str">
        <f>"ندارد"</f>
        <v>ندارد</v>
      </c>
      <c r="U1981" s="1" t="str">
        <f>"قانعي محمدرضا(1011ج89)"</f>
        <v>قانعي محمدرضا(1011ج89)</v>
      </c>
      <c r="V1981" s="1">
        <v>966200689</v>
      </c>
      <c r="W1981" s="1">
        <v>966200689</v>
      </c>
      <c r="X1981" s="1" t="str">
        <f>"1396554554"</f>
        <v>1396554554</v>
      </c>
      <c r="Y1981" s="1" t="str">
        <f>"96/12/23"</f>
        <v>96/12/23</v>
      </c>
      <c r="Z1981" s="1" t="str">
        <f>"58760/د"</f>
        <v>58760/د</v>
      </c>
      <c r="AA1981" s="1" t="str">
        <f>"بنيادمسكن انقلاب اسلامي"</f>
        <v>بنيادمسكن انقلاب اسلامي</v>
      </c>
      <c r="AB1981" s="1" t="str">
        <f>"96/12/21"</f>
        <v>96/12/21</v>
      </c>
      <c r="AC1981" s="1" t="str">
        <f>"استان يزد"</f>
        <v>استان يزد</v>
      </c>
      <c r="AD1981" s="1" t="str">
        <f>"96/12/22"</f>
        <v>96/12/22</v>
      </c>
      <c r="AE1981" s="1" t="str">
        <f>"اختتام"</f>
        <v>اختتام</v>
      </c>
      <c r="AF1981" s="1" t="str">
        <f>""</f>
        <v/>
      </c>
      <c r="AG1981" s="1" t="str">
        <f>""</f>
        <v/>
      </c>
      <c r="AH1981" s="1" t="str">
        <f>""</f>
        <v/>
      </c>
      <c r="AI1981" s="1" t="str">
        <f>""</f>
        <v/>
      </c>
      <c r="AJ1981" s="1" t="str">
        <f>""</f>
        <v/>
      </c>
      <c r="AK1981" s="1" t="str">
        <f>""</f>
        <v/>
      </c>
    </row>
    <row r="1982" spans="1:37">
      <c r="A1982" s="1">
        <v>68000</v>
      </c>
      <c r="B1982" s="1">
        <v>966200652</v>
      </c>
      <c r="C1982" s="1" t="str">
        <f>"تخليه - يزد-کارخانه آسفالت شهرداري ابرکوه"</f>
        <v>تخليه - يزد-کارخانه آسفالت شهرداري ابرکوه</v>
      </c>
      <c r="D1982" s="1">
        <v>13350</v>
      </c>
      <c r="E1982" s="1">
        <v>66120</v>
      </c>
      <c r="F1982" s="1">
        <v>96</v>
      </c>
      <c r="G1982" s="1">
        <v>1880</v>
      </c>
      <c r="H1982" s="1" t="str">
        <f>"96/12/14"</f>
        <v>96/12/14</v>
      </c>
      <c r="I1982" s="1" t="str">
        <f>"كيلوگرم"</f>
        <v>كيلوگرم</v>
      </c>
      <c r="J1982" s="1" t="str">
        <f>"0000000076"</f>
        <v>0000000076</v>
      </c>
      <c r="K1982" s="1" t="str">
        <f>"قير 60/70 - فله"</f>
        <v>قير 60/70 - فله</v>
      </c>
      <c r="L1982" s="1">
        <v>100</v>
      </c>
      <c r="M1982" s="1" t="str">
        <f>"مخازن قير اصفهان"</f>
        <v>مخازن قير اصفهان</v>
      </c>
      <c r="N1982" s="1">
        <v>11544</v>
      </c>
      <c r="O1982" s="1">
        <v>50038777</v>
      </c>
      <c r="P1982" s="1" t="str">
        <f>"  آراد راه مسير کوير يزد"</f>
        <v xml:space="preserve">  آراد راه مسير کوير يزد</v>
      </c>
      <c r="Q1982" s="1">
        <v>62</v>
      </c>
      <c r="R1982" s="1" t="str">
        <f>"فروش داخلي - سازمان بنيادمسكن انقلاب اسلامي"</f>
        <v>فروش داخلي - سازمان بنيادمسكن انقلاب اسلامي</v>
      </c>
      <c r="S1982" s="1" t="str">
        <f>"قرارداد فروش"</f>
        <v>قرارداد فروش</v>
      </c>
      <c r="T1982" s="1" t="str">
        <f>"ندارد"</f>
        <v>ندارد</v>
      </c>
      <c r="U1982" s="1" t="str">
        <f>"عزيزي صفر(1006ج 89)"</f>
        <v>عزيزي صفر(1006ج 89)</v>
      </c>
      <c r="V1982" s="1">
        <v>966200652</v>
      </c>
      <c r="W1982" s="1">
        <v>966200652</v>
      </c>
      <c r="X1982" s="1" t="str">
        <f>"1396552261"</f>
        <v>1396552261</v>
      </c>
      <c r="Y1982" s="1" t="str">
        <f>"96/12/14"</f>
        <v>96/12/14</v>
      </c>
      <c r="Z1982" s="1" t="str">
        <f>"56656/د"</f>
        <v>56656/د</v>
      </c>
      <c r="AA1982" s="1" t="str">
        <f>"بنيادمسكن انقلاب اسلامي"</f>
        <v>بنيادمسكن انقلاب اسلامي</v>
      </c>
      <c r="AB1982" s="1" t="str">
        <f>"96/12/13"</f>
        <v>96/12/13</v>
      </c>
      <c r="AC1982" s="1" t="str">
        <f>"استان يزد"</f>
        <v>استان يزد</v>
      </c>
      <c r="AD1982" s="1" t="str">
        <f>"96/12/14"</f>
        <v>96/12/14</v>
      </c>
      <c r="AE1982" s="1" t="str">
        <f>"اختتام"</f>
        <v>اختتام</v>
      </c>
      <c r="AF1982" s="1" t="str">
        <f>""</f>
        <v/>
      </c>
      <c r="AG1982" s="1" t="str">
        <f>""</f>
        <v/>
      </c>
      <c r="AH1982" s="1" t="str">
        <f>""</f>
        <v/>
      </c>
      <c r="AI1982" s="1" t="str">
        <f>""</f>
        <v/>
      </c>
      <c r="AJ1982" s="1" t="str">
        <f>""</f>
        <v/>
      </c>
      <c r="AK1982" s="1" t="str">
        <f>""</f>
        <v/>
      </c>
    </row>
    <row r="1983" spans="1:37">
      <c r="A1983" s="1">
        <v>300000</v>
      </c>
      <c r="B1983" s="1">
        <v>961900081</v>
      </c>
      <c r="C1983" s="1" t="str">
        <f>"تخليه -چهارمحال بختياري -جاده شهركرد-اصفهان -جنب تونل گردنه رخ -زرين استحكام"</f>
        <v>تخليه -چهارمحال بختياري -جاده شهركرد-اصفهان -جنب تونل گردنه رخ -زرين استحكام</v>
      </c>
      <c r="D1983" s="1">
        <v>8904</v>
      </c>
      <c r="E1983" s="1">
        <v>299200</v>
      </c>
      <c r="F1983" s="1">
        <v>96</v>
      </c>
      <c r="G1983" s="1">
        <v>800</v>
      </c>
      <c r="H1983" s="1" t="str">
        <f>"96/04/25"</f>
        <v>96/04/25</v>
      </c>
      <c r="I1983" s="1" t="str">
        <f>"كيلوگرم"</f>
        <v>كيلوگرم</v>
      </c>
      <c r="J1983" s="1" t="str">
        <f>"0000000088"</f>
        <v>0000000088</v>
      </c>
      <c r="K1983" s="1" t="str">
        <f>"قير  PG58-22"</f>
        <v>قير  PG58-22</v>
      </c>
      <c r="L1983" s="1">
        <v>100</v>
      </c>
      <c r="M1983" s="1" t="str">
        <f>"مخازن قير اصفهان"</f>
        <v>مخازن قير اصفهان</v>
      </c>
      <c r="N1983" s="1">
        <v>1351</v>
      </c>
      <c r="O1983" s="1">
        <v>50035222</v>
      </c>
      <c r="P1983" s="1" t="str">
        <f>"  زرين استحكام"</f>
        <v xml:space="preserve">  زرين استحكام</v>
      </c>
      <c r="Q1983" s="1">
        <v>19</v>
      </c>
      <c r="R198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983" s="1" t="str">
        <f>"قرارداد فروش"</f>
        <v>قرارداد فروش</v>
      </c>
      <c r="T1983" s="1" t="str">
        <f>"ندارد"</f>
        <v>ندارد</v>
      </c>
      <c r="U1983" s="1" t="str">
        <f>"قره باغي مجيد(1871065)"</f>
        <v>قره باغي مجيد(1871065)</v>
      </c>
      <c r="V1983" s="1">
        <v>961900081</v>
      </c>
      <c r="W1983" s="1">
        <v>961900081</v>
      </c>
      <c r="X1983" s="1" t="str">
        <f>"1396496978"</f>
        <v>1396496978</v>
      </c>
      <c r="Y1983" s="1" t="str">
        <f>"96/04/25"</f>
        <v>96/04/25</v>
      </c>
      <c r="Z1983" s="1" t="str">
        <f>"18228/710"</f>
        <v>18228/710</v>
      </c>
      <c r="AA1983" s="1" t="str">
        <f>"سازمان راهداري وحمل نقل جاده اي"</f>
        <v>سازمان راهداري وحمل نقل جاده اي</v>
      </c>
      <c r="AB1983" s="1" t="str">
        <f>"96/04/21"</f>
        <v>96/04/21</v>
      </c>
      <c r="AC1983" s="1" t="str">
        <f>"استان چهارمحال بختياري"</f>
        <v>استان چهارمحال بختياري</v>
      </c>
      <c r="AD1983" s="1" t="str">
        <f>"96/04/25"</f>
        <v>96/04/25</v>
      </c>
      <c r="AE1983" s="1" t="str">
        <f>"اختتام"</f>
        <v>اختتام</v>
      </c>
      <c r="AF1983" s="1" t="str">
        <f>""</f>
        <v/>
      </c>
      <c r="AG1983" s="1" t="str">
        <f>""</f>
        <v/>
      </c>
      <c r="AH1983" s="1" t="str">
        <f>""</f>
        <v/>
      </c>
      <c r="AI1983" s="1" t="str">
        <f>""</f>
        <v/>
      </c>
      <c r="AJ1983" s="1" t="str">
        <f>""</f>
        <v/>
      </c>
      <c r="AK1983" s="1" t="str">
        <f>""</f>
        <v/>
      </c>
    </row>
    <row r="1984" spans="1:37">
      <c r="A1984" s="1">
        <v>40000</v>
      </c>
      <c r="B1984" s="1">
        <v>961700067</v>
      </c>
      <c r="C1984" s="1" t="str">
        <f>"تخليه چهارمحال وبختياري تومانك شركت احمديه چليچه"</f>
        <v>تخليه چهارمحال وبختياري تومانك شركت احمديه چليچه</v>
      </c>
      <c r="D1984" s="1">
        <v>9204</v>
      </c>
      <c r="E1984" s="1">
        <v>38900</v>
      </c>
      <c r="F1984" s="1">
        <v>96</v>
      </c>
      <c r="G1984" s="1">
        <v>1100</v>
      </c>
      <c r="H1984" s="1" t="str">
        <f>"96/05/28"</f>
        <v>96/05/28</v>
      </c>
      <c r="I1984" s="1" t="str">
        <f>"كيلوگرم"</f>
        <v>كيلوگرم</v>
      </c>
      <c r="J1984" s="1" t="str">
        <f>"0000000088"</f>
        <v>0000000088</v>
      </c>
      <c r="K1984" s="1" t="str">
        <f>"قير  PG58-22"</f>
        <v>قير  PG58-22</v>
      </c>
      <c r="L1984" s="1">
        <v>100</v>
      </c>
      <c r="M1984" s="1" t="str">
        <f>"مخازن قير اصفهان"</f>
        <v>مخازن قير اصفهان</v>
      </c>
      <c r="N1984" s="1">
        <v>7190</v>
      </c>
      <c r="O1984" s="1">
        <v>50035721</v>
      </c>
      <c r="P1984" s="1" t="str">
        <f>"  اداره كل راه و شهرسازي چهارمحال وبختياري"</f>
        <v xml:space="preserve">  اداره كل راه و شهرسازي چهارمحال وبختياري</v>
      </c>
      <c r="Q1984" s="1">
        <v>17</v>
      </c>
      <c r="R1984" s="1" t="str">
        <f>"فروش داخلي تهران - وزارت راه - راه روستايي - روکش"</f>
        <v>فروش داخلي تهران - وزارت راه - راه روستايي - روکش</v>
      </c>
      <c r="S1984" s="1" t="str">
        <f>"قرارداد فروش"</f>
        <v>قرارداد فروش</v>
      </c>
      <c r="T1984" s="1" t="str">
        <f>"ندارد"</f>
        <v>ندارد</v>
      </c>
      <c r="U1984" s="1" t="str">
        <f>"قره باغي مجيد(1871065)"</f>
        <v>قره باغي مجيد(1871065)</v>
      </c>
      <c r="V1984" s="1">
        <v>961700067</v>
      </c>
      <c r="W1984" s="1">
        <v>961700067</v>
      </c>
      <c r="X1984" s="1" t="str">
        <f>"1396506334"</f>
        <v>1396506334</v>
      </c>
      <c r="Y1984" s="1" t="str">
        <f>"96/05/28"</f>
        <v>96/05/28</v>
      </c>
      <c r="Z1984" s="1" t="str">
        <f>"25343/710"</f>
        <v>25343/710</v>
      </c>
      <c r="AA1984" s="1" t="str">
        <f>"راه روستائي -روكش"</f>
        <v>راه روستائي -روكش</v>
      </c>
      <c r="AB1984" s="1" t="str">
        <f>"96/05/25"</f>
        <v>96/05/25</v>
      </c>
      <c r="AC1984" s="1" t="str">
        <f>"استان چهارمحال بختياري"</f>
        <v>استان چهارمحال بختياري</v>
      </c>
      <c r="AD1984" s="1" t="str">
        <f>"96/05/28"</f>
        <v>96/05/28</v>
      </c>
      <c r="AE1984" s="1" t="str">
        <f>"اختتام"</f>
        <v>اختتام</v>
      </c>
      <c r="AF1984" s="1" t="str">
        <f>""</f>
        <v/>
      </c>
      <c r="AG1984" s="1" t="str">
        <f>""</f>
        <v/>
      </c>
      <c r="AH1984" s="1" t="str">
        <f>""</f>
        <v/>
      </c>
      <c r="AI1984" s="1" t="str">
        <f>""</f>
        <v/>
      </c>
      <c r="AJ1984" s="1" t="str">
        <f>""</f>
        <v/>
      </c>
      <c r="AK1984" s="1" t="str">
        <f>""</f>
        <v/>
      </c>
    </row>
    <row r="1985" spans="1:37">
      <c r="A1985" s="1">
        <v>80000</v>
      </c>
      <c r="B1985" s="1">
        <v>961700232</v>
      </c>
      <c r="C1985" s="1" t="str">
        <f>"تخليه -چهارمحال بختياري -شهرستان فارسان كارخانه آسفالت شركت احمديه چليچه"</f>
        <v>تخليه -چهارمحال بختياري -شهرستان فارسان كارخانه آسفالت شركت احمديه چليچه</v>
      </c>
      <c r="D1985" s="1">
        <v>14000</v>
      </c>
      <c r="E1985" s="1">
        <v>80000</v>
      </c>
      <c r="F1985" s="1">
        <v>96</v>
      </c>
      <c r="G1985" s="1">
        <v>0</v>
      </c>
      <c r="H1985" s="1" t="str">
        <f>"96/12/24"</f>
        <v>96/12/24</v>
      </c>
      <c r="I1985" s="1" t="str">
        <f>"كيلوگرم"</f>
        <v>كيلوگرم</v>
      </c>
      <c r="J1985" s="1" t="str">
        <f>"0000000088"</f>
        <v>0000000088</v>
      </c>
      <c r="K1985" s="1" t="str">
        <f>"قير  PG58-22"</f>
        <v>قير  PG58-22</v>
      </c>
      <c r="L1985" s="1">
        <v>100</v>
      </c>
      <c r="M1985" s="1" t="str">
        <f>"مخازن قير اصفهان"</f>
        <v>مخازن قير اصفهان</v>
      </c>
      <c r="N1985" s="1">
        <v>7190</v>
      </c>
      <c r="O1985" s="1">
        <v>50039013</v>
      </c>
      <c r="P1985" s="1" t="str">
        <f>"  اداره كل راه و شهرسازي چهارمحال وبختياري"</f>
        <v xml:space="preserve">  اداره كل راه و شهرسازي چهارمحال وبختياري</v>
      </c>
      <c r="Q1985" s="1">
        <v>17</v>
      </c>
      <c r="R1985" s="1" t="str">
        <f>"فروش داخلي تهران - وزارت راه - راه روستايي - روکش"</f>
        <v>فروش داخلي تهران - وزارت راه - راه روستايي - روکش</v>
      </c>
      <c r="S1985" s="1" t="str">
        <f>"قرارداد فروش"</f>
        <v>قرارداد فروش</v>
      </c>
      <c r="T1985" s="1" t="str">
        <f>"ندارد"</f>
        <v>ندارد</v>
      </c>
      <c r="U1985" s="1" t="str">
        <f>"قره باغي مجيد(1871065)"</f>
        <v>قره باغي مجيد(1871065)</v>
      </c>
      <c r="V1985" s="1">
        <v>961700232</v>
      </c>
      <c r="W1985" s="1">
        <v>961700232</v>
      </c>
      <c r="X1985" s="1" t="str">
        <f>"1396553920"</f>
        <v>1396553920</v>
      </c>
      <c r="Y1985" s="1" t="str">
        <f>"96/12/24"</f>
        <v>96/12/24</v>
      </c>
      <c r="Z1985" s="1" t="str">
        <f>"47989/710"</f>
        <v>47989/710</v>
      </c>
      <c r="AA1985" s="1" t="str">
        <f>"راه روستائي -روكش"</f>
        <v>راه روستائي -روكش</v>
      </c>
      <c r="AB1985" s="1" t="str">
        <f>"96/09/19"</f>
        <v>96/09/19</v>
      </c>
      <c r="AC1985" s="1" t="str">
        <f>"استان چهارمحال بختياري"</f>
        <v>استان چهارمحال بختياري</v>
      </c>
      <c r="AD1985" s="1" t="str">
        <f>"96/12/20"</f>
        <v>96/12/20</v>
      </c>
      <c r="AE1985" s="1" t="str">
        <f>"اختتام"</f>
        <v>اختتام</v>
      </c>
      <c r="AF1985" s="1" t="str">
        <f>""</f>
        <v/>
      </c>
      <c r="AG1985" s="1" t="str">
        <f>""</f>
        <v/>
      </c>
      <c r="AH1985" s="1" t="str">
        <f>""</f>
        <v/>
      </c>
      <c r="AI1985" s="1" t="str">
        <f>""</f>
        <v/>
      </c>
      <c r="AJ1985" s="1" t="str">
        <f>""</f>
        <v/>
      </c>
      <c r="AK1985" s="1" t="str">
        <f>""</f>
        <v/>
      </c>
    </row>
    <row r="1986" spans="1:37">
      <c r="A1986" s="1">
        <v>500000</v>
      </c>
      <c r="B1986" s="1">
        <v>961800068</v>
      </c>
      <c r="C1986" s="1" t="str">
        <f>"تخليه -كيلومتر5جاده دهگلان -سنندج شركت فن وتجربه غرب"</f>
        <v>تخليه -كيلومتر5جاده دهگلان -سنندج شركت فن وتجربه غرب</v>
      </c>
      <c r="D1986" s="1">
        <v>12970</v>
      </c>
      <c r="E1986" s="1">
        <v>497620</v>
      </c>
      <c r="F1986" s="1">
        <v>96</v>
      </c>
      <c r="G1986" s="1">
        <v>2380</v>
      </c>
      <c r="H1986" s="1" t="str">
        <f>"96/07/26"</f>
        <v>96/07/26</v>
      </c>
      <c r="I1986" s="1" t="str">
        <f>"كيلوگرم"</f>
        <v>كيلوگرم</v>
      </c>
      <c r="J1986" s="1" t="str">
        <f>"0000000088"</f>
        <v>0000000088</v>
      </c>
      <c r="K1986" s="1" t="str">
        <f>"قير  PG58-22"</f>
        <v>قير  PG58-22</v>
      </c>
      <c r="L1986" s="1">
        <v>100</v>
      </c>
      <c r="M1986" s="1" t="str">
        <f>"مخازن قير اصفهان"</f>
        <v>مخازن قير اصفهان</v>
      </c>
      <c r="N1986" s="1">
        <v>8877</v>
      </c>
      <c r="O1986" s="1">
        <v>50036810</v>
      </c>
      <c r="P1986" s="1" t="str">
        <f>"  نيوشا راه سنندج"</f>
        <v xml:space="preserve">  نيوشا راه سنندج</v>
      </c>
      <c r="Q1986" s="1">
        <v>18</v>
      </c>
      <c r="R1986" s="1" t="str">
        <f>"فروش داخلي تهران - وزارت راه - شرکت ساخت و توسعه راهها"</f>
        <v>فروش داخلي تهران - وزارت راه - شرکت ساخت و توسعه راهها</v>
      </c>
      <c r="S1986" s="1" t="str">
        <f>"قرارداد فروش"</f>
        <v>قرارداد فروش</v>
      </c>
      <c r="T1986" s="1" t="str">
        <f>"ندارد"</f>
        <v>ندارد</v>
      </c>
      <c r="U1986" s="1" t="str">
        <f>"ميهن دوست عبداله(2842010)"</f>
        <v>ميهن دوست عبداله(2842010)</v>
      </c>
      <c r="V1986" s="1">
        <v>961800068</v>
      </c>
      <c r="W1986" s="1">
        <v>961800068</v>
      </c>
      <c r="X1986" s="1" t="str">
        <f>"1396519944"</f>
        <v>1396519944</v>
      </c>
      <c r="Y1986" s="1" t="str">
        <f>"96/07/26"</f>
        <v>96/07/26</v>
      </c>
      <c r="Z1986" s="1" t="str">
        <f>"36840/710"</f>
        <v>36840/710</v>
      </c>
      <c r="AA1986" s="1" t="str">
        <f>"شركت  ساخت وتوسعه راهها"</f>
        <v>شركت  ساخت وتوسعه راهها</v>
      </c>
      <c r="AB1986" s="1" t="str">
        <f>"96/07/25"</f>
        <v>96/07/25</v>
      </c>
      <c r="AC1986" s="1" t="str">
        <f>"استان كردستان"</f>
        <v>استان كردستان</v>
      </c>
      <c r="AD1986" s="1" t="str">
        <f>"96/07/26"</f>
        <v>96/07/26</v>
      </c>
      <c r="AE1986" s="1" t="str">
        <f>"اختتام"</f>
        <v>اختتام</v>
      </c>
      <c r="AF1986" s="1" t="str">
        <f>""</f>
        <v/>
      </c>
      <c r="AG1986" s="1" t="str">
        <f>""</f>
        <v/>
      </c>
      <c r="AH1986" s="1" t="str">
        <f>""</f>
        <v/>
      </c>
      <c r="AI1986" s="1" t="str">
        <f>""</f>
        <v/>
      </c>
      <c r="AJ1986" s="1" t="str">
        <f>""</f>
        <v/>
      </c>
      <c r="AK1986" s="1" t="str">
        <f>""</f>
        <v/>
      </c>
    </row>
    <row r="1987" spans="1:37">
      <c r="A1987" s="1">
        <v>700000</v>
      </c>
      <c r="B1987" s="1">
        <v>961800015</v>
      </c>
      <c r="C1987" s="1" t="str">
        <f>"تخليه -اصفهان -شهرستان داران كارخانه آسفالت بهاران بتن فراگيران"</f>
        <v>تخليه -اصفهان -شهرستان داران كارخانه آسفالت بهاران بتن فراگيران</v>
      </c>
      <c r="D1987" s="1">
        <v>8904</v>
      </c>
      <c r="E1987" s="1">
        <v>698260</v>
      </c>
      <c r="F1987" s="1">
        <v>96</v>
      </c>
      <c r="G1987" s="1">
        <v>1740</v>
      </c>
      <c r="H1987" s="1" t="str">
        <f>"96/04/27"</f>
        <v>96/04/27</v>
      </c>
      <c r="I1987" s="1" t="str">
        <f>"كيلوگرم"</f>
        <v>كيلوگرم</v>
      </c>
      <c r="J1987" s="1" t="str">
        <f>"0000000088"</f>
        <v>0000000088</v>
      </c>
      <c r="K1987" s="1" t="str">
        <f>"قير  PG58-22"</f>
        <v>قير  PG58-22</v>
      </c>
      <c r="L1987" s="1">
        <v>100</v>
      </c>
      <c r="M1987" s="1" t="str">
        <f>"مخازن قير اصفهان"</f>
        <v>مخازن قير اصفهان</v>
      </c>
      <c r="N1987" s="1">
        <v>9639</v>
      </c>
      <c r="O1987" s="1">
        <v>50035258</v>
      </c>
      <c r="P1987" s="1" t="str">
        <f>"  بهاران بتن فراگيران"</f>
        <v xml:space="preserve">  بهاران بتن فراگيران</v>
      </c>
      <c r="Q1987" s="1">
        <v>18</v>
      </c>
      <c r="R1987" s="1" t="str">
        <f>"فروش داخلي تهران - وزارت راه - شرکت ساخت و توسعه راهها"</f>
        <v>فروش داخلي تهران - وزارت راه - شرکت ساخت و توسعه راهها</v>
      </c>
      <c r="S1987" s="1" t="str">
        <f>"قرارداد فروش"</f>
        <v>قرارداد فروش</v>
      </c>
      <c r="T1987" s="1" t="str">
        <f>"ندارد"</f>
        <v>ندارد</v>
      </c>
      <c r="U1987" s="1" t="str">
        <f>"مرادي نجاتعلي(1020ج89)"</f>
        <v>مرادي نجاتعلي(1020ج89)</v>
      </c>
      <c r="V1987" s="1">
        <v>961800015</v>
      </c>
      <c r="W1987" s="1">
        <v>961800015</v>
      </c>
      <c r="X1987" s="1" t="str">
        <f>"1396497805"</f>
        <v>1396497805</v>
      </c>
      <c r="Y1987" s="1" t="str">
        <f>"96/04/27"</f>
        <v>96/04/27</v>
      </c>
      <c r="Z1987" s="1" t="str">
        <f>"18446/710"</f>
        <v>18446/710</v>
      </c>
      <c r="AA1987" s="1" t="str">
        <f>"شركت  ساخت وتوسعه راهها"</f>
        <v>شركت  ساخت وتوسعه راهها</v>
      </c>
      <c r="AB1987" s="1" t="str">
        <f>"96/04/24"</f>
        <v>96/04/24</v>
      </c>
      <c r="AC1987" s="1" t="str">
        <f>"استان اصفهان"</f>
        <v>استان اصفهان</v>
      </c>
      <c r="AD1987" s="1" t="str">
        <f>"96/04/27"</f>
        <v>96/04/27</v>
      </c>
      <c r="AE1987" s="1" t="str">
        <f>"اختتام"</f>
        <v>اختتام</v>
      </c>
      <c r="AF1987" s="1" t="str">
        <f>""</f>
        <v/>
      </c>
      <c r="AG1987" s="1" t="str">
        <f>""</f>
        <v/>
      </c>
      <c r="AH1987" s="1" t="str">
        <f>""</f>
        <v/>
      </c>
      <c r="AI1987" s="1" t="str">
        <f>""</f>
        <v/>
      </c>
      <c r="AJ1987" s="1" t="str">
        <f>""</f>
        <v/>
      </c>
      <c r="AK1987" s="1" t="str">
        <f>""</f>
        <v/>
      </c>
    </row>
    <row r="1988" spans="1:37">
      <c r="A1988" s="1">
        <v>200000</v>
      </c>
      <c r="B1988" s="1">
        <v>961900075</v>
      </c>
      <c r="C1988" s="1" t="str">
        <f>"تخليه -اصفهان -جاده مباركه به طالخونچه -كيلومتر12-فلكه ورودي شهر-مجتمع كارگاهي اميركبير"</f>
        <v>تخليه -اصفهان -جاده مباركه به طالخونچه -كيلومتر12-فلكه ورودي شهر-مجتمع كارگاهي اميركبير</v>
      </c>
      <c r="D1988" s="1">
        <v>8904</v>
      </c>
      <c r="E1988" s="1">
        <v>200000</v>
      </c>
      <c r="F1988" s="1">
        <v>96</v>
      </c>
      <c r="G1988" s="1">
        <v>0</v>
      </c>
      <c r="H1988" s="1" t="str">
        <f>"96/04/22"</f>
        <v>96/04/22</v>
      </c>
      <c r="I1988" s="1" t="str">
        <f>"كيلوگرم"</f>
        <v>كيلوگرم</v>
      </c>
      <c r="J1988" s="1" t="str">
        <f>"0000000088"</f>
        <v>0000000088</v>
      </c>
      <c r="K1988" s="1" t="str">
        <f>"قير  PG58-22"</f>
        <v>قير  PG58-22</v>
      </c>
      <c r="L1988" s="1">
        <v>100</v>
      </c>
      <c r="M1988" s="1" t="str">
        <f>"مخازن قير اصفهان"</f>
        <v>مخازن قير اصفهان</v>
      </c>
      <c r="N1988" s="1">
        <v>10497</v>
      </c>
      <c r="O1988" s="1">
        <v>50035200</v>
      </c>
      <c r="P1988" s="1" t="str">
        <f>"  نويدنورسپاهان"</f>
        <v xml:space="preserve">  نويدنورسپاهان</v>
      </c>
      <c r="Q1988" s="1">
        <v>19</v>
      </c>
      <c r="R198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988" s="1" t="str">
        <f>"قرارداد فروش"</f>
        <v>قرارداد فروش</v>
      </c>
      <c r="T1988" s="1" t="str">
        <f>"ندارد"</f>
        <v>ندارد</v>
      </c>
      <c r="U1988" s="1" t="str">
        <f>"شهبازي محمدرضا(1029ج89)"</f>
        <v>شهبازي محمدرضا(1029ج89)</v>
      </c>
      <c r="V1988" s="1">
        <v>961900075</v>
      </c>
      <c r="W1988" s="1">
        <v>961900075</v>
      </c>
      <c r="X1988" s="1" t="str">
        <f>"1396496304"</f>
        <v>1396496304</v>
      </c>
      <c r="Y1988" s="1" t="str">
        <f>"96/04/22"</f>
        <v>96/04/22</v>
      </c>
      <c r="Z1988" s="1" t="str">
        <f>"17687/710"</f>
        <v>17687/710</v>
      </c>
      <c r="AA1988" s="1" t="str">
        <f>"سازمان راهداري وحمل نقل جاده اي"</f>
        <v>سازمان راهداري وحمل نقل جاده اي</v>
      </c>
      <c r="AB1988" s="1" t="str">
        <f>"96/04/20"</f>
        <v>96/04/20</v>
      </c>
      <c r="AC1988" s="1" t="str">
        <f>"استان اصفهان"</f>
        <v>استان اصفهان</v>
      </c>
      <c r="AD1988" s="1" t="str">
        <f>"96/04/21"</f>
        <v>96/04/21</v>
      </c>
      <c r="AE1988" s="1" t="str">
        <f>"اختتام"</f>
        <v>اختتام</v>
      </c>
      <c r="AF1988" s="1" t="str">
        <f>""</f>
        <v/>
      </c>
      <c r="AG1988" s="1" t="str">
        <f>""</f>
        <v/>
      </c>
      <c r="AH1988" s="1" t="str">
        <f>""</f>
        <v/>
      </c>
      <c r="AI1988" s="1" t="str">
        <f>""</f>
        <v/>
      </c>
      <c r="AJ1988" s="1" t="str">
        <f>""</f>
        <v/>
      </c>
      <c r="AK1988" s="1" t="str">
        <f>""</f>
        <v/>
      </c>
    </row>
    <row r="1989" spans="1:37">
      <c r="A1989" s="1">
        <v>160000</v>
      </c>
      <c r="B1989" s="1">
        <v>961700105</v>
      </c>
      <c r="C1989" s="1" t="str">
        <f>"تخليه - کردستان-کارخانه آسفالت سنته سقز"</f>
        <v>تخليه - کردستان-کارخانه آسفالت سنته سقز</v>
      </c>
      <c r="D1989" s="1">
        <v>9363</v>
      </c>
      <c r="E1989" s="1">
        <v>159880</v>
      </c>
      <c r="F1989" s="1">
        <v>96</v>
      </c>
      <c r="G1989" s="1">
        <v>120</v>
      </c>
      <c r="H1989" s="1" t="str">
        <f>"96/07/06"</f>
        <v>96/07/06</v>
      </c>
      <c r="I1989" s="1" t="str">
        <f>"كيلوگرم"</f>
        <v>كيلوگرم</v>
      </c>
      <c r="J1989" s="1" t="str">
        <f>"0000000088"</f>
        <v>0000000088</v>
      </c>
      <c r="K1989" s="1" t="str">
        <f>"قير  PG58-22"</f>
        <v>قير  PG58-22</v>
      </c>
      <c r="L1989" s="1">
        <v>100</v>
      </c>
      <c r="M1989" s="1" t="str">
        <f>"مخازن قير اصفهان"</f>
        <v>مخازن قير اصفهان</v>
      </c>
      <c r="N1989" s="1">
        <v>10501</v>
      </c>
      <c r="O1989" s="1">
        <v>50036417</v>
      </c>
      <c r="P1989" s="1" t="str">
        <f>"  شكوه راه ديوان"</f>
        <v xml:space="preserve">  شكوه راه ديوان</v>
      </c>
      <c r="Q1989" s="1">
        <v>17</v>
      </c>
      <c r="R1989" s="1" t="str">
        <f>"فروش داخلي تهران - وزارت راه - راه روستايي - روکش"</f>
        <v>فروش داخلي تهران - وزارت راه - راه روستايي - روکش</v>
      </c>
      <c r="S1989" s="1" t="str">
        <f>"قرارداد فروش"</f>
        <v>قرارداد فروش</v>
      </c>
      <c r="T1989" s="1" t="str">
        <f>"ندارد"</f>
        <v>ندارد</v>
      </c>
      <c r="U1989" s="1" t="str">
        <f>"ميهن دوست عبداله(2842010)"</f>
        <v>ميهن دوست عبداله(2842010)</v>
      </c>
      <c r="V1989" s="1">
        <v>961700105</v>
      </c>
      <c r="W1989" s="1">
        <v>961700105</v>
      </c>
      <c r="X1989" s="1" t="str">
        <f>"1396514738"</f>
        <v>1396514738</v>
      </c>
      <c r="Y1989" s="1" t="str">
        <f>"96/07/06"</f>
        <v>96/07/06</v>
      </c>
      <c r="Z1989" s="1" t="str">
        <f>"31404/710"</f>
        <v>31404/710</v>
      </c>
      <c r="AA1989" s="1" t="str">
        <f>"راه روستائي -روكش"</f>
        <v>راه روستائي -روكش</v>
      </c>
      <c r="AB1989" s="1" t="str">
        <f>"96/06/26"</f>
        <v>96/06/26</v>
      </c>
      <c r="AC1989" s="1" t="str">
        <f>"استان كردستان"</f>
        <v>استان كردستان</v>
      </c>
      <c r="AD1989" s="1" t="str">
        <f>"96/07/04"</f>
        <v>96/07/04</v>
      </c>
      <c r="AE1989" s="1" t="str">
        <f>"اختتام"</f>
        <v>اختتام</v>
      </c>
      <c r="AF1989" s="1" t="str">
        <f>""</f>
        <v/>
      </c>
      <c r="AG1989" s="1" t="str">
        <f>""</f>
        <v/>
      </c>
      <c r="AH1989" s="1" t="str">
        <f>""</f>
        <v/>
      </c>
      <c r="AI1989" s="1" t="str">
        <f>""</f>
        <v/>
      </c>
      <c r="AJ1989" s="1" t="str">
        <f>""</f>
        <v/>
      </c>
      <c r="AK1989" s="1" t="str">
        <f>""</f>
        <v/>
      </c>
    </row>
    <row r="1990" spans="1:37">
      <c r="A1990" s="1">
        <v>350000</v>
      </c>
      <c r="B1990" s="1">
        <v>961900077</v>
      </c>
      <c r="C1990" s="1" t="str">
        <f>"تخليه -اصفهان -فريدن -كارخانه آسفالت دامنه"</f>
        <v>تخليه -اصفهان -فريدن -كارخانه آسفالت دامنه</v>
      </c>
      <c r="D1990" s="1">
        <v>8904</v>
      </c>
      <c r="E1990" s="1">
        <v>349520</v>
      </c>
      <c r="F1990" s="1">
        <v>96</v>
      </c>
      <c r="G1990" s="1">
        <v>480</v>
      </c>
      <c r="H1990" s="1" t="str">
        <f>"96/04/22"</f>
        <v>96/04/22</v>
      </c>
      <c r="I1990" s="1" t="str">
        <f>"كيلوگرم"</f>
        <v>كيلوگرم</v>
      </c>
      <c r="J1990" s="1" t="str">
        <f>"0000000088"</f>
        <v>0000000088</v>
      </c>
      <c r="K1990" s="1" t="str">
        <f>"قير  PG58-22"</f>
        <v>قير  PG58-22</v>
      </c>
      <c r="L1990" s="1">
        <v>100</v>
      </c>
      <c r="M1990" s="1" t="str">
        <f>"مخازن قير اصفهان"</f>
        <v>مخازن قير اصفهان</v>
      </c>
      <c r="N1990" s="1">
        <v>10536</v>
      </c>
      <c r="O1990" s="1">
        <v>50035202</v>
      </c>
      <c r="P1990" s="1" t="str">
        <f>"  آبجيل صنعت"</f>
        <v xml:space="preserve">  آبجيل صنعت</v>
      </c>
      <c r="Q1990" s="1">
        <v>19</v>
      </c>
      <c r="R199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1990" s="1" t="str">
        <f>"قرارداد فروش"</f>
        <v>قرارداد فروش</v>
      </c>
      <c r="T1990" s="1" t="str">
        <f>"ندارد"</f>
        <v>ندارد</v>
      </c>
      <c r="U1990" s="1" t="str">
        <f>"سيفي پور گودرز(1019ج89)"</f>
        <v>سيفي پور گودرز(1019ج89)</v>
      </c>
      <c r="V1990" s="1">
        <v>961900077</v>
      </c>
      <c r="W1990" s="1">
        <v>961900077</v>
      </c>
      <c r="X1990" s="1" t="str">
        <f>"1396496303"</f>
        <v>1396496303</v>
      </c>
      <c r="Y1990" s="1" t="str">
        <f>"96/04/22"</f>
        <v>96/04/22</v>
      </c>
      <c r="Z1990" s="1" t="str">
        <f>"17691/710"</f>
        <v>17691/710</v>
      </c>
      <c r="AA1990" s="1" t="str">
        <f>"سازمان راهداري وحمل نقل جاده اي"</f>
        <v>سازمان راهداري وحمل نقل جاده اي</v>
      </c>
      <c r="AB1990" s="1" t="str">
        <f>"96/04/20"</f>
        <v>96/04/20</v>
      </c>
      <c r="AC1990" s="1" t="str">
        <f>"استان اصفهان"</f>
        <v>استان اصفهان</v>
      </c>
      <c r="AD1990" s="1" t="str">
        <f>"96/04/21"</f>
        <v>96/04/21</v>
      </c>
      <c r="AE1990" s="1" t="str">
        <f>"اختتام"</f>
        <v>اختتام</v>
      </c>
      <c r="AF1990" s="1" t="str">
        <f>""</f>
        <v/>
      </c>
      <c r="AG1990" s="1" t="str">
        <f>""</f>
        <v/>
      </c>
      <c r="AH1990" s="1" t="str">
        <f>""</f>
        <v/>
      </c>
      <c r="AI1990" s="1" t="str">
        <f>""</f>
        <v/>
      </c>
      <c r="AJ1990" s="1" t="str">
        <f>""</f>
        <v/>
      </c>
      <c r="AK1990" s="1" t="str">
        <f>""</f>
        <v/>
      </c>
    </row>
    <row r="1991" spans="1:37">
      <c r="A1991" s="1">
        <v>1000000</v>
      </c>
      <c r="B1991" s="1">
        <v>961800004</v>
      </c>
      <c r="C1991" s="1" t="str">
        <f>"تخليه -مازندران محمودآبادكارخانه آسفالت ره گسترارجمند"</f>
        <v>تخليه -مازندران محمودآبادكارخانه آسفالت ره گسترارجمند</v>
      </c>
      <c r="D1991" s="1">
        <v>8854</v>
      </c>
      <c r="E1991" s="1">
        <v>999300</v>
      </c>
      <c r="F1991" s="1">
        <v>96</v>
      </c>
      <c r="G1991" s="1">
        <v>700</v>
      </c>
      <c r="H1991" s="1" t="str">
        <f>"96/03/22"</f>
        <v>96/03/22</v>
      </c>
      <c r="I1991" s="1" t="str">
        <f>"كيلوگرم"</f>
        <v>كيلوگرم</v>
      </c>
      <c r="J1991" s="1" t="str">
        <f>"0000000089"</f>
        <v>0000000089</v>
      </c>
      <c r="K1991" s="1" t="str">
        <f>"قير  PG58-16"</f>
        <v>قير  PG58-16</v>
      </c>
      <c r="L1991" s="1">
        <v>100</v>
      </c>
      <c r="M1991" s="1" t="str">
        <f>"مخازن قير اصفهان"</f>
        <v>مخازن قير اصفهان</v>
      </c>
      <c r="N1991" s="1">
        <v>1351</v>
      </c>
      <c r="O1991" s="1">
        <v>50034990</v>
      </c>
      <c r="P1991" s="1" t="str">
        <f>"  زرين استحكام"</f>
        <v xml:space="preserve">  زرين استحكام</v>
      </c>
      <c r="Q1991" s="1">
        <v>18</v>
      </c>
      <c r="R1991" s="1" t="str">
        <f>"فروش داخلي تهران - وزارت راه - شرکت ساخت و توسعه راهها"</f>
        <v>فروش داخلي تهران - وزارت راه - شرکت ساخت و توسعه راهها</v>
      </c>
      <c r="S1991" s="1" t="str">
        <f>"قرارداد فروش"</f>
        <v>قرارداد فروش</v>
      </c>
      <c r="T1991" s="1" t="str">
        <f>"ندارد"</f>
        <v>ندارد</v>
      </c>
      <c r="U1991" s="1" t="str">
        <f>"مظلوم فريبرز(1008ج89)"</f>
        <v>مظلوم فريبرز(1008ج89)</v>
      </c>
      <c r="V1991" s="1">
        <v>961800004</v>
      </c>
      <c r="W1991" s="1">
        <v>961800004</v>
      </c>
      <c r="X1991" s="1" t="str">
        <f>"1396487040"</f>
        <v>1396487040</v>
      </c>
      <c r="Y1991" s="1" t="str">
        <f>"96/03/22"</f>
        <v>96/03/22</v>
      </c>
      <c r="Z1991" s="1" t="str">
        <f>"12664/710"</f>
        <v>12664/710</v>
      </c>
      <c r="AA1991" s="1" t="str">
        <f>"شركت  ساخت وتوسعه راهها"</f>
        <v>شركت  ساخت وتوسعه راهها</v>
      </c>
      <c r="AB1991" s="1" t="str">
        <f>"96/03/21"</f>
        <v>96/03/21</v>
      </c>
      <c r="AC1991" s="1" t="str">
        <f>"استان مازندران"</f>
        <v>استان مازندران</v>
      </c>
      <c r="AD1991" s="1" t="str">
        <f>"96/03/22"</f>
        <v>96/03/22</v>
      </c>
      <c r="AE1991" s="1" t="str">
        <f>"اختتام"</f>
        <v>اختتام</v>
      </c>
      <c r="AF1991" s="1" t="str">
        <f>""</f>
        <v/>
      </c>
      <c r="AG1991" s="1" t="str">
        <f>""</f>
        <v/>
      </c>
      <c r="AH1991" s="1" t="str">
        <f>""</f>
        <v/>
      </c>
      <c r="AI1991" s="1" t="str">
        <f>""</f>
        <v/>
      </c>
      <c r="AJ1991" s="1" t="str">
        <f>""</f>
        <v/>
      </c>
      <c r="AK1991" s="1" t="str">
        <f>""</f>
        <v/>
      </c>
    </row>
    <row r="1992" spans="1:37">
      <c r="A1992" s="1">
        <v>150000</v>
      </c>
      <c r="B1992" s="1">
        <v>961400011</v>
      </c>
      <c r="C1992" s="1" t="str">
        <f>"تخليه -كيلومتر15محوراردكان -هامانه كارخانه آسفالت هامون اردکان"</f>
        <v>تخليه -كيلومتر15محوراردكان -هامانه كارخانه آسفالت هامون اردکان</v>
      </c>
      <c r="D1992" s="1">
        <v>8904</v>
      </c>
      <c r="E1992" s="1">
        <v>149800</v>
      </c>
      <c r="F1992" s="1">
        <v>96</v>
      </c>
      <c r="G1992" s="1">
        <v>200</v>
      </c>
      <c r="H1992" s="1" t="str">
        <f>"96/03/22"</f>
        <v>96/03/22</v>
      </c>
      <c r="I1992" s="1" t="str">
        <f>"كيلوگرم"</f>
        <v>كيلوگرم</v>
      </c>
      <c r="J1992" s="1" t="str">
        <f>"0000000091"</f>
        <v>0000000091</v>
      </c>
      <c r="K1992" s="1" t="str">
        <f>"قير  PG64-22"</f>
        <v>قير  PG64-22</v>
      </c>
      <c r="L1992" s="1">
        <v>100</v>
      </c>
      <c r="M1992" s="1" t="str">
        <f>"مخازن قير اصفهان"</f>
        <v>مخازن قير اصفهان</v>
      </c>
      <c r="N1992" s="1">
        <v>1602</v>
      </c>
      <c r="O1992" s="1">
        <v>50034995</v>
      </c>
      <c r="P1992" s="1" t="str">
        <f>"  اداره كل راه و شهرسازي يزد"</f>
        <v xml:space="preserve">  اداره كل راه و شهرسازي يزد</v>
      </c>
      <c r="Q1992" s="1">
        <v>14</v>
      </c>
      <c r="R1992" s="1" t="str">
        <f>"فروش داخلي - وزارت راه - حوزه راه روستايي ساخت"</f>
        <v>فروش داخلي - وزارت راه - حوزه راه روستايي ساخت</v>
      </c>
      <c r="S1992" s="1" t="str">
        <f>"قرارداد فروش"</f>
        <v>قرارداد فروش</v>
      </c>
      <c r="T1992" s="1" t="str">
        <f>"ندارد"</f>
        <v>ندارد</v>
      </c>
      <c r="U1992" s="1" t="str">
        <f>"قانعي محمدرضا(1011ج89)"</f>
        <v>قانعي محمدرضا(1011ج89)</v>
      </c>
      <c r="V1992" s="1">
        <v>961400011</v>
      </c>
      <c r="W1992" s="1">
        <v>961400011</v>
      </c>
      <c r="X1992" s="1" t="str">
        <f>"1396487037"</f>
        <v>1396487037</v>
      </c>
      <c r="Y1992" s="1" t="str">
        <f>"96/03/22"</f>
        <v>96/03/22</v>
      </c>
      <c r="Z1992" s="1" t="str">
        <f>"12147/710"</f>
        <v>12147/710</v>
      </c>
      <c r="AA1992" s="1" t="str">
        <f>"راه وروستايي -ساخت"</f>
        <v>راه وروستايي -ساخت</v>
      </c>
      <c r="AB1992" s="1" t="str">
        <f>"96/03/20"</f>
        <v>96/03/20</v>
      </c>
      <c r="AC1992" s="1" t="str">
        <f>"استان يزد"</f>
        <v>استان يزد</v>
      </c>
      <c r="AD1992" s="1" t="str">
        <f>"96/03/22"</f>
        <v>96/03/22</v>
      </c>
      <c r="AE1992" s="1" t="str">
        <f>"اختتام"</f>
        <v>اختتام</v>
      </c>
      <c r="AF1992" s="1" t="str">
        <f>""</f>
        <v/>
      </c>
      <c r="AG1992" s="1" t="str">
        <f>""</f>
        <v/>
      </c>
      <c r="AH1992" s="1" t="str">
        <f>""</f>
        <v/>
      </c>
      <c r="AI1992" s="1" t="str">
        <f>""</f>
        <v/>
      </c>
      <c r="AJ1992" s="1" t="str">
        <f>""</f>
        <v/>
      </c>
      <c r="AK1992" s="1" t="str">
        <f>""</f>
        <v/>
      </c>
    </row>
    <row r="1993" spans="1:37">
      <c r="A1993" s="1">
        <v>550000</v>
      </c>
      <c r="B1993" s="1">
        <v>961700051</v>
      </c>
      <c r="C1993" s="1" t="str">
        <f>"تخليه يزدكارخانه آسفالت شركت زاويه سازيزد"</f>
        <v>تخليه يزدكارخانه آسفالت شركت زاويه سازيزد</v>
      </c>
      <c r="D1993" s="1">
        <v>13600</v>
      </c>
      <c r="E1993" s="1">
        <v>548780</v>
      </c>
      <c r="F1993" s="1">
        <v>96</v>
      </c>
      <c r="G1993" s="1">
        <v>1220</v>
      </c>
      <c r="H1993" s="1" t="str">
        <f>"96/05/21"</f>
        <v>96/05/21</v>
      </c>
      <c r="I1993" s="1" t="str">
        <f>"كيلوگرم"</f>
        <v>كيلوگرم</v>
      </c>
      <c r="J1993" s="1" t="str">
        <f>"0000000091"</f>
        <v>0000000091</v>
      </c>
      <c r="K1993" s="1" t="str">
        <f>"قير  PG64-22"</f>
        <v>قير  PG64-22</v>
      </c>
      <c r="L1993" s="1">
        <v>100</v>
      </c>
      <c r="M1993" s="1" t="str">
        <f>"مخازن قير اصفهان"</f>
        <v>مخازن قير اصفهان</v>
      </c>
      <c r="N1993" s="1">
        <v>1602</v>
      </c>
      <c r="O1993" s="1">
        <v>50035611</v>
      </c>
      <c r="P1993" s="1" t="str">
        <f>"  اداره كل راه و شهرسازي يزد"</f>
        <v xml:space="preserve">  اداره كل راه و شهرسازي يزد</v>
      </c>
      <c r="Q1993" s="1">
        <v>17</v>
      </c>
      <c r="R1993" s="1" t="str">
        <f>"فروش داخلي تهران - وزارت راه - راه روستايي - روکش"</f>
        <v>فروش داخلي تهران - وزارت راه - راه روستايي - روکش</v>
      </c>
      <c r="S1993" s="1" t="str">
        <f>"قرارداد فروش"</f>
        <v>قرارداد فروش</v>
      </c>
      <c r="T1993" s="1" t="str">
        <f>"ندارد"</f>
        <v>ندارد</v>
      </c>
      <c r="U1993" s="1" t="str">
        <f>"قانعي محمدرضا(1011ج89)"</f>
        <v>قانعي محمدرضا(1011ج89)</v>
      </c>
      <c r="V1993" s="1">
        <v>961700051</v>
      </c>
      <c r="W1993" s="1">
        <v>961700051</v>
      </c>
      <c r="X1993" s="1" t="str">
        <f>"1396504610"</f>
        <v>1396504610</v>
      </c>
      <c r="Y1993" s="1" t="str">
        <f>"96/05/21"</f>
        <v>96/05/21</v>
      </c>
      <c r="Z1993" s="1" t="str">
        <f>"23710/710"</f>
        <v>23710/710</v>
      </c>
      <c r="AA1993" s="1" t="str">
        <f>"راه روستائي -روكش"</f>
        <v>راه روستائي -روكش</v>
      </c>
      <c r="AB1993" s="1" t="str">
        <f>"96/05/18"</f>
        <v>96/05/18</v>
      </c>
      <c r="AC1993" s="1" t="str">
        <f>"استان يزد"</f>
        <v>استان يزد</v>
      </c>
      <c r="AD1993" s="1" t="str">
        <f>"96/05/21"</f>
        <v>96/05/21</v>
      </c>
      <c r="AE1993" s="1" t="str">
        <f>"اختتام"</f>
        <v>اختتام</v>
      </c>
      <c r="AF1993" s="1" t="str">
        <f>""</f>
        <v/>
      </c>
      <c r="AG1993" s="1" t="str">
        <f>""</f>
        <v/>
      </c>
      <c r="AH1993" s="1" t="str">
        <f>""</f>
        <v/>
      </c>
      <c r="AI1993" s="1" t="str">
        <f>""</f>
        <v/>
      </c>
      <c r="AJ1993" s="1" t="str">
        <f>""</f>
        <v/>
      </c>
      <c r="AK1993" s="1" t="str">
        <f>""</f>
        <v/>
      </c>
    </row>
    <row r="1994" spans="1:37">
      <c r="A1994" s="1">
        <v>364000</v>
      </c>
      <c r="B1994" s="1">
        <v>961700053</v>
      </c>
      <c r="C1994" s="1" t="str">
        <f>"تخليه يزدكارخانه آسفالت شركت زاويه سازيزد"</f>
        <v>تخليه يزدكارخانه آسفالت شركت زاويه سازيزد</v>
      </c>
      <c r="D1994" s="1">
        <v>9363</v>
      </c>
      <c r="E1994" s="1">
        <v>363300</v>
      </c>
      <c r="F1994" s="1">
        <v>96</v>
      </c>
      <c r="G1994" s="1">
        <v>700</v>
      </c>
      <c r="H1994" s="1" t="str">
        <f>"96/05/21"</f>
        <v>96/05/21</v>
      </c>
      <c r="I1994" s="1" t="str">
        <f>"كيلوگرم"</f>
        <v>كيلوگرم</v>
      </c>
      <c r="J1994" s="1" t="str">
        <f>"0000000091"</f>
        <v>0000000091</v>
      </c>
      <c r="K1994" s="1" t="str">
        <f>"قير  PG64-22"</f>
        <v>قير  PG64-22</v>
      </c>
      <c r="L1994" s="1">
        <v>100</v>
      </c>
      <c r="M1994" s="1" t="str">
        <f>"مخازن قير اصفهان"</f>
        <v>مخازن قير اصفهان</v>
      </c>
      <c r="N1994" s="1">
        <v>1602</v>
      </c>
      <c r="O1994" s="1">
        <v>50035614</v>
      </c>
      <c r="P1994" s="1" t="str">
        <f>"  اداره كل راه و شهرسازي يزد"</f>
        <v xml:space="preserve">  اداره كل راه و شهرسازي يزد</v>
      </c>
      <c r="Q1994" s="1">
        <v>17</v>
      </c>
      <c r="R1994" s="1" t="str">
        <f>"فروش داخلي تهران - وزارت راه - راه روستايي - روکش"</f>
        <v>فروش داخلي تهران - وزارت راه - راه روستايي - روکش</v>
      </c>
      <c r="S1994" s="1" t="str">
        <f>"قرارداد فروش"</f>
        <v>قرارداد فروش</v>
      </c>
      <c r="T1994" s="1" t="str">
        <f>"ندارد"</f>
        <v>ندارد</v>
      </c>
      <c r="U1994" s="1" t="str">
        <f>"قانعي محمدرضا(1011ج89)"</f>
        <v>قانعي محمدرضا(1011ج89)</v>
      </c>
      <c r="V1994" s="1">
        <v>961700053</v>
      </c>
      <c r="W1994" s="1">
        <v>961700053</v>
      </c>
      <c r="X1994" s="1" t="str">
        <f>"1396504610"</f>
        <v>1396504610</v>
      </c>
      <c r="Y1994" s="1" t="str">
        <f>"96/05/21"</f>
        <v>96/05/21</v>
      </c>
      <c r="Z1994" s="1" t="str">
        <f>"23707/710"</f>
        <v>23707/710</v>
      </c>
      <c r="AA1994" s="1" t="str">
        <f>"راه روستائي -روكش"</f>
        <v>راه روستائي -روكش</v>
      </c>
      <c r="AB1994" s="1" t="str">
        <f>"96/05/18"</f>
        <v>96/05/18</v>
      </c>
      <c r="AC1994" s="1" t="str">
        <f>"استان يزد"</f>
        <v>استان يزد</v>
      </c>
      <c r="AD1994" s="1" t="str">
        <f>"96/05/21"</f>
        <v>96/05/21</v>
      </c>
      <c r="AE1994" s="1" t="str">
        <f>"اختتام"</f>
        <v>اختتام</v>
      </c>
      <c r="AF1994" s="1" t="str">
        <f>""</f>
        <v/>
      </c>
      <c r="AG1994" s="1" t="str">
        <f>""</f>
        <v/>
      </c>
      <c r="AH1994" s="1" t="str">
        <f>""</f>
        <v/>
      </c>
      <c r="AI1994" s="1" t="str">
        <f>""</f>
        <v/>
      </c>
      <c r="AJ1994" s="1" t="str">
        <f>""</f>
        <v/>
      </c>
      <c r="AK1994" s="1" t="str">
        <f>""</f>
        <v/>
      </c>
    </row>
    <row r="1995" spans="1:37">
      <c r="A1995" s="1">
        <v>450000</v>
      </c>
      <c r="B1995" s="1">
        <v>961700083</v>
      </c>
      <c r="C1995" s="1" t="str">
        <f>"تخليه يزدشهرستان بافق كارخانه آسفالت فرش راه"</f>
        <v>تخليه يزدشهرستان بافق كارخانه آسفالت فرش راه</v>
      </c>
      <c r="D1995" s="1">
        <v>13600</v>
      </c>
      <c r="E1995" s="1">
        <v>449760</v>
      </c>
      <c r="F1995" s="1">
        <v>96</v>
      </c>
      <c r="G1995" s="1">
        <v>240</v>
      </c>
      <c r="H1995" s="1" t="str">
        <f>"96/06/05"</f>
        <v>96/06/05</v>
      </c>
      <c r="I1995" s="1" t="str">
        <f>"كيلوگرم"</f>
        <v>كيلوگرم</v>
      </c>
      <c r="J1995" s="1" t="str">
        <f>"0000000091"</f>
        <v>0000000091</v>
      </c>
      <c r="K1995" s="1" t="str">
        <f>"قير  PG64-22"</f>
        <v>قير  PG64-22</v>
      </c>
      <c r="L1995" s="1">
        <v>100</v>
      </c>
      <c r="M1995" s="1" t="str">
        <f>"مخازن قير اصفهان"</f>
        <v>مخازن قير اصفهان</v>
      </c>
      <c r="N1995" s="1">
        <v>1602</v>
      </c>
      <c r="O1995" s="1">
        <v>50035820</v>
      </c>
      <c r="P1995" s="1" t="str">
        <f>"  اداره كل راه و شهرسازي يزد"</f>
        <v xml:space="preserve">  اداره كل راه و شهرسازي يزد</v>
      </c>
      <c r="Q1995" s="1">
        <v>17</v>
      </c>
      <c r="R1995" s="1" t="str">
        <f>"فروش داخلي تهران - وزارت راه - راه روستايي - روکش"</f>
        <v>فروش داخلي تهران - وزارت راه - راه روستايي - روکش</v>
      </c>
      <c r="S1995" s="1" t="str">
        <f>"قرارداد فروش"</f>
        <v>قرارداد فروش</v>
      </c>
      <c r="T1995" s="1" t="str">
        <f>"ندارد"</f>
        <v>ندارد</v>
      </c>
      <c r="U1995" s="1" t="str">
        <f>"قانعي محمدرضا(1011ج89)"</f>
        <v>قانعي محمدرضا(1011ج89)</v>
      </c>
      <c r="V1995" s="1">
        <v>961700083</v>
      </c>
      <c r="W1995" s="1">
        <v>961700083</v>
      </c>
      <c r="X1995" s="1" t="str">
        <f>"1396508160"</f>
        <v>1396508160</v>
      </c>
      <c r="Y1995" s="1" t="str">
        <f>"96/06/05"</f>
        <v>96/06/05</v>
      </c>
      <c r="Z1995" s="1" t="str">
        <f>"26050/710"</f>
        <v>26050/710</v>
      </c>
      <c r="AA1995" s="1" t="str">
        <f>"راه روستائي -روكش"</f>
        <v>راه روستائي -روكش</v>
      </c>
      <c r="AB1995" s="1" t="str">
        <f>"96/05/29"</f>
        <v>96/05/29</v>
      </c>
      <c r="AC1995" s="1" t="str">
        <f>"استان يزد"</f>
        <v>استان يزد</v>
      </c>
      <c r="AD1995" s="1" t="str">
        <f>"96/06/05"</f>
        <v>96/06/05</v>
      </c>
      <c r="AE1995" s="1" t="str">
        <f>"اختتام"</f>
        <v>اختتام</v>
      </c>
      <c r="AF1995" s="1" t="str">
        <f>""</f>
        <v/>
      </c>
      <c r="AG1995" s="1" t="str">
        <f>""</f>
        <v/>
      </c>
      <c r="AH1995" s="1" t="str">
        <f>""</f>
        <v/>
      </c>
      <c r="AI1995" s="1" t="str">
        <f>""</f>
        <v/>
      </c>
      <c r="AJ1995" s="1" t="str">
        <f>""</f>
        <v/>
      </c>
      <c r="AK1995" s="1" t="str">
        <f>""</f>
        <v/>
      </c>
    </row>
    <row r="1996" spans="1:37">
      <c r="A1996" s="1">
        <v>116000</v>
      </c>
      <c r="B1996" s="1">
        <v>961700154</v>
      </c>
      <c r="C1996" s="1" t="str">
        <f>"تخليه يزدشهرستان بافق كارخانه آسفالت فرش راه"</f>
        <v>تخليه يزدشهرستان بافق كارخانه آسفالت فرش راه</v>
      </c>
      <c r="D1996" s="1">
        <v>13600</v>
      </c>
      <c r="E1996" s="1">
        <v>115560</v>
      </c>
      <c r="F1996" s="1">
        <v>96</v>
      </c>
      <c r="G1996" s="1">
        <v>440</v>
      </c>
      <c r="H1996" s="1" t="str">
        <f>"96/08/08"</f>
        <v>96/08/08</v>
      </c>
      <c r="I1996" s="1" t="str">
        <f>"كيلوگرم"</f>
        <v>كيلوگرم</v>
      </c>
      <c r="J1996" s="1" t="str">
        <f>"0000000091"</f>
        <v>0000000091</v>
      </c>
      <c r="K1996" s="1" t="str">
        <f>"قير  PG64-22"</f>
        <v>قير  PG64-22</v>
      </c>
      <c r="L1996" s="1">
        <v>100</v>
      </c>
      <c r="M1996" s="1" t="str">
        <f>"مخازن قير اصفهان"</f>
        <v>مخازن قير اصفهان</v>
      </c>
      <c r="N1996" s="1">
        <v>1602</v>
      </c>
      <c r="O1996" s="1">
        <v>50036953</v>
      </c>
      <c r="P1996" s="1" t="str">
        <f>"  اداره كل راه و شهرسازي يزد"</f>
        <v xml:space="preserve">  اداره كل راه و شهرسازي يزد</v>
      </c>
      <c r="Q1996" s="1">
        <v>17</v>
      </c>
      <c r="R1996" s="1" t="str">
        <f>"فروش داخلي تهران - وزارت راه - راه روستايي - روکش"</f>
        <v>فروش داخلي تهران - وزارت راه - راه روستايي - روکش</v>
      </c>
      <c r="S1996" s="1" t="str">
        <f>"قرارداد فروش"</f>
        <v>قرارداد فروش</v>
      </c>
      <c r="T1996" s="1" t="str">
        <f>"ندارد"</f>
        <v>ندارد</v>
      </c>
      <c r="U1996" s="1" t="str">
        <f>"قانعي محمدرضا(1011ج89)"</f>
        <v>قانعي محمدرضا(1011ج89)</v>
      </c>
      <c r="V1996" s="1">
        <v>961700154</v>
      </c>
      <c r="W1996" s="1">
        <v>961700154</v>
      </c>
      <c r="X1996" s="1" t="str">
        <f>"1396522092"</f>
        <v>1396522092</v>
      </c>
      <c r="Y1996" s="1" t="str">
        <f>"96/08/08"</f>
        <v>96/08/08</v>
      </c>
      <c r="Z1996" s="1" t="str">
        <f>"38694/710"</f>
        <v>38694/710</v>
      </c>
      <c r="AA1996" s="1" t="str">
        <f>"راه روستائي -روكش"</f>
        <v>راه روستائي -روكش</v>
      </c>
      <c r="AB1996" s="1" t="str">
        <f>"96/08/03"</f>
        <v>96/08/03</v>
      </c>
      <c r="AC1996" s="1" t="str">
        <f>"استان يزد"</f>
        <v>استان يزد</v>
      </c>
      <c r="AD1996" s="1" t="str">
        <f>"96/08/08"</f>
        <v>96/08/08</v>
      </c>
      <c r="AE1996" s="1" t="str">
        <f>"اختتام"</f>
        <v>اختتام</v>
      </c>
      <c r="AF1996" s="1" t="str">
        <f>""</f>
        <v/>
      </c>
      <c r="AG1996" s="1" t="str">
        <f>""</f>
        <v/>
      </c>
      <c r="AH1996" s="1" t="str">
        <f>""</f>
        <v/>
      </c>
      <c r="AI1996" s="1" t="str">
        <f>""</f>
        <v/>
      </c>
      <c r="AJ1996" s="1" t="str">
        <f>""</f>
        <v/>
      </c>
      <c r="AK1996" s="1" t="str">
        <f>""</f>
        <v/>
      </c>
    </row>
    <row r="1997" spans="1:37">
      <c r="A1997" s="1">
        <v>74000</v>
      </c>
      <c r="B1997" s="1">
        <v>961700011</v>
      </c>
      <c r="C1997" s="1" t="str">
        <f>"تخليه خراسان جنوبي شهرستان فردوس كارخانه پتروفردس"</f>
        <v>تخليه خراسان جنوبي شهرستان فردوس كارخانه پتروفردس</v>
      </c>
      <c r="D1997" s="1">
        <v>9354</v>
      </c>
      <c r="E1997" s="1">
        <v>73300</v>
      </c>
      <c r="F1997" s="1">
        <v>96</v>
      </c>
      <c r="G1997" s="1">
        <v>700</v>
      </c>
      <c r="H1997" s="1" t="str">
        <f>"96/01/27"</f>
        <v>96/01/27</v>
      </c>
      <c r="I1997" s="1" t="str">
        <f>"كيلوگرم"</f>
        <v>كيلوگرم</v>
      </c>
      <c r="J1997" s="1" t="str">
        <f>"0000000091"</f>
        <v>0000000091</v>
      </c>
      <c r="K1997" s="1" t="str">
        <f>"قير  PG64-22"</f>
        <v>قير  PG64-22</v>
      </c>
      <c r="L1997" s="1">
        <v>100</v>
      </c>
      <c r="M1997" s="1" t="str">
        <f>"مخازن قير اصفهان"</f>
        <v>مخازن قير اصفهان</v>
      </c>
      <c r="N1997" s="1">
        <v>4012</v>
      </c>
      <c r="O1997" s="1">
        <v>50034617</v>
      </c>
      <c r="P1997" s="1" t="str">
        <f>"  اداره كل راه و شهرسازي خراسان جنوبي"</f>
        <v xml:space="preserve">  اداره كل راه و شهرسازي خراسان جنوبي</v>
      </c>
      <c r="Q1997" s="1">
        <v>17</v>
      </c>
      <c r="R1997" s="1" t="str">
        <f>"فروش داخلي تهران - وزارت راه - راه روستايي - روکش"</f>
        <v>فروش داخلي تهران - وزارت راه - راه روستايي - روکش</v>
      </c>
      <c r="S1997" s="1" t="str">
        <f>"قرارداد فروش"</f>
        <v>قرارداد فروش</v>
      </c>
      <c r="T1997" s="1" t="str">
        <f>"ندارد"</f>
        <v>ندارد</v>
      </c>
      <c r="U1997" s="1" t="str">
        <f>"قانعي محمدرضا(1011ج89)"</f>
        <v>قانعي محمدرضا(1011ج89)</v>
      </c>
      <c r="V1997" s="1">
        <v>961700011</v>
      </c>
      <c r="W1997" s="1">
        <v>961700011</v>
      </c>
      <c r="X1997" s="1" t="str">
        <f>"1396474654"</f>
        <v>1396474654</v>
      </c>
      <c r="Y1997" s="1" t="str">
        <f>"96/01/27"</f>
        <v>96/01/27</v>
      </c>
      <c r="Z1997" s="1" t="str">
        <f>"1730/710"</f>
        <v>1730/710</v>
      </c>
      <c r="AA1997" s="1" t="str">
        <f>"راه روستائي -روكش"</f>
        <v>راه روستائي -روكش</v>
      </c>
      <c r="AB1997" s="1" t="str">
        <f>"95/12/28"</f>
        <v>95/12/28</v>
      </c>
      <c r="AC1997" s="1" t="str">
        <f>"خراسان جنوبي"</f>
        <v>خراسان جنوبي</v>
      </c>
      <c r="AD1997" s="1" t="str">
        <f>"96/01/27"</f>
        <v>96/01/27</v>
      </c>
      <c r="AE1997" s="1" t="str">
        <f>"اختتام"</f>
        <v>اختتام</v>
      </c>
      <c r="AF1997" s="1" t="str">
        <f>""</f>
        <v/>
      </c>
      <c r="AG1997" s="1" t="str">
        <f>""</f>
        <v/>
      </c>
      <c r="AH1997" s="1" t="str">
        <f>""</f>
        <v/>
      </c>
      <c r="AI1997" s="1" t="str">
        <f>""</f>
        <v/>
      </c>
      <c r="AJ1997" s="1" t="str">
        <f>""</f>
        <v/>
      </c>
      <c r="AK1997" s="1" t="str">
        <f>""</f>
        <v/>
      </c>
    </row>
    <row r="1998" spans="1:37">
      <c r="A1998" s="1">
        <v>160000</v>
      </c>
      <c r="B1998" s="1">
        <v>961400002</v>
      </c>
      <c r="C1998" s="1" t="str">
        <f>"تخليه -خراسان جنوبي -بيرجند-كارخانه آسفالت شماره 2"</f>
        <v>تخليه -خراسان جنوبي -بيرجند-كارخانه آسفالت شماره 2</v>
      </c>
      <c r="D1998" s="1">
        <v>8854</v>
      </c>
      <c r="E1998" s="1">
        <v>160000</v>
      </c>
      <c r="F1998" s="1">
        <v>96</v>
      </c>
      <c r="G1998" s="1">
        <v>0</v>
      </c>
      <c r="H1998" s="1" t="str">
        <f>"96/01/23"</f>
        <v>96/01/23</v>
      </c>
      <c r="I1998" s="1" t="str">
        <f>"كيلوگرم"</f>
        <v>كيلوگرم</v>
      </c>
      <c r="J1998" s="1" t="str">
        <f>"0000000091"</f>
        <v>0000000091</v>
      </c>
      <c r="K1998" s="1" t="str">
        <f>"قير  PG64-22"</f>
        <v>قير  PG64-22</v>
      </c>
      <c r="L1998" s="1">
        <v>100</v>
      </c>
      <c r="M1998" s="1" t="str">
        <f>"مخازن قير اصفهان"</f>
        <v>مخازن قير اصفهان</v>
      </c>
      <c r="N1998" s="1">
        <v>4012</v>
      </c>
      <c r="O1998" s="1">
        <v>50034983</v>
      </c>
      <c r="P1998" s="1" t="str">
        <f>"  اداره كل راه و شهرسازي خراسان جنوبي"</f>
        <v xml:space="preserve">  اداره كل راه و شهرسازي خراسان جنوبي</v>
      </c>
      <c r="Q1998" s="1">
        <v>14</v>
      </c>
      <c r="R1998" s="1" t="str">
        <f>"فروش داخلي - وزارت راه - حوزه راه روستايي ساخت"</f>
        <v>فروش داخلي - وزارت راه - حوزه راه روستايي ساخت</v>
      </c>
      <c r="S1998" s="1" t="str">
        <f>"قرارداد فروش"</f>
        <v>قرارداد فروش</v>
      </c>
      <c r="T1998" s="1" t="str">
        <f>"ندارد"</f>
        <v>ندارد</v>
      </c>
      <c r="U1998" s="1" t="str">
        <f>"شيخي خيراله (1841012)"</f>
        <v>شيخي خيراله (1841012)</v>
      </c>
      <c r="V1998" s="1">
        <v>961400002</v>
      </c>
      <c r="W1998" s="1">
        <v>961400002</v>
      </c>
      <c r="X1998" s="1" t="str">
        <f>"1396472559"</f>
        <v>1396472559</v>
      </c>
      <c r="Y1998" s="1" t="str">
        <f>"96/01/23"</f>
        <v>96/01/23</v>
      </c>
      <c r="Z1998" s="1" t="str">
        <f>"66963/710"</f>
        <v>66963/710</v>
      </c>
      <c r="AA1998" s="1" t="str">
        <f>"راه وروستايي -ساخت"</f>
        <v>راه وروستايي -ساخت</v>
      </c>
      <c r="AB1998" s="1" t="str">
        <f>"95/12/25"</f>
        <v>95/12/25</v>
      </c>
      <c r="AC1998" s="1" t="str">
        <f>"خراسان جنوبي"</f>
        <v>خراسان جنوبي</v>
      </c>
      <c r="AD1998" s="1" t="str">
        <f>"96/01/19"</f>
        <v>96/01/19</v>
      </c>
      <c r="AE1998" s="1" t="str">
        <f>"اختتام"</f>
        <v>اختتام</v>
      </c>
      <c r="AF1998" s="1" t="str">
        <f>""</f>
        <v/>
      </c>
      <c r="AG1998" s="1" t="str">
        <f>""</f>
        <v/>
      </c>
      <c r="AH1998" s="1" t="str">
        <f>""</f>
        <v/>
      </c>
      <c r="AI1998" s="1" t="str">
        <f>""</f>
        <v/>
      </c>
      <c r="AJ1998" s="1" t="str">
        <f>""</f>
        <v/>
      </c>
      <c r="AK1998" s="1" t="str">
        <f>""</f>
        <v/>
      </c>
    </row>
    <row r="1999" spans="1:37">
      <c r="A1999" s="1">
        <v>210000</v>
      </c>
      <c r="B1999" s="1">
        <v>961700129</v>
      </c>
      <c r="C1999" s="1" t="str">
        <f>"تخليه خراسان جنوبي بيرجند كارخانه آسفالت مسيرياب بيرجند"</f>
        <v>تخليه خراسان جنوبي بيرجند كارخانه آسفالت مسيرياب بيرجند</v>
      </c>
      <c r="D1999" s="1">
        <v>13600</v>
      </c>
      <c r="E1999" s="1">
        <v>209340</v>
      </c>
      <c r="F1999" s="1">
        <v>96</v>
      </c>
      <c r="G1999" s="1">
        <v>660</v>
      </c>
      <c r="H1999" s="1" t="str">
        <f>"96/07/17"</f>
        <v>96/07/17</v>
      </c>
      <c r="I1999" s="1" t="str">
        <f>"كيلوگرم"</f>
        <v>كيلوگرم</v>
      </c>
      <c r="J1999" s="1" t="str">
        <f>"0000000091"</f>
        <v>0000000091</v>
      </c>
      <c r="K1999" s="1" t="str">
        <f>"قير  PG64-22"</f>
        <v>قير  PG64-22</v>
      </c>
      <c r="L1999" s="1">
        <v>100</v>
      </c>
      <c r="M1999" s="1" t="str">
        <f>"مخازن قير اصفهان"</f>
        <v>مخازن قير اصفهان</v>
      </c>
      <c r="N1999" s="1">
        <v>4012</v>
      </c>
      <c r="O1999" s="1">
        <v>50036642</v>
      </c>
      <c r="P1999" s="1" t="str">
        <f>"  اداره كل راه و شهرسازي خراسان جنوبي"</f>
        <v xml:space="preserve">  اداره كل راه و شهرسازي خراسان جنوبي</v>
      </c>
      <c r="Q1999" s="1">
        <v>17</v>
      </c>
      <c r="R1999" s="1" t="str">
        <f>"فروش داخلي تهران - وزارت راه - راه روستايي - روکش"</f>
        <v>فروش داخلي تهران - وزارت راه - راه روستايي - روکش</v>
      </c>
      <c r="S1999" s="1" t="str">
        <f>"قرارداد فروش"</f>
        <v>قرارداد فروش</v>
      </c>
      <c r="T1999" s="1" t="str">
        <f>"ندارد"</f>
        <v>ندارد</v>
      </c>
      <c r="U1999" s="1" t="str">
        <f>"كاردان اسپادان راه مصطفي  (1911100)"</f>
        <v>كاردان اسپادان راه مصطفي  (1911100)</v>
      </c>
      <c r="V1999" s="1">
        <v>961700129</v>
      </c>
      <c r="W1999" s="1">
        <v>961700129</v>
      </c>
      <c r="X1999" s="1" t="str">
        <f>"1396517390"</f>
        <v>1396517390</v>
      </c>
      <c r="Y1999" s="1" t="str">
        <f>"96/07/17"</f>
        <v>96/07/17</v>
      </c>
      <c r="Z1999" s="1" t="str">
        <f>"34902/710"</f>
        <v>34902/710</v>
      </c>
      <c r="AA1999" s="1" t="str">
        <f>"راه روستائي -روكش"</f>
        <v>راه روستائي -روكش</v>
      </c>
      <c r="AB1999" s="1" t="str">
        <f>"96/07/16"</f>
        <v>96/07/16</v>
      </c>
      <c r="AC1999" s="1" t="str">
        <f>"خراسان جنوبي"</f>
        <v>خراسان جنوبي</v>
      </c>
      <c r="AD1999" s="1" t="str">
        <f>"96/07/17"</f>
        <v>96/07/17</v>
      </c>
      <c r="AE1999" s="1" t="str">
        <f>"اختتام"</f>
        <v>اختتام</v>
      </c>
      <c r="AF1999" s="1" t="str">
        <f>""</f>
        <v/>
      </c>
      <c r="AG1999" s="1" t="str">
        <f>""</f>
        <v/>
      </c>
      <c r="AH1999" s="1" t="str">
        <f>""</f>
        <v/>
      </c>
      <c r="AI1999" s="1" t="str">
        <f>""</f>
        <v/>
      </c>
      <c r="AJ1999" s="1" t="str">
        <f>""</f>
        <v/>
      </c>
      <c r="AK1999" s="1" t="str">
        <f>""</f>
        <v/>
      </c>
    </row>
    <row r="2000" spans="1:37">
      <c r="A2000" s="1">
        <v>51000</v>
      </c>
      <c r="B2000" s="1">
        <v>961700131</v>
      </c>
      <c r="C2000" s="1" t="str">
        <f>"تخليه - خراسان جنوبي - کارخانه آسفلت دليلي"</f>
        <v>تخليه - خراسان جنوبي - کارخانه آسفلت دليلي</v>
      </c>
      <c r="D2000" s="1">
        <v>12970</v>
      </c>
      <c r="E2000" s="1">
        <v>51000</v>
      </c>
      <c r="F2000" s="1">
        <v>96</v>
      </c>
      <c r="G2000" s="1">
        <v>0</v>
      </c>
      <c r="H2000" s="1" t="str">
        <f>"96/07/17"</f>
        <v>96/07/17</v>
      </c>
      <c r="I2000" s="1" t="str">
        <f>"كيلوگرم"</f>
        <v>كيلوگرم</v>
      </c>
      <c r="J2000" s="1" t="str">
        <f>"0000000091"</f>
        <v>0000000091</v>
      </c>
      <c r="K2000" s="1" t="str">
        <f>"قير  PG64-22"</f>
        <v>قير  PG64-22</v>
      </c>
      <c r="L2000" s="1">
        <v>100</v>
      </c>
      <c r="M2000" s="1" t="str">
        <f>"مخازن قير اصفهان"</f>
        <v>مخازن قير اصفهان</v>
      </c>
      <c r="N2000" s="1">
        <v>4012</v>
      </c>
      <c r="O2000" s="1">
        <v>50036646</v>
      </c>
      <c r="P2000" s="1" t="str">
        <f>"  اداره كل راه و شهرسازي خراسان جنوبي"</f>
        <v xml:space="preserve">  اداره كل راه و شهرسازي خراسان جنوبي</v>
      </c>
      <c r="Q2000" s="1">
        <v>17</v>
      </c>
      <c r="R2000" s="1" t="str">
        <f>"فروش داخلي تهران - وزارت راه - راه روستايي - روکش"</f>
        <v>فروش داخلي تهران - وزارت راه - راه روستايي - روکش</v>
      </c>
      <c r="S2000" s="1" t="str">
        <f>"قرارداد فروش"</f>
        <v>قرارداد فروش</v>
      </c>
      <c r="T2000" s="1" t="str">
        <f>"ندارد"</f>
        <v>ندارد</v>
      </c>
      <c r="U2000" s="1" t="str">
        <f>"بابامحمدي عنايت اله(4844000)"</f>
        <v>بابامحمدي عنايت اله(4844000)</v>
      </c>
      <c r="V2000" s="1">
        <v>961700131</v>
      </c>
      <c r="W2000" s="1">
        <v>961700131</v>
      </c>
      <c r="X2000" s="1" t="str">
        <f>"1396517390"</f>
        <v>1396517390</v>
      </c>
      <c r="Y2000" s="1" t="str">
        <f>"96/07/17"</f>
        <v>96/07/17</v>
      </c>
      <c r="Z2000" s="1" t="str">
        <f>"34618/710"</f>
        <v>34618/710</v>
      </c>
      <c r="AA2000" s="1" t="str">
        <f>"راه روستائي -روكش"</f>
        <v>راه روستائي -روكش</v>
      </c>
      <c r="AB2000" s="1" t="str">
        <f>"96/07/15"</f>
        <v>96/07/15</v>
      </c>
      <c r="AC2000" s="1" t="str">
        <f>"خراسان جنوبي"</f>
        <v>خراسان جنوبي</v>
      </c>
      <c r="AD2000" s="1" t="str">
        <f>"96/07/17"</f>
        <v>96/07/17</v>
      </c>
      <c r="AE2000" s="1" t="str">
        <f>"اختتام"</f>
        <v>اختتام</v>
      </c>
      <c r="AF2000" s="1" t="str">
        <f>""</f>
        <v/>
      </c>
      <c r="AG2000" s="1" t="str">
        <f>""</f>
        <v/>
      </c>
      <c r="AH2000" s="1" t="str">
        <f>""</f>
        <v/>
      </c>
      <c r="AI2000" s="1" t="str">
        <f>""</f>
        <v/>
      </c>
      <c r="AJ2000" s="1" t="str">
        <f>""</f>
        <v/>
      </c>
      <c r="AK2000" s="1" t="str">
        <f>""</f>
        <v/>
      </c>
    </row>
    <row r="2001" spans="1:37">
      <c r="A2001" s="1">
        <v>62000</v>
      </c>
      <c r="B2001" s="1">
        <v>961700150</v>
      </c>
      <c r="C2001" s="1" t="str">
        <f>"تخليه - خراسان جنوبي - کارخانه آسفلت دليلي"</f>
        <v>تخليه - خراسان جنوبي - کارخانه آسفلت دليلي</v>
      </c>
      <c r="D2001" s="1">
        <v>12970</v>
      </c>
      <c r="E2001" s="1">
        <v>62000</v>
      </c>
      <c r="F2001" s="1">
        <v>96</v>
      </c>
      <c r="G2001" s="1">
        <v>0</v>
      </c>
      <c r="H2001" s="1" t="str">
        <f>"96/08/06"</f>
        <v>96/08/06</v>
      </c>
      <c r="I2001" s="1" t="str">
        <f>"كيلوگرم"</f>
        <v>كيلوگرم</v>
      </c>
      <c r="J2001" s="1" t="str">
        <f>"0000000091"</f>
        <v>0000000091</v>
      </c>
      <c r="K2001" s="1" t="str">
        <f>"قير  PG64-22"</f>
        <v>قير  PG64-22</v>
      </c>
      <c r="L2001" s="1">
        <v>100</v>
      </c>
      <c r="M2001" s="1" t="str">
        <f>"مخازن قير اصفهان"</f>
        <v>مخازن قير اصفهان</v>
      </c>
      <c r="N2001" s="1">
        <v>4012</v>
      </c>
      <c r="O2001" s="1">
        <v>50036928</v>
      </c>
      <c r="P2001" s="1" t="str">
        <f>"  اداره كل راه و شهرسازي خراسان جنوبي"</f>
        <v xml:space="preserve">  اداره كل راه و شهرسازي خراسان جنوبي</v>
      </c>
      <c r="Q2001" s="1">
        <v>17</v>
      </c>
      <c r="R2001" s="1" t="str">
        <f>"فروش داخلي تهران - وزارت راه - راه روستايي - روکش"</f>
        <v>فروش داخلي تهران - وزارت راه - راه روستايي - روکش</v>
      </c>
      <c r="S2001" s="1" t="str">
        <f>"قرارداد فروش"</f>
        <v>قرارداد فروش</v>
      </c>
      <c r="T2001" s="1" t="str">
        <f>"ندارد"</f>
        <v>ندارد</v>
      </c>
      <c r="U2001" s="1" t="str">
        <f>"بابامحمدي عنايت اله(4844000)"</f>
        <v>بابامحمدي عنايت اله(4844000)</v>
      </c>
      <c r="V2001" s="1">
        <v>961700150</v>
      </c>
      <c r="W2001" s="1">
        <v>961700150</v>
      </c>
      <c r="X2001" s="1" t="str">
        <f>"1396521772"</f>
        <v>1396521772</v>
      </c>
      <c r="Y2001" s="1" t="str">
        <f>"96/08/06"</f>
        <v>96/08/06</v>
      </c>
      <c r="Z2001" s="1" t="str">
        <f>"38230/710"</f>
        <v>38230/710</v>
      </c>
      <c r="AA2001" s="1" t="str">
        <f>"راه روستائي -روكش"</f>
        <v>راه روستائي -روكش</v>
      </c>
      <c r="AB2001" s="1" t="str">
        <f>"96/08/01"</f>
        <v>96/08/01</v>
      </c>
      <c r="AC2001" s="1" t="str">
        <f>"خراسان جنوبي"</f>
        <v>خراسان جنوبي</v>
      </c>
      <c r="AD2001" s="1" t="str">
        <f>"96/08/06"</f>
        <v>96/08/06</v>
      </c>
      <c r="AE2001" s="1" t="str">
        <f>"اختتام"</f>
        <v>اختتام</v>
      </c>
      <c r="AF2001" s="1" t="str">
        <f>""</f>
        <v/>
      </c>
      <c r="AG2001" s="1" t="str">
        <f>""</f>
        <v/>
      </c>
      <c r="AH2001" s="1" t="str">
        <f>""</f>
        <v/>
      </c>
      <c r="AI2001" s="1" t="str">
        <f>""</f>
        <v/>
      </c>
      <c r="AJ2001" s="1" t="str">
        <f>""</f>
        <v/>
      </c>
      <c r="AK2001" s="1" t="str">
        <f>""</f>
        <v/>
      </c>
    </row>
    <row r="2002" spans="1:37">
      <c r="A2002" s="1">
        <v>70000</v>
      </c>
      <c r="B2002" s="1">
        <v>961700218</v>
      </c>
      <c r="C2002" s="1" t="str">
        <f>"تخليه - خراسان جنوبي - کارخانه آسفلت دليلي"</f>
        <v>تخليه - خراسان جنوبي - کارخانه آسفلت دليلي</v>
      </c>
      <c r="D2002" s="1">
        <v>16350</v>
      </c>
      <c r="E2002" s="1">
        <v>68480</v>
      </c>
      <c r="F2002" s="1">
        <v>96</v>
      </c>
      <c r="G2002" s="1">
        <v>1520</v>
      </c>
      <c r="H2002" s="1" t="str">
        <f>"96/12/24"</f>
        <v>96/12/24</v>
      </c>
      <c r="I2002" s="1" t="str">
        <f>"كيلوگرم"</f>
        <v>كيلوگرم</v>
      </c>
      <c r="J2002" s="1" t="str">
        <f>"0000000091"</f>
        <v>0000000091</v>
      </c>
      <c r="K2002" s="1" t="str">
        <f>"قير  PG64-22"</f>
        <v>قير  PG64-22</v>
      </c>
      <c r="L2002" s="1">
        <v>100</v>
      </c>
      <c r="M2002" s="1" t="str">
        <f>"مخازن قير اصفهان"</f>
        <v>مخازن قير اصفهان</v>
      </c>
      <c r="N2002" s="1">
        <v>4012</v>
      </c>
      <c r="O2002" s="1">
        <v>50038997</v>
      </c>
      <c r="P2002" s="1" t="str">
        <f>"  اداره كل راه و شهرسازي خراسان جنوبي"</f>
        <v xml:space="preserve">  اداره كل راه و شهرسازي خراسان جنوبي</v>
      </c>
      <c r="Q2002" s="1">
        <v>17</v>
      </c>
      <c r="R2002" s="1" t="str">
        <f>"فروش داخلي تهران - وزارت راه - راه روستايي - روکش"</f>
        <v>فروش داخلي تهران - وزارت راه - راه روستايي - روکش</v>
      </c>
      <c r="S2002" s="1" t="str">
        <f>"قرارداد فروش"</f>
        <v>قرارداد فروش</v>
      </c>
      <c r="T2002" s="1" t="str">
        <f>"ندارد"</f>
        <v>ندارد</v>
      </c>
      <c r="U2002" s="1" t="str">
        <f>"غلام نجفي سيامك‌‌‌‌‌‌(1881082)"</f>
        <v>غلام نجفي سيامك‌‌‌‌‌‌(1881082)</v>
      </c>
      <c r="V2002" s="1">
        <v>961700218</v>
      </c>
      <c r="W2002" s="1">
        <v>961700218</v>
      </c>
      <c r="X2002" s="1" t="str">
        <f>"1396553914"</f>
        <v>1396553914</v>
      </c>
      <c r="Y2002" s="1" t="str">
        <f>"96/12/24"</f>
        <v>96/12/24</v>
      </c>
      <c r="Z2002" s="1" t="str">
        <f>"47352/710"</f>
        <v>47352/710</v>
      </c>
      <c r="AA2002" s="1" t="str">
        <f>"راه روستائي -روكش"</f>
        <v>راه روستائي -روكش</v>
      </c>
      <c r="AB2002" s="1" t="str">
        <f>"96/09/14"</f>
        <v>96/09/14</v>
      </c>
      <c r="AC2002" s="1" t="str">
        <f>"خراسان جنوبي"</f>
        <v>خراسان جنوبي</v>
      </c>
      <c r="AD2002" s="1" t="str">
        <f>"96/12/20"</f>
        <v>96/12/20</v>
      </c>
      <c r="AE2002" s="1" t="str">
        <f>"اختتام"</f>
        <v>اختتام</v>
      </c>
      <c r="AF2002" s="1" t="str">
        <f>""</f>
        <v/>
      </c>
      <c r="AG2002" s="1" t="str">
        <f>""</f>
        <v/>
      </c>
      <c r="AH2002" s="1" t="str">
        <f>""</f>
        <v/>
      </c>
      <c r="AI2002" s="1" t="str">
        <f>""</f>
        <v/>
      </c>
      <c r="AJ2002" s="1" t="str">
        <f>""</f>
        <v/>
      </c>
      <c r="AK2002" s="1" t="str">
        <f>""</f>
        <v/>
      </c>
    </row>
    <row r="2003" spans="1:37">
      <c r="A2003" s="1">
        <v>1000000</v>
      </c>
      <c r="B2003" s="1">
        <v>961600014</v>
      </c>
      <c r="C2003" s="1" t="str">
        <f>"تخليه فارس شهرستان خرامه كارخانه آسفالت جهادنصركرمان"</f>
        <v>تخليه فارس شهرستان خرامه كارخانه آسفالت جهادنصركرمان</v>
      </c>
      <c r="D2003" s="1">
        <v>13100</v>
      </c>
      <c r="E2003" s="1">
        <v>999200</v>
      </c>
      <c r="F2003" s="1">
        <v>96</v>
      </c>
      <c r="G2003" s="1">
        <v>800</v>
      </c>
      <c r="H2003" s="1" t="str">
        <f>"96/07/16"</f>
        <v>96/07/16</v>
      </c>
      <c r="I2003" s="1" t="str">
        <f>"كيلوگرم"</f>
        <v>كيلوگرم</v>
      </c>
      <c r="J2003" s="1" t="str">
        <f>"0000000091"</f>
        <v>0000000091</v>
      </c>
      <c r="K2003" s="1" t="str">
        <f>"قير  PG64-22"</f>
        <v>قير  PG64-22</v>
      </c>
      <c r="L2003" s="1">
        <v>100</v>
      </c>
      <c r="M2003" s="1" t="str">
        <f>"مخازن قير اصفهان"</f>
        <v>مخازن قير اصفهان</v>
      </c>
      <c r="N2003" s="1">
        <v>4063</v>
      </c>
      <c r="O2003" s="1">
        <v>50036586</v>
      </c>
      <c r="P2003" s="1" t="str">
        <f>"  جهاد نصر كرمان"</f>
        <v xml:space="preserve">  جهاد نصر كرمان</v>
      </c>
      <c r="Q2003" s="1">
        <v>16</v>
      </c>
      <c r="R2003" s="1" t="str">
        <f>"فروش داخلي تهران - وزارت راه - معاونت اقتصاد"</f>
        <v>فروش داخلي تهران - وزارت راه - معاونت اقتصاد</v>
      </c>
      <c r="S2003" s="1" t="str">
        <f>"قرارداد فروش"</f>
        <v>قرارداد فروش</v>
      </c>
      <c r="T2003" s="1" t="str">
        <f>"ندارد"</f>
        <v>ندارد</v>
      </c>
      <c r="U2003" s="1" t="str">
        <f>"اژدري مسعود(4844011)"</f>
        <v>اژدري مسعود(4844011)</v>
      </c>
      <c r="V2003" s="1">
        <v>961600014</v>
      </c>
      <c r="W2003" s="1">
        <v>961600014</v>
      </c>
      <c r="X2003" s="1" t="str">
        <f>"1396517236"</f>
        <v>1396517236</v>
      </c>
      <c r="Y2003" s="1" t="str">
        <f>"96/07/16"</f>
        <v>96/07/16</v>
      </c>
      <c r="Z2003" s="1" t="str">
        <f>"33231/710"</f>
        <v>33231/710</v>
      </c>
      <c r="AA2003" s="1" t="str">
        <f>"معاونت اقتصادوزارت راه وشهرسازي"</f>
        <v>معاونت اقتصادوزارت راه وشهرسازي</v>
      </c>
      <c r="AB2003" s="1" t="str">
        <f>"96/07/04"</f>
        <v>96/07/04</v>
      </c>
      <c r="AC2003" s="1" t="str">
        <f>"استان فارس"</f>
        <v>استان فارس</v>
      </c>
      <c r="AD2003" s="1" t="str">
        <f>"96/07/16"</f>
        <v>96/07/16</v>
      </c>
      <c r="AE2003" s="1" t="str">
        <f>"اختتام"</f>
        <v>اختتام</v>
      </c>
      <c r="AF2003" s="1" t="str">
        <f>""</f>
        <v/>
      </c>
      <c r="AG2003" s="1" t="str">
        <f>""</f>
        <v/>
      </c>
      <c r="AH2003" s="1" t="str">
        <f>""</f>
        <v/>
      </c>
      <c r="AI2003" s="1" t="str">
        <f>""</f>
        <v/>
      </c>
      <c r="AJ2003" s="1" t="str">
        <f>""</f>
        <v/>
      </c>
      <c r="AK2003" s="1" t="str">
        <f>""</f>
        <v/>
      </c>
    </row>
    <row r="2004" spans="1:37">
      <c r="A2004" s="1">
        <v>200000</v>
      </c>
      <c r="B2004" s="1">
        <v>966100004</v>
      </c>
      <c r="C2004" s="1" t="str">
        <f>"تخليه - سيستان و بلوچستان - زاهدان-کارخانه آسفالت شهرداري"</f>
        <v>تخليه - سيستان و بلوچستان - زاهدان-کارخانه آسفالت شهرداري</v>
      </c>
      <c r="D2004" s="1">
        <v>8854</v>
      </c>
      <c r="E2004" s="1">
        <v>197860</v>
      </c>
      <c r="F2004" s="1">
        <v>96</v>
      </c>
      <c r="G2004" s="1">
        <v>2140</v>
      </c>
      <c r="H2004" s="1" t="str">
        <f>"96/02/23"</f>
        <v>96/02/23</v>
      </c>
      <c r="I2004" s="1" t="str">
        <f>"كيلوگرم"</f>
        <v>كيلوگرم</v>
      </c>
      <c r="J2004" s="1" t="str">
        <f>"0000000091"</f>
        <v>0000000091</v>
      </c>
      <c r="K2004" s="1" t="str">
        <f>"قير  PG64-22"</f>
        <v>قير  PG64-22</v>
      </c>
      <c r="L2004" s="1">
        <v>100</v>
      </c>
      <c r="M2004" s="1" t="str">
        <f>"مخازن قير اصفهان"</f>
        <v>مخازن قير اصفهان</v>
      </c>
      <c r="N2004" s="1">
        <v>4095</v>
      </c>
      <c r="O2004" s="1">
        <v>50034827</v>
      </c>
      <c r="P2004" s="1" t="str">
        <f>"  اداره كل راه وشهرسازي سيستان وبلوچستان"</f>
        <v xml:space="preserve">  اداره كل راه وشهرسازي سيستان وبلوچستان</v>
      </c>
      <c r="Q2004" s="1">
        <v>61</v>
      </c>
      <c r="R2004" s="1" t="str">
        <f>"فروش داخلي - وزارت راه - مسكن مهر"</f>
        <v>فروش داخلي - وزارت راه - مسكن مهر</v>
      </c>
      <c r="S2004" s="1" t="str">
        <f>"قرارداد فروش"</f>
        <v>قرارداد فروش</v>
      </c>
      <c r="T2004" s="1" t="str">
        <f>"ندارد"</f>
        <v>ندارد</v>
      </c>
      <c r="U2004" s="1" t="str">
        <f>"ميرحسيني چاپارحقيقت كرمان(4844008)"</f>
        <v>ميرحسيني چاپارحقيقت كرمان(4844008)</v>
      </c>
      <c r="V2004" s="1">
        <v>966100004</v>
      </c>
      <c r="W2004" s="1">
        <v>966100004</v>
      </c>
      <c r="X2004" s="1" t="str">
        <f>"1396479488"</f>
        <v>1396479488</v>
      </c>
      <c r="Y2004" s="1" t="str">
        <f>"96/02/23"</f>
        <v>96/02/23</v>
      </c>
      <c r="Z2004" s="1" t="str">
        <f>"6985/710"</f>
        <v>6985/710</v>
      </c>
      <c r="AA2004" s="1" t="str">
        <f>"مسكن مهر-وزارت راه"</f>
        <v>مسكن مهر-وزارت راه</v>
      </c>
      <c r="AB2004" s="1" t="str">
        <f>"96/02/17"</f>
        <v>96/02/17</v>
      </c>
      <c r="AC2004" s="1" t="str">
        <f>"استان سيستان بلوچستان"</f>
        <v>استان سيستان بلوچستان</v>
      </c>
      <c r="AD2004" s="1" t="str">
        <f>"96/02/19"</f>
        <v>96/02/19</v>
      </c>
      <c r="AE2004" s="1" t="str">
        <f>"اختتام"</f>
        <v>اختتام</v>
      </c>
      <c r="AF2004" s="1" t="str">
        <f>""</f>
        <v/>
      </c>
      <c r="AG2004" s="1" t="str">
        <f>""</f>
        <v/>
      </c>
      <c r="AH2004" s="1" t="str">
        <f>""</f>
        <v/>
      </c>
      <c r="AI2004" s="1" t="str">
        <f>""</f>
        <v/>
      </c>
      <c r="AJ2004" s="1" t="str">
        <f>""</f>
        <v/>
      </c>
      <c r="AK2004" s="1" t="str">
        <f>""</f>
        <v/>
      </c>
    </row>
    <row r="2005" spans="1:37">
      <c r="A2005" s="1">
        <v>200000</v>
      </c>
      <c r="B2005" s="1">
        <v>961100128</v>
      </c>
      <c r="C2005" s="1" t="str">
        <f>"تخليه اصفهان جاده كمشچه اردستان كيلومتر7جاده مرغ دنبي كارگاه شركت اسكانده"</f>
        <v>تخليه اصفهان جاده كمشچه اردستان كيلومتر7جاده مرغ دنبي كارگاه شركت اسكانده</v>
      </c>
      <c r="D2005" s="1">
        <v>13600</v>
      </c>
      <c r="E2005" s="1">
        <v>200000</v>
      </c>
      <c r="F2005" s="1">
        <v>96</v>
      </c>
      <c r="G2005" s="1">
        <v>0</v>
      </c>
      <c r="H2005" s="1" t="str">
        <f>"96/12/06"</f>
        <v>96/12/06</v>
      </c>
      <c r="I2005" s="1" t="str">
        <f>"كيلوگرم"</f>
        <v>كيلوگرم</v>
      </c>
      <c r="J2005" s="1" t="str">
        <f>"0000000091"</f>
        <v>0000000091</v>
      </c>
      <c r="K2005" s="1" t="str">
        <f>"قير  PG64-22"</f>
        <v>قير  PG64-22</v>
      </c>
      <c r="L2005" s="1">
        <v>100</v>
      </c>
      <c r="M2005" s="1" t="str">
        <f>"مخازن قير اصفهان"</f>
        <v>مخازن قير اصفهان</v>
      </c>
      <c r="N2005" s="1">
        <v>7013</v>
      </c>
      <c r="O2005" s="1">
        <v>50038619</v>
      </c>
      <c r="P2005" s="1" t="str">
        <f>"  راهسازي  اسكانده"</f>
        <v xml:space="preserve">  راهسازي  اسكانده</v>
      </c>
      <c r="Q2005" s="1">
        <v>11</v>
      </c>
      <c r="R2005" s="1" t="str">
        <f>"فروش داخلي تهران - بورس"</f>
        <v>فروش داخلي تهران - بورس</v>
      </c>
      <c r="S2005" s="1" t="str">
        <f>"قرارداد فروش"</f>
        <v>قرارداد فروش</v>
      </c>
      <c r="T2005" s="1" t="str">
        <f>"ندارد"</f>
        <v>ندارد</v>
      </c>
      <c r="U2005" s="1" t="str">
        <f>"شهبازي محمدرضا(1029ج89)"</f>
        <v>شهبازي محمدرضا(1029ج89)</v>
      </c>
      <c r="V2005" s="1">
        <v>961100128</v>
      </c>
      <c r="W2005" s="1">
        <v>961100128</v>
      </c>
      <c r="X2005" s="1" t="str">
        <f>"1396550459"</f>
        <v>1396550459</v>
      </c>
      <c r="Y2005" s="1" t="str">
        <f>"96/12/06"</f>
        <v>96/12/06</v>
      </c>
      <c r="Z2005" s="1" t="str">
        <f>"96-11749"</f>
        <v>96-11749</v>
      </c>
      <c r="AA2005" s="1" t="str">
        <f>"راه سازي"</f>
        <v>راه سازي</v>
      </c>
      <c r="AB2005" s="1" t="str">
        <f>"96/12/06"</f>
        <v>96/12/06</v>
      </c>
      <c r="AC2005" s="1" t="str">
        <f>"استان اصفهان"</f>
        <v>استان اصفهان</v>
      </c>
      <c r="AD2005" s="1" t="str">
        <f>"96/12/06"</f>
        <v>96/12/06</v>
      </c>
      <c r="AE2005" s="1" t="str">
        <f>"اختتام"</f>
        <v>اختتام</v>
      </c>
      <c r="AF2005" s="1" t="str">
        <f>""</f>
        <v/>
      </c>
      <c r="AG2005" s="1" t="str">
        <f>""</f>
        <v/>
      </c>
      <c r="AH2005" s="1" t="str">
        <f>""</f>
        <v/>
      </c>
      <c r="AI2005" s="1" t="str">
        <f>""</f>
        <v/>
      </c>
      <c r="AJ2005" s="1" t="str">
        <f>""</f>
        <v/>
      </c>
      <c r="AK2005" s="1" t="str">
        <f>""</f>
        <v/>
      </c>
    </row>
    <row r="2006" spans="1:37">
      <c r="A2006" s="1">
        <v>400000</v>
      </c>
      <c r="B2006" s="1">
        <v>961700016</v>
      </c>
      <c r="C2006" s="1" t="str">
        <f>"تخليه - کرمان-شرکت سيرجان بتن راه"</f>
        <v>تخليه - کرمان-شرکت سيرجان بتن راه</v>
      </c>
      <c r="D2006" s="1">
        <v>8854</v>
      </c>
      <c r="E2006" s="1">
        <v>399380</v>
      </c>
      <c r="F2006" s="1">
        <v>96</v>
      </c>
      <c r="G2006" s="1">
        <v>620</v>
      </c>
      <c r="H2006" s="1" t="str">
        <f>"96/03/13"</f>
        <v>96/03/13</v>
      </c>
      <c r="I2006" s="1" t="str">
        <f>"كيلوگرم"</f>
        <v>كيلوگرم</v>
      </c>
      <c r="J2006" s="1" t="str">
        <f>"0000000091"</f>
        <v>0000000091</v>
      </c>
      <c r="K2006" s="1" t="str">
        <f>"قير  PG64-22"</f>
        <v>قير  PG64-22</v>
      </c>
      <c r="L2006" s="1">
        <v>100</v>
      </c>
      <c r="M2006" s="1" t="str">
        <f>"مخازن قير اصفهان"</f>
        <v>مخازن قير اصفهان</v>
      </c>
      <c r="N2006" s="1">
        <v>7034</v>
      </c>
      <c r="O2006" s="1">
        <v>50034957</v>
      </c>
      <c r="P2006" s="1" t="str">
        <f>"  اداره كل راه وشهرسازي كرمان"</f>
        <v xml:space="preserve">  اداره كل راه وشهرسازي كرمان</v>
      </c>
      <c r="Q2006" s="1">
        <v>17</v>
      </c>
      <c r="R2006" s="1" t="str">
        <f>"فروش داخلي تهران - وزارت راه - راه روستايي - روکش"</f>
        <v>فروش داخلي تهران - وزارت راه - راه روستايي - روکش</v>
      </c>
      <c r="S2006" s="1" t="str">
        <f>"قرارداد فروش"</f>
        <v>قرارداد فروش</v>
      </c>
      <c r="T2006" s="1" t="str">
        <f>"ندارد"</f>
        <v>ندارد</v>
      </c>
      <c r="U2006" s="1" t="str">
        <f>"حاصليان ترابرجنوب مرتضي حاصلي (4844006)"</f>
        <v>حاصليان ترابرجنوب مرتضي حاصلي (4844006)</v>
      </c>
      <c r="V2006" s="1">
        <v>961700016</v>
      </c>
      <c r="W2006" s="1">
        <v>961700016</v>
      </c>
      <c r="X2006" s="1" t="str">
        <f>"1396485274"</f>
        <v>1396485274</v>
      </c>
      <c r="Y2006" s="1" t="str">
        <f>"96/03/13"</f>
        <v>96/03/13</v>
      </c>
      <c r="Z2006" s="1" t="str">
        <f>"10919/710"</f>
        <v>10919/710</v>
      </c>
      <c r="AA2006" s="1" t="str">
        <f>"راه روستائي -روكش"</f>
        <v>راه روستائي -روكش</v>
      </c>
      <c r="AB2006" s="1" t="str">
        <f>"96/03/09"</f>
        <v>96/03/09</v>
      </c>
      <c r="AC2006" s="1" t="str">
        <f>"استان كرمان"</f>
        <v>استان كرمان</v>
      </c>
      <c r="AD2006" s="1" t="str">
        <f>"96/03/13"</f>
        <v>96/03/13</v>
      </c>
      <c r="AE2006" s="1" t="str">
        <f>"اختتام"</f>
        <v>اختتام</v>
      </c>
      <c r="AF2006" s="1" t="str">
        <f>""</f>
        <v/>
      </c>
      <c r="AG2006" s="1" t="str">
        <f>""</f>
        <v/>
      </c>
      <c r="AH2006" s="1" t="str">
        <f>""</f>
        <v/>
      </c>
      <c r="AI2006" s="1" t="str">
        <f>""</f>
        <v/>
      </c>
      <c r="AJ2006" s="1" t="str">
        <f>""</f>
        <v/>
      </c>
      <c r="AK2006" s="1" t="str">
        <f>""</f>
        <v/>
      </c>
    </row>
    <row r="2007" spans="1:37">
      <c r="A2007" s="1">
        <v>152000</v>
      </c>
      <c r="B2007" s="1">
        <v>961700019</v>
      </c>
      <c r="C2007" s="1" t="str">
        <f>"تخليه-کرمان-کارخانه آسفالت آبادگران رفابخش"</f>
        <v>تخليه-کرمان-کارخانه آسفالت آبادگران رفابخش</v>
      </c>
      <c r="D2007" s="1">
        <v>8854</v>
      </c>
      <c r="E2007" s="1">
        <v>152000</v>
      </c>
      <c r="F2007" s="1">
        <v>96</v>
      </c>
      <c r="G2007" s="1">
        <v>0</v>
      </c>
      <c r="H2007" s="1" t="str">
        <f>"96/03/13"</f>
        <v>96/03/13</v>
      </c>
      <c r="I2007" s="1" t="str">
        <f>"كيلوگرم"</f>
        <v>كيلوگرم</v>
      </c>
      <c r="J2007" s="1" t="str">
        <f>"0000000091"</f>
        <v>0000000091</v>
      </c>
      <c r="K2007" s="1" t="str">
        <f>"قير  PG64-22"</f>
        <v>قير  PG64-22</v>
      </c>
      <c r="L2007" s="1">
        <v>100</v>
      </c>
      <c r="M2007" s="1" t="str">
        <f>"مخازن قير اصفهان"</f>
        <v>مخازن قير اصفهان</v>
      </c>
      <c r="N2007" s="1">
        <v>7034</v>
      </c>
      <c r="O2007" s="1">
        <v>50034961</v>
      </c>
      <c r="P2007" s="1" t="str">
        <f>"  اداره كل راه وشهرسازي كرمان"</f>
        <v xml:space="preserve">  اداره كل راه وشهرسازي كرمان</v>
      </c>
      <c r="Q2007" s="1">
        <v>17</v>
      </c>
      <c r="R2007" s="1" t="str">
        <f>"فروش داخلي تهران - وزارت راه - راه روستايي - روکش"</f>
        <v>فروش داخلي تهران - وزارت راه - راه روستايي - روکش</v>
      </c>
      <c r="S2007" s="1" t="str">
        <f>"قرارداد فروش"</f>
        <v>قرارداد فروش</v>
      </c>
      <c r="T2007" s="1" t="str">
        <f>"ندارد"</f>
        <v>ندارد</v>
      </c>
      <c r="U2007" s="1" t="str">
        <f>"خضرائي فريدون(4844003)"</f>
        <v>خضرائي فريدون(4844003)</v>
      </c>
      <c r="V2007" s="1">
        <v>961700019</v>
      </c>
      <c r="W2007" s="1">
        <v>961700019</v>
      </c>
      <c r="X2007" s="1" t="str">
        <f>"1396485274"</f>
        <v>1396485274</v>
      </c>
      <c r="Y2007" s="1" t="str">
        <f>"96/03/13"</f>
        <v>96/03/13</v>
      </c>
      <c r="Z2007" s="1" t="str">
        <f>"10910/710"</f>
        <v>10910/710</v>
      </c>
      <c r="AA2007" s="1" t="str">
        <f>"راه روستائي -روكش"</f>
        <v>راه روستائي -روكش</v>
      </c>
      <c r="AB2007" s="1" t="str">
        <f>"96/03/09"</f>
        <v>96/03/09</v>
      </c>
      <c r="AC2007" s="1" t="str">
        <f>"استان كرمان"</f>
        <v>استان كرمان</v>
      </c>
      <c r="AD2007" s="1" t="str">
        <f>"96/03/13"</f>
        <v>96/03/13</v>
      </c>
      <c r="AE2007" s="1" t="str">
        <f>"اختتام"</f>
        <v>اختتام</v>
      </c>
      <c r="AF2007" s="1" t="str">
        <f>""</f>
        <v/>
      </c>
      <c r="AG2007" s="1" t="str">
        <f>""</f>
        <v/>
      </c>
      <c r="AH2007" s="1" t="str">
        <f>""</f>
        <v/>
      </c>
      <c r="AI2007" s="1" t="str">
        <f>""</f>
        <v/>
      </c>
      <c r="AJ2007" s="1" t="str">
        <f>""</f>
        <v/>
      </c>
      <c r="AK2007" s="1" t="str">
        <f>""</f>
        <v/>
      </c>
    </row>
    <row r="2008" spans="1:37">
      <c r="A2008" s="1">
        <v>261000</v>
      </c>
      <c r="B2008" s="1">
        <v>961700098</v>
      </c>
      <c r="C2008" s="1" t="str">
        <f>"تخليه كرمان كيلومتر15جاده كرمان زرندكارخانه آسفالت گستران زنگلان"</f>
        <v>تخليه كرمان كيلومتر15جاده كرمان زرندكارخانه آسفالت گستران زنگلان</v>
      </c>
      <c r="D2008" s="1">
        <v>12970</v>
      </c>
      <c r="E2008" s="1">
        <v>259320</v>
      </c>
      <c r="F2008" s="1">
        <v>96</v>
      </c>
      <c r="G2008" s="1">
        <v>1680</v>
      </c>
      <c r="H2008" s="1" t="str">
        <f>"96/06/22"</f>
        <v>96/06/22</v>
      </c>
      <c r="I2008" s="1" t="str">
        <f>"كيلوگرم"</f>
        <v>كيلوگرم</v>
      </c>
      <c r="J2008" s="1" t="str">
        <f>"0000000091"</f>
        <v>0000000091</v>
      </c>
      <c r="K2008" s="1" t="str">
        <f>"قير  PG64-22"</f>
        <v>قير  PG64-22</v>
      </c>
      <c r="L2008" s="1">
        <v>100</v>
      </c>
      <c r="M2008" s="1" t="str">
        <f>"مخازن قير اصفهان"</f>
        <v>مخازن قير اصفهان</v>
      </c>
      <c r="N2008" s="1">
        <v>7034</v>
      </c>
      <c r="O2008" s="1">
        <v>50036024</v>
      </c>
      <c r="P2008" s="1" t="str">
        <f>"  اداره كل راه وشهرسازي كرمان"</f>
        <v xml:space="preserve">  اداره كل راه وشهرسازي كرمان</v>
      </c>
      <c r="Q2008" s="1">
        <v>17</v>
      </c>
      <c r="R2008" s="1" t="str">
        <f>"فروش داخلي تهران - وزارت راه - راه روستايي - روکش"</f>
        <v>فروش داخلي تهران - وزارت راه - راه روستايي - روکش</v>
      </c>
      <c r="S2008" s="1" t="str">
        <f>"قرارداد فروش"</f>
        <v>قرارداد فروش</v>
      </c>
      <c r="T2008" s="1" t="str">
        <f>"ندارد"</f>
        <v>ندارد</v>
      </c>
      <c r="U2008" s="1" t="str">
        <f>"دهقانيان بيژن (4954038)"</f>
        <v>دهقانيان بيژن (4954038)</v>
      </c>
      <c r="V2008" s="1">
        <v>961700098</v>
      </c>
      <c r="W2008" s="1">
        <v>961700098</v>
      </c>
      <c r="X2008" s="1" t="str">
        <f>"1396512365"</f>
        <v>1396512365</v>
      </c>
      <c r="Y2008" s="1" t="str">
        <f>"96/06/22"</f>
        <v>96/06/22</v>
      </c>
      <c r="Z2008" s="1" t="str">
        <f>"30412/710"</f>
        <v>30412/710</v>
      </c>
      <c r="AA2008" s="1" t="str">
        <f>"راه روستائي -روكش"</f>
        <v>راه روستائي -روكش</v>
      </c>
      <c r="AB2008" s="1" t="str">
        <f>"96/06/21"</f>
        <v>96/06/21</v>
      </c>
      <c r="AC2008" s="1" t="str">
        <f>"استان كرمان"</f>
        <v>استان كرمان</v>
      </c>
      <c r="AD2008" s="1" t="str">
        <f>"96/06/22"</f>
        <v>96/06/22</v>
      </c>
      <c r="AE2008" s="1" t="str">
        <f>"اختتام"</f>
        <v>اختتام</v>
      </c>
      <c r="AF2008" s="1" t="str">
        <f>""</f>
        <v/>
      </c>
      <c r="AG2008" s="1" t="str">
        <f>""</f>
        <v/>
      </c>
      <c r="AH2008" s="1" t="str">
        <f>""</f>
        <v/>
      </c>
      <c r="AI2008" s="1" t="str">
        <f>""</f>
        <v/>
      </c>
      <c r="AJ2008" s="1" t="str">
        <f>""</f>
        <v/>
      </c>
      <c r="AK2008" s="1" t="str">
        <f>""</f>
        <v/>
      </c>
    </row>
    <row r="2009" spans="1:37">
      <c r="A2009" s="1">
        <v>60000</v>
      </c>
      <c r="B2009" s="1">
        <v>961700135</v>
      </c>
      <c r="C2009" s="1" t="str">
        <f>"تخليه كرمان  كيلومتر28جاده كرمان .نگاركارخانه آسفالت طلايي"</f>
        <v>تخليه كرمان  كيلومتر28جاده كرمان .نگاركارخانه آسفالت طلايي</v>
      </c>
      <c r="D2009" s="1">
        <v>9716</v>
      </c>
      <c r="E2009" s="1">
        <v>49840</v>
      </c>
      <c r="F2009" s="1">
        <v>96</v>
      </c>
      <c r="G2009" s="1">
        <v>10160</v>
      </c>
      <c r="H2009" s="1" t="str">
        <f>"96/07/17"</f>
        <v>96/07/17</v>
      </c>
      <c r="I2009" s="1" t="str">
        <f>"كيلوگرم"</f>
        <v>كيلوگرم</v>
      </c>
      <c r="J2009" s="1" t="str">
        <f>"0000000091"</f>
        <v>0000000091</v>
      </c>
      <c r="K2009" s="1" t="str">
        <f>"قير  PG64-22"</f>
        <v>قير  PG64-22</v>
      </c>
      <c r="L2009" s="1">
        <v>100</v>
      </c>
      <c r="M2009" s="1" t="str">
        <f>"مخازن قير اصفهان"</f>
        <v>مخازن قير اصفهان</v>
      </c>
      <c r="N2009" s="1">
        <v>7034</v>
      </c>
      <c r="O2009" s="1">
        <v>50036650</v>
      </c>
      <c r="P2009" s="1" t="str">
        <f>"  اداره كل راه وشهرسازي كرمان"</f>
        <v xml:space="preserve">  اداره كل راه وشهرسازي كرمان</v>
      </c>
      <c r="Q2009" s="1">
        <v>17</v>
      </c>
      <c r="R2009" s="1" t="str">
        <f>"فروش داخلي تهران - وزارت راه - راه روستايي - روکش"</f>
        <v>فروش داخلي تهران - وزارت راه - راه روستايي - روکش</v>
      </c>
      <c r="S2009" s="1" t="str">
        <f>"قرارداد فروش"</f>
        <v>قرارداد فروش</v>
      </c>
      <c r="T2009" s="1" t="str">
        <f>"ندارد"</f>
        <v>ندارد</v>
      </c>
      <c r="U2009" s="1" t="str">
        <f>"ميرحسيني سيناترابر سيدمحمد(4854031)"</f>
        <v>ميرحسيني سيناترابر سيدمحمد(4854031)</v>
      </c>
      <c r="V2009" s="1">
        <v>961700135</v>
      </c>
      <c r="W2009" s="1">
        <v>961700135</v>
      </c>
      <c r="X2009" s="1" t="str">
        <f>"1396517391"</f>
        <v>1396517391</v>
      </c>
      <c r="Y2009" s="1" t="str">
        <f>"96/07/17"</f>
        <v>96/07/17</v>
      </c>
      <c r="Z2009" s="1" t="str">
        <f>"34614/710"</f>
        <v>34614/710</v>
      </c>
      <c r="AA2009" s="1" t="str">
        <f>"راه روستائي -روكش"</f>
        <v>راه روستائي -روكش</v>
      </c>
      <c r="AB2009" s="1" t="str">
        <f>"96/07/15"</f>
        <v>96/07/15</v>
      </c>
      <c r="AC2009" s="1" t="str">
        <f>"استان كرمان"</f>
        <v>استان كرمان</v>
      </c>
      <c r="AD2009" s="1" t="str">
        <f>"96/07/17"</f>
        <v>96/07/17</v>
      </c>
      <c r="AE2009" s="1" t="str">
        <f>"اختتام"</f>
        <v>اختتام</v>
      </c>
      <c r="AF2009" s="1" t="str">
        <f>""</f>
        <v/>
      </c>
      <c r="AG2009" s="1" t="str">
        <f>""</f>
        <v/>
      </c>
      <c r="AH2009" s="1" t="str">
        <f>""</f>
        <v/>
      </c>
      <c r="AI2009" s="1" t="str">
        <f>""</f>
        <v/>
      </c>
      <c r="AJ2009" s="1" t="str">
        <f>""</f>
        <v/>
      </c>
      <c r="AK2009" s="1" t="str">
        <f>""</f>
        <v/>
      </c>
    </row>
    <row r="2010" spans="1:37">
      <c r="A2010" s="1">
        <v>2000000</v>
      </c>
      <c r="B2010" s="1">
        <v>961800046</v>
      </c>
      <c r="C2010" s="1" t="str">
        <f>"تخليه -اصفهان كنار گذر غربي كيلومتر 15كارگاه سيمين سپاهان"</f>
        <v>تخليه -اصفهان كنار گذر غربي كيلومتر 15كارگاه سيمين سپاهان</v>
      </c>
      <c r="D2010" s="1">
        <v>9716</v>
      </c>
      <c r="E2010" s="1">
        <v>1999300</v>
      </c>
      <c r="F2010" s="1">
        <v>96</v>
      </c>
      <c r="G2010" s="1">
        <v>700</v>
      </c>
      <c r="H2010" s="1" t="str">
        <f>"96/06/26"</f>
        <v>96/06/26</v>
      </c>
      <c r="I2010" s="1" t="str">
        <f>"كيلوگرم"</f>
        <v>كيلوگرم</v>
      </c>
      <c r="J2010" s="1" t="str">
        <f>"0000000091"</f>
        <v>0000000091</v>
      </c>
      <c r="K2010" s="1" t="str">
        <f>"قير  PG64-22"</f>
        <v>قير  PG64-22</v>
      </c>
      <c r="L2010" s="1">
        <v>100</v>
      </c>
      <c r="M2010" s="1" t="str">
        <f>"مخازن قير اصفهان"</f>
        <v>مخازن قير اصفهان</v>
      </c>
      <c r="N2010" s="1">
        <v>7079</v>
      </c>
      <c r="O2010" s="1">
        <v>50036075</v>
      </c>
      <c r="P2010" s="1" t="str">
        <f>"  ساختماني سيمين سپاهان"</f>
        <v xml:space="preserve">  ساختماني سيمين سپاهان</v>
      </c>
      <c r="Q2010" s="1">
        <v>18</v>
      </c>
      <c r="R2010" s="1" t="str">
        <f>"فروش داخلي تهران - وزارت راه - شرکت ساخت و توسعه راهها"</f>
        <v>فروش داخلي تهران - وزارت راه - شرکت ساخت و توسعه راهها</v>
      </c>
      <c r="S2010" s="1" t="str">
        <f>"قرارداد فروش"</f>
        <v>قرارداد فروش</v>
      </c>
      <c r="T2010" s="1" t="str">
        <f>"ندارد"</f>
        <v>ندارد</v>
      </c>
      <c r="U2010" s="1" t="str">
        <f>"گل زاد فرزاد(1014ج89)"</f>
        <v>گل زاد فرزاد(1014ج89)</v>
      </c>
      <c r="V2010" s="1">
        <v>961800046</v>
      </c>
      <c r="W2010" s="1">
        <v>961800046</v>
      </c>
      <c r="X2010" s="1" t="str">
        <f>"1396512669"</f>
        <v>1396512669</v>
      </c>
      <c r="Y2010" s="1" t="str">
        <f>"96/06/26"</f>
        <v>96/06/26</v>
      </c>
      <c r="Z2010" s="1" t="str">
        <f>"30774/710"</f>
        <v>30774/710</v>
      </c>
      <c r="AA2010" s="1" t="str">
        <f>"شركت  ساخت وتوسعه راهها"</f>
        <v>شركت  ساخت وتوسعه راهها</v>
      </c>
      <c r="AB2010" s="1" t="str">
        <f>"96/06/22"</f>
        <v>96/06/22</v>
      </c>
      <c r="AC2010" s="1" t="str">
        <f>"استان اصفهان"</f>
        <v>استان اصفهان</v>
      </c>
      <c r="AD2010" s="1" t="str">
        <f>"96/06/25"</f>
        <v>96/06/25</v>
      </c>
      <c r="AE2010" s="1" t="str">
        <f>"اختتام"</f>
        <v>اختتام</v>
      </c>
      <c r="AF2010" s="1" t="str">
        <f>""</f>
        <v/>
      </c>
      <c r="AG2010" s="1" t="str">
        <f>""</f>
        <v/>
      </c>
      <c r="AH2010" s="1" t="str">
        <f>""</f>
        <v/>
      </c>
      <c r="AI2010" s="1" t="str">
        <f>""</f>
        <v/>
      </c>
      <c r="AJ2010" s="1" t="str">
        <f>""</f>
        <v/>
      </c>
      <c r="AK2010" s="1" t="str">
        <f>""</f>
        <v/>
      </c>
    </row>
    <row r="2011" spans="1:37">
      <c r="A2011" s="1">
        <v>850000</v>
      </c>
      <c r="B2011" s="1">
        <v>961900004</v>
      </c>
      <c r="C2011" s="1" t="str">
        <f>"تخليه سه راهي پليس راه جندق - كارگاه شركت زرين سپاهان - 5 كيلومتر به سمت خوركارخانه آسفالت خور"</f>
        <v>تخليه سه راهي پليس راه جندق - كارگاه شركت زرين سپاهان - 5 كيلومتر به سمت خوركارخانه آسفالت خور</v>
      </c>
      <c r="D2011" s="1">
        <v>9354</v>
      </c>
      <c r="E2011" s="1">
        <v>848400</v>
      </c>
      <c r="F2011" s="1">
        <v>96</v>
      </c>
      <c r="G2011" s="1">
        <v>1600</v>
      </c>
      <c r="H2011" s="1" t="str">
        <f>"96/01/15"</f>
        <v>96/01/15</v>
      </c>
      <c r="I2011" s="1" t="str">
        <f>"كيلوگرم"</f>
        <v>كيلوگرم</v>
      </c>
      <c r="J2011" s="1" t="str">
        <f>"0000000091"</f>
        <v>0000000091</v>
      </c>
      <c r="K2011" s="1" t="str">
        <f>"قير  PG64-22"</f>
        <v>قير  PG64-22</v>
      </c>
      <c r="L2011" s="1">
        <v>100</v>
      </c>
      <c r="M2011" s="1" t="str">
        <f>"مخازن قير اصفهان"</f>
        <v>مخازن قير اصفهان</v>
      </c>
      <c r="N2011" s="1">
        <v>7140</v>
      </c>
      <c r="O2011" s="1">
        <v>50034357</v>
      </c>
      <c r="P2011" s="1" t="str">
        <f>"  زرين سپاهان"</f>
        <v xml:space="preserve">  زرين سپاهان</v>
      </c>
      <c r="Q2011" s="1">
        <v>19</v>
      </c>
      <c r="R201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011" s="1" t="str">
        <f>"قرارداد فروش"</f>
        <v>قرارداد فروش</v>
      </c>
      <c r="T2011" s="1" t="str">
        <f>"ندارد"</f>
        <v>ندارد</v>
      </c>
      <c r="U2011" s="1" t="str">
        <f>"مرادي نجاتعلي(1020ج89)"</f>
        <v>مرادي نجاتعلي(1020ج89)</v>
      </c>
      <c r="V2011" s="1">
        <v>961900004</v>
      </c>
      <c r="W2011" s="1">
        <v>961900004</v>
      </c>
      <c r="X2011" s="1" t="str">
        <f>"1395471085"</f>
        <v>1395471085</v>
      </c>
      <c r="Y2011" s="1" t="str">
        <f>"96/01/15"</f>
        <v>96/01/15</v>
      </c>
      <c r="Z2011" s="1" t="str">
        <f>"66951/710"</f>
        <v>66951/710</v>
      </c>
      <c r="AA2011" s="1" t="str">
        <f>"سازمان راهداري وحمل نقل جاده اي"</f>
        <v>سازمان راهداري وحمل نقل جاده اي</v>
      </c>
      <c r="AB2011" s="1" t="str">
        <f>"95/12/25"</f>
        <v>95/12/25</v>
      </c>
      <c r="AC2011" s="1" t="str">
        <f>"خراسان جنوبي"</f>
        <v>خراسان جنوبي</v>
      </c>
      <c r="AD2011" s="1" t="str">
        <f>"95/12/28"</f>
        <v>95/12/28</v>
      </c>
      <c r="AE2011" s="1" t="str">
        <f>"اختتام"</f>
        <v>اختتام</v>
      </c>
      <c r="AF2011" s="1" t="str">
        <f>""</f>
        <v/>
      </c>
      <c r="AG2011" s="1" t="str">
        <f>""</f>
        <v/>
      </c>
      <c r="AH2011" s="1" t="str">
        <f>""</f>
        <v/>
      </c>
      <c r="AI2011" s="1" t="str">
        <f>""</f>
        <v/>
      </c>
      <c r="AJ2011" s="1" t="str">
        <f>""</f>
        <v/>
      </c>
      <c r="AK2011" s="1" t="str">
        <f>""</f>
        <v/>
      </c>
    </row>
    <row r="2012" spans="1:37">
      <c r="A2012" s="1">
        <v>1500000</v>
      </c>
      <c r="B2012" s="1">
        <v>961800013</v>
      </c>
      <c r="C2012" s="1" t="str">
        <f>"تخليه -قزوين -محورقزوين -بويين زهرا-ميدان ورودي بويين زهرا-روبروي بيمارستان -كارگاه راهسازي شركت بنادر"</f>
        <v>تخليه -قزوين -محورقزوين -بويين زهرا-ميدان ورودي بويين زهرا-روبروي بيمارستان -كارگاه راهسازي شركت بنادر</v>
      </c>
      <c r="D2012" s="1">
        <v>8904</v>
      </c>
      <c r="E2012" s="1">
        <v>1498720</v>
      </c>
      <c r="F2012" s="1">
        <v>96</v>
      </c>
      <c r="G2012" s="1">
        <v>1280</v>
      </c>
      <c r="H2012" s="1" t="str">
        <f>"96/04/22"</f>
        <v>96/04/22</v>
      </c>
      <c r="I2012" s="1" t="str">
        <f>"كيلوگرم"</f>
        <v>كيلوگرم</v>
      </c>
      <c r="J2012" s="1" t="str">
        <f>"0000000091"</f>
        <v>0000000091</v>
      </c>
      <c r="K2012" s="1" t="str">
        <f>"قير  PG64-22"</f>
        <v>قير  PG64-22</v>
      </c>
      <c r="L2012" s="1">
        <v>100</v>
      </c>
      <c r="M2012" s="1" t="str">
        <f>"مخازن قير اصفهان"</f>
        <v>مخازن قير اصفهان</v>
      </c>
      <c r="N2012" s="1">
        <v>8072</v>
      </c>
      <c r="O2012" s="1">
        <v>50035195</v>
      </c>
      <c r="P2012" s="1" t="str">
        <f>"  بنادر"</f>
        <v xml:space="preserve">  بنادر</v>
      </c>
      <c r="Q2012" s="1">
        <v>18</v>
      </c>
      <c r="R2012" s="1" t="str">
        <f>"فروش داخلي تهران - وزارت راه - شرکت ساخت و توسعه راهها"</f>
        <v>فروش داخلي تهران - وزارت راه - شرکت ساخت و توسعه راهها</v>
      </c>
      <c r="S2012" s="1" t="str">
        <f>"قرارداد فروش"</f>
        <v>قرارداد فروش</v>
      </c>
      <c r="T2012" s="1" t="str">
        <f>"ندارد"</f>
        <v>ندارد</v>
      </c>
      <c r="U2012" s="1" t="str">
        <f>"عزيزي صفر(1006ج 89)"</f>
        <v>عزيزي صفر(1006ج 89)</v>
      </c>
      <c r="V2012" s="1">
        <v>961800013</v>
      </c>
      <c r="W2012" s="1">
        <v>961800013</v>
      </c>
      <c r="X2012" s="1" t="str">
        <f>"1396496301"</f>
        <v>1396496301</v>
      </c>
      <c r="Y2012" s="1" t="str">
        <f>"96/04/22"</f>
        <v>96/04/22</v>
      </c>
      <c r="Z2012" s="1" t="str">
        <f>"17762/710"</f>
        <v>17762/710</v>
      </c>
      <c r="AA2012" s="1" t="str">
        <f>"شركت  ساخت وتوسعه راهها"</f>
        <v>شركت  ساخت وتوسعه راهها</v>
      </c>
      <c r="AB2012" s="1" t="str">
        <f>"96/04/20"</f>
        <v>96/04/20</v>
      </c>
      <c r="AC2012" s="1" t="str">
        <f>"قزوين"</f>
        <v>قزوين</v>
      </c>
      <c r="AD2012" s="1" t="str">
        <f>"96/04/21"</f>
        <v>96/04/21</v>
      </c>
      <c r="AE2012" s="1" t="str">
        <f>"اختتام"</f>
        <v>اختتام</v>
      </c>
      <c r="AF2012" s="1" t="str">
        <f>""</f>
        <v/>
      </c>
      <c r="AG2012" s="1" t="str">
        <f>""</f>
        <v/>
      </c>
      <c r="AH2012" s="1" t="str">
        <f>""</f>
        <v/>
      </c>
      <c r="AI2012" s="1" t="str">
        <f>""</f>
        <v/>
      </c>
      <c r="AJ2012" s="1" t="str">
        <f>""</f>
        <v/>
      </c>
      <c r="AK2012" s="1" t="str">
        <f>""</f>
        <v/>
      </c>
    </row>
    <row r="2013" spans="1:37">
      <c r="A2013" s="1">
        <v>300000</v>
      </c>
      <c r="B2013" s="1">
        <v>961700254</v>
      </c>
      <c r="C2013" s="1" t="str">
        <f>"تخليه-کيلومتر 17 جاده قمصرشركت بتن آسفالت مهر"</f>
        <v>تخليه-کيلومتر 17 جاده قمصرشركت بتن آسفالت مهر</v>
      </c>
      <c r="D2013" s="1">
        <v>16350</v>
      </c>
      <c r="E2013" s="1">
        <v>298980</v>
      </c>
      <c r="F2013" s="1">
        <v>96</v>
      </c>
      <c r="G2013" s="1">
        <v>1020</v>
      </c>
      <c r="H2013" s="1" t="str">
        <f>"96/12/26"</f>
        <v>96/12/26</v>
      </c>
      <c r="I2013" s="1" t="str">
        <f>"كيلوگرم"</f>
        <v>كيلوگرم</v>
      </c>
      <c r="J2013" s="1" t="str">
        <f>"0000000091"</f>
        <v>0000000091</v>
      </c>
      <c r="K2013" s="1" t="str">
        <f>"قير  PG64-22"</f>
        <v>قير  PG64-22</v>
      </c>
      <c r="L2013" s="1">
        <v>100</v>
      </c>
      <c r="M2013" s="1" t="str">
        <f>"مخازن قير اصفهان"</f>
        <v>مخازن قير اصفهان</v>
      </c>
      <c r="N2013" s="1">
        <v>8091</v>
      </c>
      <c r="O2013" s="1">
        <v>50039054</v>
      </c>
      <c r="P2013" s="1" t="str">
        <f>"  اداره كل راه وشهرسازي اصفهان"</f>
        <v xml:space="preserve">  اداره كل راه وشهرسازي اصفهان</v>
      </c>
      <c r="Q2013" s="1">
        <v>17</v>
      </c>
      <c r="R2013" s="1" t="str">
        <f>"فروش داخلي تهران - وزارت راه - راه روستايي - روکش"</f>
        <v>فروش داخلي تهران - وزارت راه - راه روستايي - روکش</v>
      </c>
      <c r="S2013" s="1" t="str">
        <f>"قرارداد فروش"</f>
        <v>قرارداد فروش</v>
      </c>
      <c r="T2013" s="1" t="str">
        <f>"ندارد"</f>
        <v>ندارد</v>
      </c>
      <c r="U2013" s="1" t="str">
        <f>"شهبازي محمدرضا(1029ج89)"</f>
        <v>شهبازي محمدرضا(1029ج89)</v>
      </c>
      <c r="V2013" s="1">
        <v>961700254</v>
      </c>
      <c r="W2013" s="1">
        <v>961700254</v>
      </c>
      <c r="X2013" s="1" t="str">
        <f>"1396553913"</f>
        <v>1396553913</v>
      </c>
      <c r="Y2013" s="1" t="str">
        <f>"96/12/26"</f>
        <v>96/12/26</v>
      </c>
      <c r="Z2013" s="1" t="str">
        <f>"49331/710"</f>
        <v>49331/710</v>
      </c>
      <c r="AA2013" s="1" t="str">
        <f>"راه روستائي -روكش"</f>
        <v>راه روستائي -روكش</v>
      </c>
      <c r="AB2013" s="1" t="str">
        <f>"96/09/26"</f>
        <v>96/09/26</v>
      </c>
      <c r="AC2013" s="1" t="str">
        <f>"استان اصفهان"</f>
        <v>استان اصفهان</v>
      </c>
      <c r="AD2013" s="1" t="str">
        <f>"96/12/20"</f>
        <v>96/12/20</v>
      </c>
      <c r="AE2013" s="1" t="str">
        <f>"اختتام"</f>
        <v>اختتام</v>
      </c>
      <c r="AF2013" s="1" t="str">
        <f>""</f>
        <v/>
      </c>
      <c r="AG2013" s="1" t="str">
        <f>""</f>
        <v/>
      </c>
      <c r="AH2013" s="1" t="str">
        <f>""</f>
        <v/>
      </c>
      <c r="AI2013" s="1" t="str">
        <f>""</f>
        <v/>
      </c>
      <c r="AJ2013" s="1" t="str">
        <f>""</f>
        <v/>
      </c>
      <c r="AK2013" s="1" t="str">
        <f>""</f>
        <v/>
      </c>
    </row>
    <row r="2014" spans="1:37">
      <c r="A2014" s="1">
        <v>100000</v>
      </c>
      <c r="B2014" s="1">
        <v>961100052</v>
      </c>
      <c r="C2014" s="1" t="str">
        <f>"تخليه كرمانشاه محوركرمانشاه -هرسين ازپليس راه كيلومتر9روبروي روستاي چهر"</f>
        <v>تخليه كرمانشاه محوركرمانشاه -هرسين ازپليس راه كيلومتر9روبروي روستاي چهر</v>
      </c>
      <c r="D2014" s="1">
        <v>8904</v>
      </c>
      <c r="E2014" s="1">
        <v>100000</v>
      </c>
      <c r="F2014" s="1">
        <v>96</v>
      </c>
      <c r="G2014" s="1">
        <v>0</v>
      </c>
      <c r="H2014" s="1" t="str">
        <f>"96/05/28"</f>
        <v>96/05/28</v>
      </c>
      <c r="I2014" s="1" t="str">
        <f>"كيلوگرم"</f>
        <v>كيلوگرم</v>
      </c>
      <c r="J2014" s="1" t="str">
        <f>"0000000091"</f>
        <v>0000000091</v>
      </c>
      <c r="K2014" s="1" t="str">
        <f>"قير  PG64-22"</f>
        <v>قير  PG64-22</v>
      </c>
      <c r="L2014" s="1">
        <v>100</v>
      </c>
      <c r="M2014" s="1" t="str">
        <f>"مخازن قير اصفهان"</f>
        <v>مخازن قير اصفهان</v>
      </c>
      <c r="N2014" s="1">
        <v>8120</v>
      </c>
      <c r="O2014" s="1">
        <v>50035714</v>
      </c>
      <c r="P2014" s="1" t="str">
        <f>"  مرزراه"</f>
        <v xml:space="preserve">  مرزراه</v>
      </c>
      <c r="Q2014" s="1">
        <v>11</v>
      </c>
      <c r="R2014" s="1" t="str">
        <f>"فروش داخلي تهران - بورس"</f>
        <v>فروش داخلي تهران - بورس</v>
      </c>
      <c r="S2014" s="1" t="str">
        <f>"قرارداد فروش"</f>
        <v>قرارداد فروش</v>
      </c>
      <c r="T2014" s="1" t="str">
        <f>"ندارد"</f>
        <v>ندارد</v>
      </c>
      <c r="U2014" s="1" t="str">
        <f>"شمسيان پور حبيب اله(2842034)"</f>
        <v>شمسيان پور حبيب اله(2842034)</v>
      </c>
      <c r="V2014" s="1">
        <v>961100052</v>
      </c>
      <c r="W2014" s="1">
        <v>961100052</v>
      </c>
      <c r="X2014" s="1" t="str">
        <f>"1396506147"</f>
        <v>1396506147</v>
      </c>
      <c r="Y2014" s="1" t="str">
        <f>"96/05/28"</f>
        <v>96/05/28</v>
      </c>
      <c r="Z2014" s="1" t="str">
        <f>"96-36030"</f>
        <v>96-36030</v>
      </c>
      <c r="AA2014" s="1" t="str">
        <f>"راه سازي"</f>
        <v>راه سازي</v>
      </c>
      <c r="AB2014" s="1" t="str">
        <f>"96/05/25"</f>
        <v>96/05/25</v>
      </c>
      <c r="AC2014" s="1" t="str">
        <f>"استان كرمانشاه"</f>
        <v>استان كرمانشاه</v>
      </c>
      <c r="AD2014" s="1" t="str">
        <f>"96/05/25"</f>
        <v>96/05/25</v>
      </c>
      <c r="AE2014" s="1" t="str">
        <f>"اختتام"</f>
        <v>اختتام</v>
      </c>
      <c r="AF2014" s="1" t="str">
        <f>""</f>
        <v/>
      </c>
      <c r="AG2014" s="1" t="str">
        <f>""</f>
        <v/>
      </c>
      <c r="AH2014" s="1" t="str">
        <f>""</f>
        <v/>
      </c>
      <c r="AI2014" s="1" t="str">
        <f>""</f>
        <v/>
      </c>
      <c r="AJ2014" s="1" t="str">
        <f>""</f>
        <v/>
      </c>
      <c r="AK2014" s="1" t="str">
        <f>""</f>
        <v/>
      </c>
    </row>
    <row r="2015" spans="1:37">
      <c r="A2015" s="1">
        <v>2000000</v>
      </c>
      <c r="B2015" s="1">
        <v>961100064</v>
      </c>
      <c r="C2015" s="1" t="str">
        <f>"تخليه خراسان رضوي مشهدجاده كلات كيلومتر14جاده كلات كارخانه آسفالت شهيدمجيدي"</f>
        <v>تخليه خراسان رضوي مشهدجاده كلات كيلومتر14جاده كلات كارخانه آسفالت شهيدمجيدي</v>
      </c>
      <c r="D2015" s="1">
        <v>9204</v>
      </c>
      <c r="E2015" s="1">
        <v>2000000</v>
      </c>
      <c r="F2015" s="1">
        <v>96</v>
      </c>
      <c r="G2015" s="1">
        <v>0</v>
      </c>
      <c r="H2015" s="1" t="str">
        <f>"96/06/19"</f>
        <v>96/06/19</v>
      </c>
      <c r="I2015" s="1" t="str">
        <f>"كيلوگرم"</f>
        <v>كيلوگرم</v>
      </c>
      <c r="J2015" s="1" t="str">
        <f>"0000000091"</f>
        <v>0000000091</v>
      </c>
      <c r="K2015" s="1" t="str">
        <f>"قير  PG64-22"</f>
        <v>قير  PG64-22</v>
      </c>
      <c r="L2015" s="1">
        <v>100</v>
      </c>
      <c r="M2015" s="1" t="str">
        <f>"مخازن قير اصفهان"</f>
        <v>مخازن قير اصفهان</v>
      </c>
      <c r="N2015" s="1">
        <v>8163</v>
      </c>
      <c r="O2015" s="1">
        <v>50035951</v>
      </c>
      <c r="P2015" s="1" t="str">
        <f>"  سازمان عمران شهرداري مشهد"</f>
        <v xml:space="preserve">  سازمان عمران شهرداري مشهد</v>
      </c>
      <c r="Q2015" s="1">
        <v>11</v>
      </c>
      <c r="R2015" s="1" t="str">
        <f>"فروش داخلي تهران - بورس"</f>
        <v>فروش داخلي تهران - بورس</v>
      </c>
      <c r="S2015" s="1" t="str">
        <f>"قرارداد فروش"</f>
        <v>قرارداد فروش</v>
      </c>
      <c r="T2015" s="1" t="str">
        <f>"ندارد"</f>
        <v>ندارد</v>
      </c>
      <c r="U2015" s="1" t="str">
        <f>"جعفرزاده مهدي(1841079)"</f>
        <v>جعفرزاده مهدي(1841079)</v>
      </c>
      <c r="V2015" s="1">
        <v>961100064</v>
      </c>
      <c r="W2015" s="1">
        <v>961100064</v>
      </c>
      <c r="X2015" s="1" t="str">
        <f>"1396511134"</f>
        <v>1396511134</v>
      </c>
      <c r="Y2015" s="1" t="str">
        <f>"96/06/19"</f>
        <v>96/06/19</v>
      </c>
      <c r="Z2015" s="1" t="str">
        <f>"49/96/13909"</f>
        <v>49/96/13909</v>
      </c>
      <c r="AA2015" s="1" t="str">
        <f>"شهرداريها"</f>
        <v>شهرداريها</v>
      </c>
      <c r="AB2015" s="1" t="str">
        <f>"96/06/15"</f>
        <v>96/06/15</v>
      </c>
      <c r="AC2015" s="1" t="str">
        <f>"خراسان رضوي"</f>
        <v>خراسان رضوي</v>
      </c>
      <c r="AD2015" s="1" t="str">
        <f>"96/06/19"</f>
        <v>96/06/19</v>
      </c>
      <c r="AE2015" s="1" t="str">
        <f>"اختتام"</f>
        <v>اختتام</v>
      </c>
      <c r="AF2015" s="1" t="str">
        <f>""</f>
        <v/>
      </c>
      <c r="AG2015" s="1" t="str">
        <f>""</f>
        <v/>
      </c>
      <c r="AH2015" s="1" t="str">
        <f>""</f>
        <v/>
      </c>
      <c r="AI2015" s="1" t="str">
        <f>""</f>
        <v/>
      </c>
      <c r="AJ2015" s="1" t="str">
        <f>""</f>
        <v/>
      </c>
      <c r="AK2015" s="1" t="str">
        <f>""</f>
        <v/>
      </c>
    </row>
    <row r="2016" spans="1:37">
      <c r="A2016" s="1">
        <v>500000</v>
      </c>
      <c r="B2016" s="1">
        <v>961700210</v>
      </c>
      <c r="C2016" s="1" t="str">
        <f>"تخليه سيستان وبلوچستان شهرستان سراوان پروژه مورتي شيرين زادآسكان كارخانه آسفالت شركت فولادراه زاهدان"</f>
        <v>تخليه سيستان وبلوچستان شهرستان سراوان پروژه مورتي شيرين زادآسكان كارخانه آسفالت شركت فولادراه زاهدان</v>
      </c>
      <c r="D2016" s="1">
        <v>13100</v>
      </c>
      <c r="E2016" s="1">
        <v>499260</v>
      </c>
      <c r="F2016" s="1">
        <v>96</v>
      </c>
      <c r="G2016" s="1">
        <v>740</v>
      </c>
      <c r="H2016" s="1" t="str">
        <f>"96/12/24"</f>
        <v>96/12/24</v>
      </c>
      <c r="I2016" s="1" t="str">
        <f>"كيلوگرم"</f>
        <v>كيلوگرم</v>
      </c>
      <c r="J2016" s="1" t="str">
        <f>"0000000091"</f>
        <v>0000000091</v>
      </c>
      <c r="K2016" s="1" t="str">
        <f>"قير  PG64-22"</f>
        <v>قير  PG64-22</v>
      </c>
      <c r="L2016" s="1">
        <v>100</v>
      </c>
      <c r="M2016" s="1" t="str">
        <f>"مخازن قير اصفهان"</f>
        <v>مخازن قير اصفهان</v>
      </c>
      <c r="N2016" s="1">
        <v>8354</v>
      </c>
      <c r="O2016" s="1">
        <v>50038983</v>
      </c>
      <c r="P2016" s="1" t="str">
        <f>"  راهسازي فولاد راه زاهدان"</f>
        <v xml:space="preserve">  راهسازي فولاد راه زاهدان</v>
      </c>
      <c r="Q2016" s="1">
        <v>17</v>
      </c>
      <c r="R2016" s="1" t="str">
        <f>"فروش داخلي تهران - وزارت راه - راه روستايي - روکش"</f>
        <v>فروش داخلي تهران - وزارت راه - راه روستايي - روکش</v>
      </c>
      <c r="S2016" s="1" t="str">
        <f>"قرارداد فروش"</f>
        <v>قرارداد فروش</v>
      </c>
      <c r="T2016" s="1" t="str">
        <f>"ندارد"</f>
        <v>ندارد</v>
      </c>
      <c r="U2016" s="1" t="str">
        <f>"ميرحسيني چاپارحقيقت كرمان(4844008)"</f>
        <v>ميرحسيني چاپارحقيقت كرمان(4844008)</v>
      </c>
      <c r="V2016" s="1">
        <v>961700210</v>
      </c>
      <c r="W2016" s="1">
        <v>961700210</v>
      </c>
      <c r="X2016" s="1" t="str">
        <f>"1396554112"</f>
        <v>1396554112</v>
      </c>
      <c r="Y2016" s="1" t="str">
        <f>"96/12/24"</f>
        <v>96/12/24</v>
      </c>
      <c r="Z2016" s="1" t="str">
        <f>"289306/710"</f>
        <v>289306/710</v>
      </c>
      <c r="AA2016" s="1" t="str">
        <f>"راه روستائي -روكش"</f>
        <v>راه روستائي -روكش</v>
      </c>
      <c r="AB2016" s="1" t="str">
        <f>"96/12/02"</f>
        <v>96/12/02</v>
      </c>
      <c r="AC2016" s="1" t="str">
        <f>"استان سيستان بلوچستان"</f>
        <v>استان سيستان بلوچستان</v>
      </c>
      <c r="AD2016" s="1" t="str">
        <f>"96/12/21"</f>
        <v>96/12/21</v>
      </c>
      <c r="AE2016" s="1" t="str">
        <f>"اختتام"</f>
        <v>اختتام</v>
      </c>
      <c r="AF2016" s="1" t="str">
        <f>""</f>
        <v/>
      </c>
      <c r="AG2016" s="1" t="str">
        <f>""</f>
        <v/>
      </c>
      <c r="AH2016" s="1" t="str">
        <f>""</f>
        <v/>
      </c>
      <c r="AI2016" s="1" t="str">
        <f>""</f>
        <v/>
      </c>
      <c r="AJ2016" s="1" t="str">
        <f>""</f>
        <v/>
      </c>
      <c r="AK2016" s="1" t="str">
        <f>""</f>
        <v/>
      </c>
    </row>
    <row r="2017" spans="1:37">
      <c r="A2017" s="1">
        <v>1000000</v>
      </c>
      <c r="B2017" s="1">
        <v>961900208</v>
      </c>
      <c r="C2017" s="1" t="str">
        <f>"تخليه -كرمانشاه -اسلام آبادغرب كيلومتر10جاده اهواز-كارخانه آسفالت قاضي وندفيروزآباد"</f>
        <v>تخليه -كرمانشاه -اسلام آبادغرب كيلومتر10جاده اهواز-كارخانه آسفالت قاضي وندفيروزآباد</v>
      </c>
      <c r="D2017" s="1">
        <v>15810</v>
      </c>
      <c r="E2017" s="1">
        <v>999160</v>
      </c>
      <c r="F2017" s="1">
        <v>96</v>
      </c>
      <c r="G2017" s="1">
        <v>840</v>
      </c>
      <c r="H2017" s="1" t="str">
        <f>"96/12/27"</f>
        <v>96/12/27</v>
      </c>
      <c r="I2017" s="1" t="str">
        <f>"كيلوگرم"</f>
        <v>كيلوگرم</v>
      </c>
      <c r="J2017" s="1" t="str">
        <f>"0000000091"</f>
        <v>0000000091</v>
      </c>
      <c r="K2017" s="1" t="str">
        <f>"قير  PG64-22"</f>
        <v>قير  PG64-22</v>
      </c>
      <c r="L2017" s="1">
        <v>100</v>
      </c>
      <c r="M2017" s="1" t="str">
        <f>"مخازن قير اصفهان"</f>
        <v>مخازن قير اصفهان</v>
      </c>
      <c r="N2017" s="1">
        <v>9734</v>
      </c>
      <c r="O2017" s="1">
        <v>50039120</v>
      </c>
      <c r="P2017" s="1" t="str">
        <f>"  تيسفون راه زاگرس(زرين بام هليلان )"</f>
        <v xml:space="preserve">  تيسفون راه زاگرس(زرين بام هليلان )</v>
      </c>
      <c r="Q2017" s="1">
        <v>19</v>
      </c>
      <c r="R201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017" s="1" t="str">
        <f>"قرارداد فروش"</f>
        <v>قرارداد فروش</v>
      </c>
      <c r="T2017" s="1" t="str">
        <f>"ندارد"</f>
        <v>ندارد</v>
      </c>
      <c r="U2017" s="1" t="str">
        <f>"قره باغي مجيد(1871065)"</f>
        <v>قره باغي مجيد(1871065)</v>
      </c>
      <c r="V2017" s="1">
        <v>961900208</v>
      </c>
      <c r="W2017" s="1">
        <v>961900208</v>
      </c>
      <c r="X2017" s="1" t="str">
        <f>"1396554110"</f>
        <v>1396554110</v>
      </c>
      <c r="Y2017" s="1" t="str">
        <f>"96/12/27"</f>
        <v>96/12/27</v>
      </c>
      <c r="Z2017" s="1" t="str">
        <f>"55045/710"</f>
        <v>55045/710</v>
      </c>
      <c r="AA2017" s="1" t="str">
        <f>"سازمان راهداري وحمل نقل جاده اي"</f>
        <v>سازمان راهداري وحمل نقل جاده اي</v>
      </c>
      <c r="AB2017" s="1" t="str">
        <f>"96/10/23"</f>
        <v>96/10/23</v>
      </c>
      <c r="AC2017" s="1" t="str">
        <f>"استان كرمانشاه"</f>
        <v>استان كرمانشاه</v>
      </c>
      <c r="AD2017" s="1" t="str">
        <f>"96/12/21"</f>
        <v>96/12/21</v>
      </c>
      <c r="AE2017" s="1" t="str">
        <f>"اختتام"</f>
        <v>اختتام</v>
      </c>
      <c r="AF2017" s="1" t="str">
        <f>""</f>
        <v/>
      </c>
      <c r="AG2017" s="1" t="str">
        <f>""</f>
        <v/>
      </c>
      <c r="AH2017" s="1" t="str">
        <f>""</f>
        <v/>
      </c>
      <c r="AI2017" s="1" t="str">
        <f>""</f>
        <v/>
      </c>
      <c r="AJ2017" s="1" t="str">
        <f>""</f>
        <v/>
      </c>
      <c r="AK2017" s="1" t="str">
        <f>""</f>
        <v/>
      </c>
    </row>
    <row r="2018" spans="1:37">
      <c r="A2018" s="1">
        <v>303000</v>
      </c>
      <c r="B2018" s="1">
        <v>966200595</v>
      </c>
      <c r="C2018" s="1" t="str">
        <f>"تخليه -شهرکرد-ناغان -کارخانه آسفالت  اتحادناغان"</f>
        <v>تخليه -شهرکرد-ناغان -کارخانه آسفالت  اتحادناغان</v>
      </c>
      <c r="D2018" s="1">
        <v>13600</v>
      </c>
      <c r="E2018" s="1">
        <v>302100</v>
      </c>
      <c r="F2018" s="1">
        <v>96</v>
      </c>
      <c r="G2018" s="1">
        <v>900</v>
      </c>
      <c r="H2018" s="1" t="str">
        <f>"96/12/08"</f>
        <v>96/12/08</v>
      </c>
      <c r="I2018" s="1" t="str">
        <f>"كيلوگرم"</f>
        <v>كيلوگرم</v>
      </c>
      <c r="J2018" s="1" t="str">
        <f>"0000000091"</f>
        <v>0000000091</v>
      </c>
      <c r="K2018" s="1" t="str">
        <f>"قير  PG64-22"</f>
        <v>قير  PG64-22</v>
      </c>
      <c r="L2018" s="1">
        <v>100</v>
      </c>
      <c r="M2018" s="1" t="str">
        <f>"مخازن قير اصفهان"</f>
        <v>مخازن قير اصفهان</v>
      </c>
      <c r="N2018" s="1">
        <v>10203</v>
      </c>
      <c r="O2018" s="1">
        <v>50038641</v>
      </c>
      <c r="P2018" s="1" t="str">
        <f>"  پارساکوشان زاگرس"</f>
        <v xml:space="preserve">  پارساکوشان زاگرس</v>
      </c>
      <c r="Q2018" s="1">
        <v>62</v>
      </c>
      <c r="R2018" s="1" t="str">
        <f>"فروش داخلي - سازمان بنيادمسكن انقلاب اسلامي"</f>
        <v>فروش داخلي - سازمان بنيادمسكن انقلاب اسلامي</v>
      </c>
      <c r="S2018" s="1" t="str">
        <f>"قرارداد فروش"</f>
        <v>قرارداد فروش</v>
      </c>
      <c r="T2018" s="1" t="str">
        <f>"ندارد"</f>
        <v>ندارد</v>
      </c>
      <c r="U2018" s="1" t="str">
        <f>"قره باغي مجيد(1871065)"</f>
        <v>قره باغي مجيد(1871065)</v>
      </c>
      <c r="V2018" s="1">
        <v>966200595</v>
      </c>
      <c r="W2018" s="1">
        <v>966200595</v>
      </c>
      <c r="X2018" s="1" t="str">
        <f>"1396551024"</f>
        <v>1396551024</v>
      </c>
      <c r="Y2018" s="1" t="str">
        <f>"96/12/08"</f>
        <v>96/12/08</v>
      </c>
      <c r="Z2018" s="1" t="str">
        <f>"55348/د"</f>
        <v>55348/د</v>
      </c>
      <c r="AA2018" s="1" t="str">
        <f>"بنيادمسكن انقلاب اسلامي"</f>
        <v>بنيادمسكن انقلاب اسلامي</v>
      </c>
      <c r="AB2018" s="1" t="str">
        <f>"96/12/07"</f>
        <v>96/12/07</v>
      </c>
      <c r="AC2018" s="1" t="str">
        <f>"استان چهارمحال بختياري"</f>
        <v>استان چهارمحال بختياري</v>
      </c>
      <c r="AD2018" s="1" t="str">
        <f>"96/12/08"</f>
        <v>96/12/08</v>
      </c>
      <c r="AE2018" s="1" t="str">
        <f>"اختتام"</f>
        <v>اختتام</v>
      </c>
      <c r="AF2018" s="1" t="str">
        <f>""</f>
        <v/>
      </c>
      <c r="AG2018" s="1" t="str">
        <f>""</f>
        <v/>
      </c>
      <c r="AH2018" s="1" t="str">
        <f>""</f>
        <v/>
      </c>
      <c r="AI2018" s="1" t="str">
        <f>""</f>
        <v/>
      </c>
      <c r="AJ2018" s="1" t="str">
        <f>""</f>
        <v/>
      </c>
      <c r="AK2018" s="1" t="str">
        <f>""</f>
        <v/>
      </c>
    </row>
    <row r="2019" spans="1:37">
      <c r="A2019" s="1">
        <v>260000</v>
      </c>
      <c r="B2019" s="1">
        <v>961700158</v>
      </c>
      <c r="C2019" s="1" t="str">
        <f>"تخليه :لرستان الشتر - شهر فيروز آباد - کارخانه شرکت زاگرس راه نصر"</f>
        <v>تخليه :لرستان الشتر - شهر فيروز آباد - کارخانه شرکت زاگرس راه نصر</v>
      </c>
      <c r="D2019" s="1">
        <v>13600</v>
      </c>
      <c r="E2019" s="1">
        <v>258660</v>
      </c>
      <c r="F2019" s="1">
        <v>96</v>
      </c>
      <c r="G2019" s="1">
        <v>1340</v>
      </c>
      <c r="H2019" s="1" t="str">
        <f>"96/09/12"</f>
        <v>96/09/12</v>
      </c>
      <c r="I2019" s="1" t="str">
        <f>"كيلوگرم"</f>
        <v>كيلوگرم</v>
      </c>
      <c r="J2019" s="1" t="str">
        <f>"0000000091"</f>
        <v>0000000091</v>
      </c>
      <c r="K2019" s="1" t="str">
        <f>"قير  PG64-22"</f>
        <v>قير  PG64-22</v>
      </c>
      <c r="L2019" s="1">
        <v>100</v>
      </c>
      <c r="M2019" s="1" t="str">
        <f>"مخازن قير اصفهان"</f>
        <v>مخازن قير اصفهان</v>
      </c>
      <c r="N2019" s="1">
        <v>10506</v>
      </c>
      <c r="O2019" s="1">
        <v>50037439</v>
      </c>
      <c r="P2019" s="1" t="str">
        <f>"  يكتابتن پرشين"</f>
        <v xml:space="preserve">  يكتابتن پرشين</v>
      </c>
      <c r="Q2019" s="1">
        <v>17</v>
      </c>
      <c r="R2019" s="1" t="str">
        <f>"فروش داخلي تهران - وزارت راه - راه روستايي - روکش"</f>
        <v>فروش داخلي تهران - وزارت راه - راه روستايي - روکش</v>
      </c>
      <c r="S2019" s="1" t="str">
        <f>"قرارداد فروش"</f>
        <v>قرارداد فروش</v>
      </c>
      <c r="T2019" s="1" t="str">
        <f>"ندارد"</f>
        <v>ندارد</v>
      </c>
      <c r="U2019" s="1" t="str">
        <f>"عظيمي محمد(2842015)"</f>
        <v>عظيمي محمد(2842015)</v>
      </c>
      <c r="V2019" s="1">
        <v>961700158</v>
      </c>
      <c r="W2019" s="1">
        <v>961700158</v>
      </c>
      <c r="X2019" s="1" t="str">
        <f>"1396529572"</f>
        <v>1396529572</v>
      </c>
      <c r="Y2019" s="1" t="str">
        <f>"96/09/12"</f>
        <v>96/09/12</v>
      </c>
      <c r="Z2019" s="1" t="str">
        <f>"44413/710"</f>
        <v>44413/710</v>
      </c>
      <c r="AA2019" s="1" t="str">
        <f>"راه روستائي -روكش"</f>
        <v>راه روستائي -روكش</v>
      </c>
      <c r="AB2019" s="1" t="str">
        <f>"96/08/30"</f>
        <v>96/08/30</v>
      </c>
      <c r="AC2019" s="1" t="str">
        <f>"استان كرمانشاه"</f>
        <v>استان كرمانشاه</v>
      </c>
      <c r="AD2019" s="1" t="str">
        <f>"96/09/12"</f>
        <v>96/09/12</v>
      </c>
      <c r="AE2019" s="1" t="str">
        <f>"اختتام"</f>
        <v>اختتام</v>
      </c>
      <c r="AF2019" s="1" t="str">
        <f>""</f>
        <v/>
      </c>
      <c r="AG2019" s="1" t="str">
        <f>""</f>
        <v/>
      </c>
      <c r="AH2019" s="1" t="str">
        <f>""</f>
        <v/>
      </c>
      <c r="AI2019" s="1" t="str">
        <f>""</f>
        <v/>
      </c>
      <c r="AJ2019" s="1" t="str">
        <f>""</f>
        <v/>
      </c>
      <c r="AK2019" s="1" t="str">
        <f>""</f>
        <v/>
      </c>
    </row>
    <row r="2020" spans="1:37">
      <c r="A2020" s="1">
        <v>1500000</v>
      </c>
      <c r="B2020" s="1">
        <v>961900048</v>
      </c>
      <c r="C2020" s="1" t="str">
        <f>"تخليه كهگيلويه وبويراحمد شهرستان لنده كارخانه آسفالت شهرداري لنده"</f>
        <v>تخليه كهگيلويه وبويراحمد شهرستان لنده كارخانه آسفالت شهرداري لنده</v>
      </c>
      <c r="D2020" s="1">
        <v>8854</v>
      </c>
      <c r="E2020" s="1">
        <v>1499540</v>
      </c>
      <c r="F2020" s="1">
        <v>96</v>
      </c>
      <c r="G2020" s="1">
        <v>460</v>
      </c>
      <c r="H2020" s="1" t="str">
        <f>"96/03/10"</f>
        <v>96/03/10</v>
      </c>
      <c r="I2020" s="1" t="str">
        <f>"كيلوگرم"</f>
        <v>كيلوگرم</v>
      </c>
      <c r="J2020" s="1" t="str">
        <f>"0000000091"</f>
        <v>0000000091</v>
      </c>
      <c r="K2020" s="1" t="str">
        <f>"قير  PG64-22"</f>
        <v>قير  PG64-22</v>
      </c>
      <c r="L2020" s="1">
        <v>100</v>
      </c>
      <c r="M2020" s="1" t="str">
        <f>"مخازن قير اصفهان"</f>
        <v>مخازن قير اصفهان</v>
      </c>
      <c r="N2020" s="1">
        <v>10515</v>
      </c>
      <c r="O2020" s="1">
        <v>50034926</v>
      </c>
      <c r="P2020" s="1" t="str">
        <f>"   سماسازه زاگرس"</f>
        <v xml:space="preserve">   سماسازه زاگرس</v>
      </c>
      <c r="Q2020" s="1">
        <v>19</v>
      </c>
      <c r="R202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020" s="1" t="str">
        <f>"قرارداد فروش"</f>
        <v>قرارداد فروش</v>
      </c>
      <c r="T2020" s="1" t="str">
        <f>"ندارد"</f>
        <v>ندارد</v>
      </c>
      <c r="U2020" s="1" t="str">
        <f>"غلام نجفي سيامك‌‌‌‌‌‌(1881082)"</f>
        <v>غلام نجفي سيامك‌‌‌‌‌‌(1881082)</v>
      </c>
      <c r="V2020" s="1">
        <v>961900048</v>
      </c>
      <c r="W2020" s="1">
        <v>961900048</v>
      </c>
      <c r="X2020" s="1" t="str">
        <f>"1396485070"</f>
        <v>1396485070</v>
      </c>
      <c r="Y2020" s="1" t="str">
        <f>"96/03/10"</f>
        <v>96/03/10</v>
      </c>
      <c r="Z2020" s="1" t="str">
        <f>"10744/710"</f>
        <v>10744/710</v>
      </c>
      <c r="AA2020" s="1" t="str">
        <f>"سازمان راهداري وحمل نقل جاده اي"</f>
        <v>سازمان راهداري وحمل نقل جاده اي</v>
      </c>
      <c r="AB2020" s="1" t="str">
        <f>"96/03/09"</f>
        <v>96/03/09</v>
      </c>
      <c r="AC2020" s="1" t="str">
        <f>"كهكيلويه و بوير احمد"</f>
        <v>كهكيلويه و بوير احمد</v>
      </c>
      <c r="AD2020" s="1" t="str">
        <f>"96/03/10"</f>
        <v>96/03/10</v>
      </c>
      <c r="AE2020" s="1" t="str">
        <f>"اختتام"</f>
        <v>اختتام</v>
      </c>
      <c r="AF2020" s="1" t="str">
        <f>""</f>
        <v/>
      </c>
      <c r="AG2020" s="1" t="str">
        <f>""</f>
        <v/>
      </c>
      <c r="AH2020" s="1" t="str">
        <f>""</f>
        <v/>
      </c>
      <c r="AI2020" s="1" t="str">
        <f>""</f>
        <v/>
      </c>
      <c r="AJ2020" s="1" t="str">
        <f>""</f>
        <v/>
      </c>
      <c r="AK2020" s="1" t="str">
        <f>""</f>
        <v/>
      </c>
    </row>
    <row r="2021" spans="1:37">
      <c r="A2021" s="1">
        <v>150000</v>
      </c>
      <c r="B2021" s="1">
        <v>961100053</v>
      </c>
      <c r="C2021" s="1" t="str">
        <f>"تخليه-جاده علويجه-کيلومتر12 شرکت افق راه ماندگار"</f>
        <v>تخليه-جاده علويجه-کيلومتر12 شرکت افق راه ماندگار</v>
      </c>
      <c r="D2021" s="1">
        <v>8904</v>
      </c>
      <c r="E2021" s="1">
        <v>149000</v>
      </c>
      <c r="F2021" s="1">
        <v>96</v>
      </c>
      <c r="G2021" s="1">
        <v>1000</v>
      </c>
      <c r="H2021" s="1" t="str">
        <f>"96/05/28"</f>
        <v>96/05/28</v>
      </c>
      <c r="I2021" s="1" t="str">
        <f>"كيلوگرم"</f>
        <v>كيلوگرم</v>
      </c>
      <c r="J2021" s="1" t="str">
        <f>"0000000091"</f>
        <v>0000000091</v>
      </c>
      <c r="K2021" s="1" t="str">
        <f>"قير  PG64-22"</f>
        <v>قير  PG64-22</v>
      </c>
      <c r="L2021" s="1">
        <v>100</v>
      </c>
      <c r="M2021" s="1" t="str">
        <f>"مخازن قير اصفهان"</f>
        <v>مخازن قير اصفهان</v>
      </c>
      <c r="N2021" s="1">
        <v>11008</v>
      </c>
      <c r="O2021" s="1">
        <v>50035715</v>
      </c>
      <c r="P2021" s="1" t="str">
        <f>"  افق راه ماندگار"</f>
        <v xml:space="preserve">  افق راه ماندگار</v>
      </c>
      <c r="Q2021" s="1">
        <v>11</v>
      </c>
      <c r="R2021" s="1" t="str">
        <f>"فروش داخلي تهران - بورس"</f>
        <v>فروش داخلي تهران - بورس</v>
      </c>
      <c r="S2021" s="1" t="str">
        <f>"قرارداد فروش"</f>
        <v>قرارداد فروش</v>
      </c>
      <c r="T2021" s="1" t="str">
        <f>"ندارد"</f>
        <v>ندارد</v>
      </c>
      <c r="U2021" s="1" t="str">
        <f>"عزيزي صفر(1006ج 89)"</f>
        <v>عزيزي صفر(1006ج 89)</v>
      </c>
      <c r="V2021" s="1">
        <v>961100053</v>
      </c>
      <c r="W2021" s="1">
        <v>961100053</v>
      </c>
      <c r="X2021" s="1" t="str">
        <f>"1396505501"</f>
        <v>1396505501</v>
      </c>
      <c r="Y2021" s="1" t="str">
        <f>"96/05/28"</f>
        <v>96/05/28</v>
      </c>
      <c r="Z2021" s="1" t="str">
        <f>"96-36029"</f>
        <v>96-36029</v>
      </c>
      <c r="AA2021" s="1" t="str">
        <f>"راه سازي"</f>
        <v>راه سازي</v>
      </c>
      <c r="AB2021" s="1" t="str">
        <f>"96/05/25"</f>
        <v>96/05/25</v>
      </c>
      <c r="AC2021" s="1" t="str">
        <f>"استان اصفهان"</f>
        <v>استان اصفهان</v>
      </c>
      <c r="AD2021" s="1" t="str">
        <f>"96/05/24"</f>
        <v>96/05/24</v>
      </c>
      <c r="AE2021" s="1" t="str">
        <f>"اختتام"</f>
        <v>اختتام</v>
      </c>
      <c r="AF2021" s="1" t="str">
        <f>""</f>
        <v/>
      </c>
      <c r="AG2021" s="1" t="str">
        <f>""</f>
        <v/>
      </c>
      <c r="AH2021" s="1" t="str">
        <f>""</f>
        <v/>
      </c>
      <c r="AI2021" s="1" t="str">
        <f>""</f>
        <v/>
      </c>
      <c r="AJ2021" s="1" t="str">
        <f>""</f>
        <v/>
      </c>
      <c r="AK2021" s="1" t="str">
        <f>""</f>
        <v/>
      </c>
    </row>
    <row r="2022" spans="1:37">
      <c r="A2022" s="1">
        <v>46000</v>
      </c>
      <c r="B2022" s="1">
        <v>966200668</v>
      </c>
      <c r="C2022" s="1" t="str">
        <f>"تخليه - چهارمحال -بروجن-گندمان-پشت قطب صنعتي گندمان-کارخانه آسفالت تعاوني 253 گندمان"</f>
        <v>تخليه - چهارمحال -بروجن-گندمان-پشت قطب صنعتي گندمان-کارخانه آسفالت تعاوني 253 گندمان</v>
      </c>
      <c r="D2022" s="1">
        <v>13600</v>
      </c>
      <c r="E2022" s="1">
        <v>43680</v>
      </c>
      <c r="F2022" s="1">
        <v>96</v>
      </c>
      <c r="G2022" s="1">
        <v>2320</v>
      </c>
      <c r="H2022" s="1" t="str">
        <f>"96/12/16"</f>
        <v>96/12/16</v>
      </c>
      <c r="I2022" s="1" t="str">
        <f>"كيلوگرم"</f>
        <v>كيلوگرم</v>
      </c>
      <c r="J2022" s="1" t="str">
        <f>"0000000091"</f>
        <v>0000000091</v>
      </c>
      <c r="K2022" s="1" t="str">
        <f>"قير  PG64-22"</f>
        <v>قير  PG64-22</v>
      </c>
      <c r="L2022" s="1">
        <v>100</v>
      </c>
      <c r="M2022" s="1" t="str">
        <f>"مخازن قير اصفهان"</f>
        <v>مخازن قير اصفهان</v>
      </c>
      <c r="N2022" s="1">
        <v>11097</v>
      </c>
      <c r="O2022" s="1">
        <v>50038821</v>
      </c>
      <c r="P2022" s="1" t="str">
        <f>"  آسمانه کاران شهرکرد"</f>
        <v xml:space="preserve">  آسمانه کاران شهرکرد</v>
      </c>
      <c r="Q2022" s="1">
        <v>62</v>
      </c>
      <c r="R2022" s="1" t="str">
        <f>"فروش داخلي - سازمان بنيادمسكن انقلاب اسلامي"</f>
        <v>فروش داخلي - سازمان بنيادمسكن انقلاب اسلامي</v>
      </c>
      <c r="S2022" s="1" t="str">
        <f>"قرارداد فروش"</f>
        <v>قرارداد فروش</v>
      </c>
      <c r="T2022" s="1" t="str">
        <f>"ندارد"</f>
        <v>ندارد</v>
      </c>
      <c r="U2022" s="1" t="str">
        <f>"ريسماني حسن(1007ج89)"</f>
        <v>ريسماني حسن(1007ج89)</v>
      </c>
      <c r="V2022" s="1">
        <v>966200668</v>
      </c>
      <c r="W2022" s="1">
        <v>966200668</v>
      </c>
      <c r="X2022" s="1" t="str">
        <f>"1396553442"</f>
        <v>1396553442</v>
      </c>
      <c r="Y2022" s="1" t="str">
        <f>"96/12/16"</f>
        <v>96/12/16</v>
      </c>
      <c r="Z2022" s="1" t="str">
        <f>"57189/د"</f>
        <v>57189/د</v>
      </c>
      <c r="AA2022" s="1" t="str">
        <f>"بنيادمسكن انقلاب اسلامي"</f>
        <v>بنيادمسكن انقلاب اسلامي</v>
      </c>
      <c r="AB2022" s="1" t="str">
        <f>"96/12/15"</f>
        <v>96/12/15</v>
      </c>
      <c r="AC2022" s="1" t="str">
        <f>"استان چهارمحال بختياري"</f>
        <v>استان چهارمحال بختياري</v>
      </c>
      <c r="AD2022" s="1" t="str">
        <f>"96/12/16"</f>
        <v>96/12/16</v>
      </c>
      <c r="AE2022" s="1" t="str">
        <f>"اختتام"</f>
        <v>اختتام</v>
      </c>
      <c r="AF2022" s="1" t="str">
        <f>""</f>
        <v/>
      </c>
      <c r="AG2022" s="1" t="str">
        <f>""</f>
        <v/>
      </c>
      <c r="AH2022" s="1" t="str">
        <f>""</f>
        <v/>
      </c>
      <c r="AI2022" s="1" t="str">
        <f>""</f>
        <v/>
      </c>
      <c r="AJ2022" s="1" t="str">
        <f>""</f>
        <v/>
      </c>
      <c r="AK2022" s="1" t="str">
        <f>""</f>
        <v/>
      </c>
    </row>
    <row r="2023" spans="1:37">
      <c r="A2023" s="1">
        <v>80000</v>
      </c>
      <c r="B2023" s="1">
        <v>966200669</v>
      </c>
      <c r="C2023" s="1" t="str">
        <f>"تخليه - چهارمحال و بختياري - اردل-کارخانه آسفالت شرکت دشتاوند دزپارت"</f>
        <v>تخليه - چهارمحال و بختياري - اردل-کارخانه آسفالت شرکت دشتاوند دزپارت</v>
      </c>
      <c r="D2023" s="1">
        <v>13600</v>
      </c>
      <c r="E2023" s="1">
        <v>79540</v>
      </c>
      <c r="F2023" s="1">
        <v>96</v>
      </c>
      <c r="G2023" s="1">
        <v>460</v>
      </c>
      <c r="H2023" s="1" t="str">
        <f>"96/12/16"</f>
        <v>96/12/16</v>
      </c>
      <c r="I2023" s="1" t="str">
        <f>"كيلوگرم"</f>
        <v>كيلوگرم</v>
      </c>
      <c r="J2023" s="1" t="str">
        <f>"0000000091"</f>
        <v>0000000091</v>
      </c>
      <c r="K2023" s="1" t="str">
        <f>"قير  PG64-22"</f>
        <v>قير  PG64-22</v>
      </c>
      <c r="L2023" s="1">
        <v>100</v>
      </c>
      <c r="M2023" s="1" t="str">
        <f>"مخازن قير اصفهان"</f>
        <v>مخازن قير اصفهان</v>
      </c>
      <c r="N2023" s="1">
        <v>11112</v>
      </c>
      <c r="O2023" s="1">
        <v>50038822</v>
      </c>
      <c r="P2023" s="1" t="str">
        <f>"  ژرف کار پارس زاگرس"</f>
        <v xml:space="preserve">  ژرف کار پارس زاگرس</v>
      </c>
      <c r="Q2023" s="1">
        <v>62</v>
      </c>
      <c r="R2023" s="1" t="str">
        <f>"فروش داخلي - سازمان بنيادمسكن انقلاب اسلامي"</f>
        <v>فروش داخلي - سازمان بنيادمسكن انقلاب اسلامي</v>
      </c>
      <c r="S2023" s="1" t="str">
        <f>"قرارداد فروش"</f>
        <v>قرارداد فروش</v>
      </c>
      <c r="T2023" s="1" t="str">
        <f>"ندارد"</f>
        <v>ندارد</v>
      </c>
      <c r="U2023" s="1" t="str">
        <f>"قره باغي مجيد(1871065)"</f>
        <v>قره باغي مجيد(1871065)</v>
      </c>
      <c r="V2023" s="1">
        <v>966200669</v>
      </c>
      <c r="W2023" s="1">
        <v>966200669</v>
      </c>
      <c r="X2023" s="1" t="str">
        <f>"1396553442"</f>
        <v>1396553442</v>
      </c>
      <c r="Y2023" s="1" t="str">
        <f>"96/12/16"</f>
        <v>96/12/16</v>
      </c>
      <c r="Z2023" s="1" t="str">
        <f>"57191/د"</f>
        <v>57191/د</v>
      </c>
      <c r="AA2023" s="1" t="str">
        <f>"بنيادمسكن انقلاب اسلامي"</f>
        <v>بنيادمسكن انقلاب اسلامي</v>
      </c>
      <c r="AB2023" s="1" t="str">
        <f>"96/12/15"</f>
        <v>96/12/15</v>
      </c>
      <c r="AC2023" s="1" t="str">
        <f>"استان چهارمحال بختياري"</f>
        <v>استان چهارمحال بختياري</v>
      </c>
      <c r="AD2023" s="1" t="str">
        <f>"96/12/16"</f>
        <v>96/12/16</v>
      </c>
      <c r="AE2023" s="1" t="str">
        <f>"اختتام"</f>
        <v>اختتام</v>
      </c>
      <c r="AF2023" s="1" t="str">
        <f>""</f>
        <v/>
      </c>
      <c r="AG2023" s="1" t="str">
        <f>""</f>
        <v/>
      </c>
      <c r="AH2023" s="1" t="str">
        <f>""</f>
        <v/>
      </c>
      <c r="AI2023" s="1" t="str">
        <f>""</f>
        <v/>
      </c>
      <c r="AJ2023" s="1" t="str">
        <f>""</f>
        <v/>
      </c>
      <c r="AK2023" s="1" t="str">
        <f>""</f>
        <v/>
      </c>
    </row>
    <row r="2024" spans="1:37">
      <c r="A2024" s="1">
        <v>300000</v>
      </c>
      <c r="B2024" s="1">
        <v>961900177</v>
      </c>
      <c r="C2024" s="1" t="str">
        <f>"تخليه كهگيلويه وبويراحمدياسوج كارخانه دارشاهي"</f>
        <v>تخليه كهگيلويه وبويراحمدياسوج كارخانه دارشاهي</v>
      </c>
      <c r="D2024" s="1">
        <v>9716</v>
      </c>
      <c r="E2024" s="1">
        <v>290320</v>
      </c>
      <c r="F2024" s="1">
        <v>96</v>
      </c>
      <c r="G2024" s="1">
        <v>9680</v>
      </c>
      <c r="H2024" s="1" t="str">
        <f>"96/07/26"</f>
        <v>96/07/26</v>
      </c>
      <c r="I2024" s="1" t="str">
        <f>"كيلوگرم"</f>
        <v>كيلوگرم</v>
      </c>
      <c r="J2024" s="1" t="str">
        <f>"0000000091"</f>
        <v>0000000091</v>
      </c>
      <c r="K2024" s="1" t="str">
        <f>"قير  PG64-22"</f>
        <v>قير  PG64-22</v>
      </c>
      <c r="L2024" s="1">
        <v>100</v>
      </c>
      <c r="M2024" s="1" t="str">
        <f>"مخازن قير اصفهان"</f>
        <v>مخازن قير اصفهان</v>
      </c>
      <c r="N2024" s="1">
        <v>11160</v>
      </c>
      <c r="O2024" s="1">
        <v>50036812</v>
      </c>
      <c r="P2024" s="1" t="str">
        <f>"  سازمان همياري شهرداريهاي كهگيلويه وبويراحمد"</f>
        <v xml:space="preserve">  سازمان همياري شهرداريهاي كهگيلويه وبويراحمد</v>
      </c>
      <c r="Q2024" s="1">
        <v>19</v>
      </c>
      <c r="R202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024" s="1" t="str">
        <f>"قرارداد فروش"</f>
        <v>قرارداد فروش</v>
      </c>
      <c r="T2024" s="1" t="str">
        <f>"ندارد"</f>
        <v>ندارد</v>
      </c>
      <c r="U2024" s="1" t="str">
        <f>"غلام نجفي سيامك‌‌‌‌‌‌(1881082)"</f>
        <v>غلام نجفي سيامك‌‌‌‌‌‌(1881082)</v>
      </c>
      <c r="V2024" s="1">
        <v>961900177</v>
      </c>
      <c r="W2024" s="1">
        <v>961900177</v>
      </c>
      <c r="X2024" s="1" t="str">
        <f>"1396519916"</f>
        <v>1396519916</v>
      </c>
      <c r="Y2024" s="1" t="str">
        <f>"96/07/26"</f>
        <v>96/07/26</v>
      </c>
      <c r="Z2024" s="1" t="str">
        <f>"36875/710"</f>
        <v>36875/710</v>
      </c>
      <c r="AA2024" s="1" t="str">
        <f>"سازمان راهداري وحمل نقل جاده اي"</f>
        <v>سازمان راهداري وحمل نقل جاده اي</v>
      </c>
      <c r="AB2024" s="1" t="str">
        <f>"96/07/25"</f>
        <v>96/07/25</v>
      </c>
      <c r="AC2024" s="1" t="str">
        <f>"كهكيلويه و بوير احمد"</f>
        <v>كهكيلويه و بوير احمد</v>
      </c>
      <c r="AD2024" s="1" t="str">
        <f>"96/07/26"</f>
        <v>96/07/26</v>
      </c>
      <c r="AE2024" s="1" t="str">
        <f>"اختتام"</f>
        <v>اختتام</v>
      </c>
      <c r="AF2024" s="1" t="str">
        <f>""</f>
        <v/>
      </c>
      <c r="AG2024" s="1" t="str">
        <f>""</f>
        <v/>
      </c>
      <c r="AH2024" s="1" t="str">
        <f>""</f>
        <v/>
      </c>
      <c r="AI2024" s="1" t="str">
        <f>""</f>
        <v/>
      </c>
      <c r="AJ2024" s="1" t="str">
        <f>""</f>
        <v/>
      </c>
      <c r="AK2024" s="1" t="str">
        <f>""</f>
        <v/>
      </c>
    </row>
    <row r="2025" spans="1:37">
      <c r="A2025" s="1">
        <v>500000</v>
      </c>
      <c r="B2025" s="1">
        <v>961900104</v>
      </c>
      <c r="C2025" s="1" t="str">
        <f>"تخليه - يزد-شهرستان بافق-کارخانه آسفالت شرکت فرش راه"</f>
        <v>تخليه - يزد-شهرستان بافق-کارخانه آسفالت شرکت فرش راه</v>
      </c>
      <c r="D2025" s="1">
        <v>13600</v>
      </c>
      <c r="E2025" s="1">
        <v>499900</v>
      </c>
      <c r="F2025" s="1">
        <v>96</v>
      </c>
      <c r="G2025" s="1">
        <v>100</v>
      </c>
      <c r="H2025" s="1" t="str">
        <f>"96/05/10"</f>
        <v>96/05/10</v>
      </c>
      <c r="I2025" s="1" t="str">
        <f>"كيلوگرم"</f>
        <v>كيلوگرم</v>
      </c>
      <c r="J2025" s="1" t="str">
        <f>"0000000091"</f>
        <v>0000000091</v>
      </c>
      <c r="K2025" s="1" t="str">
        <f>"قير  PG64-22"</f>
        <v>قير  PG64-22</v>
      </c>
      <c r="L2025" s="1">
        <v>100</v>
      </c>
      <c r="M2025" s="1" t="str">
        <f>"مخازن قير اصفهان"</f>
        <v>مخازن قير اصفهان</v>
      </c>
      <c r="N2025" s="1">
        <v>11270</v>
      </c>
      <c r="O2025" s="1">
        <v>50035459</v>
      </c>
      <c r="P2025" s="1" t="str">
        <f>"  اداره كل راهداري وحمل ونقل جاده اي يزد"</f>
        <v xml:space="preserve">  اداره كل راهداري وحمل ونقل جاده اي يزد</v>
      </c>
      <c r="Q2025" s="1">
        <v>19</v>
      </c>
      <c r="R202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025" s="1" t="str">
        <f>"قرارداد فروش"</f>
        <v>قرارداد فروش</v>
      </c>
      <c r="T2025" s="1" t="str">
        <f>"ندارد"</f>
        <v>ندارد</v>
      </c>
      <c r="U2025" s="1" t="str">
        <f>"قانعي محمدرضا(1011ج89)"</f>
        <v>قانعي محمدرضا(1011ج89)</v>
      </c>
      <c r="V2025" s="1">
        <v>961900104</v>
      </c>
      <c r="W2025" s="1">
        <v>961900104</v>
      </c>
      <c r="X2025" s="1" t="str">
        <f>"1396501690"</f>
        <v>1396501690</v>
      </c>
      <c r="Y2025" s="1" t="str">
        <f>"96/05/10"</f>
        <v>96/05/10</v>
      </c>
      <c r="Z2025" s="1" t="str">
        <f>"22170/710"</f>
        <v>22170/710</v>
      </c>
      <c r="AA2025" s="1" t="str">
        <f>"سازمان راهداري وحمل نقل جاده اي"</f>
        <v>سازمان راهداري وحمل نقل جاده اي</v>
      </c>
      <c r="AB2025" s="1" t="str">
        <f>"96/05/09"</f>
        <v>96/05/09</v>
      </c>
      <c r="AC2025" s="1" t="str">
        <f>"استان يزد"</f>
        <v>استان يزد</v>
      </c>
      <c r="AD2025" s="1" t="str">
        <f>"96/05/10"</f>
        <v>96/05/10</v>
      </c>
      <c r="AE2025" s="1" t="str">
        <f>"اختتام"</f>
        <v>اختتام</v>
      </c>
      <c r="AF2025" s="1" t="str">
        <f>""</f>
        <v/>
      </c>
      <c r="AG2025" s="1" t="str">
        <f>""</f>
        <v/>
      </c>
      <c r="AH2025" s="1" t="str">
        <f>""</f>
        <v/>
      </c>
      <c r="AI2025" s="1" t="str">
        <f>""</f>
        <v/>
      </c>
      <c r="AJ2025" s="1" t="str">
        <f>""</f>
        <v/>
      </c>
      <c r="AK2025" s="1" t="str">
        <f>""</f>
        <v/>
      </c>
    </row>
    <row r="2026" spans="1:37">
      <c r="A2026" s="1">
        <v>1000000</v>
      </c>
      <c r="B2026" s="1">
        <v>961900115</v>
      </c>
      <c r="C2026" s="1" t="str">
        <f>"تخليه يزدشهرستان خاتم كارخانه آسفالت شركت عمراني بسترسازان كوير"</f>
        <v>تخليه يزدشهرستان خاتم كارخانه آسفالت شركت عمراني بسترسازان كوير</v>
      </c>
      <c r="D2026" s="1">
        <v>16350</v>
      </c>
      <c r="E2026" s="1">
        <v>1000000</v>
      </c>
      <c r="F2026" s="1">
        <v>96</v>
      </c>
      <c r="G2026" s="1">
        <v>0</v>
      </c>
      <c r="H2026" s="1" t="str">
        <f>"96/05/11"</f>
        <v>96/05/11</v>
      </c>
      <c r="I2026" s="1" t="str">
        <f>"كيلوگرم"</f>
        <v>كيلوگرم</v>
      </c>
      <c r="J2026" s="1" t="str">
        <f>"0000000091"</f>
        <v>0000000091</v>
      </c>
      <c r="K2026" s="1" t="str">
        <f>"قير  PG64-22"</f>
        <v>قير  PG64-22</v>
      </c>
      <c r="L2026" s="1">
        <v>100</v>
      </c>
      <c r="M2026" s="1" t="str">
        <f>"مخازن قير اصفهان"</f>
        <v>مخازن قير اصفهان</v>
      </c>
      <c r="N2026" s="1">
        <v>11270</v>
      </c>
      <c r="O2026" s="1">
        <v>50035494</v>
      </c>
      <c r="P2026" s="1" t="str">
        <f>"  اداره كل راهداري وحمل ونقل جاده اي يزد"</f>
        <v xml:space="preserve">  اداره كل راهداري وحمل ونقل جاده اي يزد</v>
      </c>
      <c r="Q2026" s="1">
        <v>19</v>
      </c>
      <c r="R202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026" s="1" t="str">
        <f>"قرارداد فروش"</f>
        <v>قرارداد فروش</v>
      </c>
      <c r="T2026" s="1" t="str">
        <f>"ندارد"</f>
        <v>ندارد</v>
      </c>
      <c r="U2026" s="1" t="str">
        <f>"قانعي محمدرضا(1011ج89)"</f>
        <v>قانعي محمدرضا(1011ج89)</v>
      </c>
      <c r="V2026" s="1">
        <v>961900115</v>
      </c>
      <c r="W2026" s="1">
        <v>961900115</v>
      </c>
      <c r="X2026" s="1" t="str">
        <f>"1396502538"</f>
        <v>1396502538</v>
      </c>
      <c r="Y2026" s="1" t="str">
        <f>"96/05/11"</f>
        <v>96/05/11</v>
      </c>
      <c r="Z2026" s="1" t="str">
        <f>"22355/710"</f>
        <v>22355/710</v>
      </c>
      <c r="AA2026" s="1" t="str">
        <f>"سازمان راهداري وحمل نقل جاده اي"</f>
        <v>سازمان راهداري وحمل نقل جاده اي</v>
      </c>
      <c r="AB2026" s="1" t="str">
        <f>"96/05/10"</f>
        <v>96/05/10</v>
      </c>
      <c r="AC2026" s="1" t="str">
        <f>"استان يزد"</f>
        <v>استان يزد</v>
      </c>
      <c r="AD2026" s="1" t="str">
        <f>"96/05/11"</f>
        <v>96/05/11</v>
      </c>
      <c r="AE2026" s="1" t="str">
        <f>"اختتام"</f>
        <v>اختتام</v>
      </c>
      <c r="AF2026" s="1" t="str">
        <f>""</f>
        <v/>
      </c>
      <c r="AG2026" s="1" t="str">
        <f>""</f>
        <v/>
      </c>
      <c r="AH2026" s="1" t="str">
        <f>""</f>
        <v/>
      </c>
      <c r="AI2026" s="1" t="str">
        <f>""</f>
        <v/>
      </c>
      <c r="AJ2026" s="1" t="str">
        <f>""</f>
        <v/>
      </c>
      <c r="AK2026" s="1" t="str">
        <f>""</f>
        <v/>
      </c>
    </row>
    <row r="2027" spans="1:37">
      <c r="A2027" s="1">
        <v>550000</v>
      </c>
      <c r="B2027" s="1">
        <v>961900128</v>
      </c>
      <c r="C2027" s="1" t="str">
        <f>"تخليه - يزد-اردکان-کارخانه آسفالت هامون اردکان"</f>
        <v>تخليه - يزد-اردکان-کارخانه آسفالت هامون اردکان</v>
      </c>
      <c r="D2027" s="1">
        <v>16350</v>
      </c>
      <c r="E2027" s="1">
        <v>550000</v>
      </c>
      <c r="F2027" s="1">
        <v>96</v>
      </c>
      <c r="G2027" s="1">
        <v>0</v>
      </c>
      <c r="H2027" s="1" t="str">
        <f>"96/05/25"</f>
        <v>96/05/25</v>
      </c>
      <c r="I2027" s="1" t="str">
        <f>"كيلوگرم"</f>
        <v>كيلوگرم</v>
      </c>
      <c r="J2027" s="1" t="str">
        <f>"0000000091"</f>
        <v>0000000091</v>
      </c>
      <c r="K2027" s="1" t="str">
        <f>"قير  PG64-22"</f>
        <v>قير  PG64-22</v>
      </c>
      <c r="L2027" s="1">
        <v>100</v>
      </c>
      <c r="M2027" s="1" t="str">
        <f>"مخازن قير اصفهان"</f>
        <v>مخازن قير اصفهان</v>
      </c>
      <c r="N2027" s="1">
        <v>11270</v>
      </c>
      <c r="O2027" s="1">
        <v>50035702</v>
      </c>
      <c r="P2027" s="1" t="str">
        <f>"  اداره كل راهداري وحمل ونقل جاده اي يزد"</f>
        <v xml:space="preserve">  اداره كل راهداري وحمل ونقل جاده اي يزد</v>
      </c>
      <c r="Q2027" s="1">
        <v>19</v>
      </c>
      <c r="R2027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027" s="1" t="str">
        <f>"قرارداد فروش"</f>
        <v>قرارداد فروش</v>
      </c>
      <c r="T2027" s="1" t="str">
        <f>"ندارد"</f>
        <v>ندارد</v>
      </c>
      <c r="U2027" s="1" t="str">
        <f>"قانعي محمدرضا(1011ج89)"</f>
        <v>قانعي محمدرضا(1011ج89)</v>
      </c>
      <c r="V2027" s="1">
        <v>961900128</v>
      </c>
      <c r="W2027" s="1">
        <v>961900128</v>
      </c>
      <c r="X2027" s="1" t="str">
        <f>"1396506145"</f>
        <v>1396506145</v>
      </c>
      <c r="Y2027" s="1" t="str">
        <f>"96/05/25"</f>
        <v>96/05/25</v>
      </c>
      <c r="Z2027" s="1" t="str">
        <f>"24828/710"</f>
        <v>24828/710</v>
      </c>
      <c r="AA2027" s="1" t="str">
        <f>"سازمان راهداري وحمل نقل جاده اي"</f>
        <v>سازمان راهداري وحمل نقل جاده اي</v>
      </c>
      <c r="AB2027" s="1" t="str">
        <f>"96/05/23"</f>
        <v>96/05/23</v>
      </c>
      <c r="AC2027" s="1" t="str">
        <f>"استان يزد"</f>
        <v>استان يزد</v>
      </c>
      <c r="AD2027" s="1" t="str">
        <f>"96/05/25"</f>
        <v>96/05/25</v>
      </c>
      <c r="AE2027" s="1" t="str">
        <f>"اختتام"</f>
        <v>اختتام</v>
      </c>
      <c r="AF2027" s="1" t="str">
        <f>""</f>
        <v/>
      </c>
      <c r="AG2027" s="1" t="str">
        <f>""</f>
        <v/>
      </c>
      <c r="AH2027" s="1" t="str">
        <f>""</f>
        <v/>
      </c>
      <c r="AI2027" s="1" t="str">
        <f>""</f>
        <v/>
      </c>
      <c r="AJ2027" s="1" t="str">
        <f>""</f>
        <v/>
      </c>
      <c r="AK2027" s="1" t="str">
        <f>""</f>
        <v/>
      </c>
    </row>
    <row r="2028" spans="1:37">
      <c r="A2028" s="1">
        <v>250000</v>
      </c>
      <c r="B2028" s="1">
        <v>961900164</v>
      </c>
      <c r="C2028" s="1" t="str">
        <f>"تخليه - لرستان - شرکت زاگرس راه نصر"</f>
        <v>تخليه - لرستان - شرکت زاگرس راه نصر</v>
      </c>
      <c r="D2028" s="1">
        <v>9716</v>
      </c>
      <c r="E2028" s="1">
        <v>249800</v>
      </c>
      <c r="F2028" s="1">
        <v>96</v>
      </c>
      <c r="G2028" s="1">
        <v>200</v>
      </c>
      <c r="H2028" s="1" t="str">
        <f>"96/07/11"</f>
        <v>96/07/11</v>
      </c>
      <c r="I2028" s="1" t="str">
        <f>"كيلوگرم"</f>
        <v>كيلوگرم</v>
      </c>
      <c r="J2028" s="1" t="str">
        <f>"0000000091"</f>
        <v>0000000091</v>
      </c>
      <c r="K2028" s="1" t="str">
        <f>"قير  PG64-22"</f>
        <v>قير  PG64-22</v>
      </c>
      <c r="L2028" s="1">
        <v>100</v>
      </c>
      <c r="M2028" s="1" t="str">
        <f>"مخازن قير اصفهان"</f>
        <v>مخازن قير اصفهان</v>
      </c>
      <c r="N2028" s="1">
        <v>11295</v>
      </c>
      <c r="O2028" s="1">
        <v>50036524</v>
      </c>
      <c r="P2028" s="1" t="str">
        <f>"  اداره كل راهداري وحمل ونقل جاده اي لرستان"</f>
        <v xml:space="preserve">  اداره كل راهداري وحمل ونقل جاده اي لرستان</v>
      </c>
      <c r="Q2028" s="1">
        <v>19</v>
      </c>
      <c r="R2028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028" s="1" t="str">
        <f>"قرارداد فروش"</f>
        <v>قرارداد فروش</v>
      </c>
      <c r="T2028" s="1" t="str">
        <f>"ندارد"</f>
        <v>ندارد</v>
      </c>
      <c r="U2028" s="1" t="str">
        <f>"ريسماني حسن(1007ج89)"</f>
        <v>ريسماني حسن(1007ج89)</v>
      </c>
      <c r="V2028" s="1">
        <v>961900164</v>
      </c>
      <c r="W2028" s="1">
        <v>961900164</v>
      </c>
      <c r="X2028" s="1" t="str">
        <f>"1396515916"</f>
        <v>1396515916</v>
      </c>
      <c r="Y2028" s="1" t="str">
        <f>"96/07/11"</f>
        <v>96/07/11</v>
      </c>
      <c r="Z2028" s="1" t="str">
        <f>"33348/710"</f>
        <v>33348/710</v>
      </c>
      <c r="AA2028" s="1" t="str">
        <f>"سازمان راهداري وحمل نقل جاده اي"</f>
        <v>سازمان راهداري وحمل نقل جاده اي</v>
      </c>
      <c r="AB2028" s="1" t="str">
        <f>"96/07/04"</f>
        <v>96/07/04</v>
      </c>
      <c r="AC2028" s="1" t="str">
        <f>"لرستان"</f>
        <v>لرستان</v>
      </c>
      <c r="AD2028" s="1" t="str">
        <f>"96/07/11"</f>
        <v>96/07/11</v>
      </c>
      <c r="AE2028" s="1" t="str">
        <f>"اختتام"</f>
        <v>اختتام</v>
      </c>
      <c r="AF2028" s="1" t="str">
        <f>""</f>
        <v/>
      </c>
      <c r="AG2028" s="1" t="str">
        <f>""</f>
        <v/>
      </c>
      <c r="AH2028" s="1" t="str">
        <f>""</f>
        <v/>
      </c>
      <c r="AI2028" s="1" t="str">
        <f>""</f>
        <v/>
      </c>
      <c r="AJ2028" s="1" t="str">
        <f>""</f>
        <v/>
      </c>
      <c r="AK2028" s="1" t="str">
        <f>""</f>
        <v/>
      </c>
    </row>
    <row r="2029" spans="1:37">
      <c r="A2029" s="1">
        <v>400000</v>
      </c>
      <c r="B2029" s="1">
        <v>961900022</v>
      </c>
      <c r="C2029" s="1" t="str">
        <f>"تخليه خراسان رضوي شهرستان باخرزكارخانه آسفالت شهرداري باخرز"</f>
        <v>تخليه خراسان رضوي شهرستان باخرزكارخانه آسفالت شهرداري باخرز</v>
      </c>
      <c r="D2029" s="1">
        <v>9068</v>
      </c>
      <c r="E2029" s="1">
        <v>393260</v>
      </c>
      <c r="F2029" s="1">
        <v>96</v>
      </c>
      <c r="G2029" s="1">
        <v>6740</v>
      </c>
      <c r="H2029" s="1" t="str">
        <f>"96/01/16"</f>
        <v>96/01/16</v>
      </c>
      <c r="I2029" s="1" t="str">
        <f>"كيلوگرم"</f>
        <v>كيلوگرم</v>
      </c>
      <c r="J2029" s="1" t="str">
        <f>"0000000091"</f>
        <v>0000000091</v>
      </c>
      <c r="K2029" s="1" t="str">
        <f>"قير  PG64-22"</f>
        <v>قير  PG64-22</v>
      </c>
      <c r="L2029" s="1">
        <v>100</v>
      </c>
      <c r="M2029" s="1" t="str">
        <f>"مخازن قير اصفهان"</f>
        <v>مخازن قير اصفهان</v>
      </c>
      <c r="N2029" s="1">
        <v>11305</v>
      </c>
      <c r="O2029" s="1">
        <v>50034379</v>
      </c>
      <c r="P2029" s="1" t="str">
        <f>"  اداره كل راهداري وحمل ونقل جاده اي خراسان رضوي"</f>
        <v xml:space="preserve">  اداره كل راهداري وحمل ونقل جاده اي خراسان رضوي</v>
      </c>
      <c r="Q2029" s="1">
        <v>19</v>
      </c>
      <c r="R2029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029" s="1" t="str">
        <f>"قرارداد فروش"</f>
        <v>قرارداد فروش</v>
      </c>
      <c r="T2029" s="1" t="str">
        <f>"ندارد"</f>
        <v>ندارد</v>
      </c>
      <c r="U2029" s="1" t="str">
        <f>"بابامحمدي عنايت اله(4844000)"</f>
        <v>بابامحمدي عنايت اله(4844000)</v>
      </c>
      <c r="V2029" s="1">
        <v>961900022</v>
      </c>
      <c r="W2029" s="1">
        <v>961900022</v>
      </c>
      <c r="X2029" s="1" t="str">
        <f>"1395470874"</f>
        <v>1395470874</v>
      </c>
      <c r="Y2029" s="1" t="str">
        <f>"96/01/16"</f>
        <v>96/01/16</v>
      </c>
      <c r="Z2029" s="1" t="str">
        <f>"65441/710"</f>
        <v>65441/710</v>
      </c>
      <c r="AA2029" s="1" t="str">
        <f>"سازمان راهداري وحمل نقل جاده اي"</f>
        <v>سازمان راهداري وحمل نقل جاده اي</v>
      </c>
      <c r="AB2029" s="1" t="str">
        <f>"95/12/21"</f>
        <v>95/12/21</v>
      </c>
      <c r="AC2029" s="1" t="str">
        <f>"خراسان رضوي"</f>
        <v>خراسان رضوي</v>
      </c>
      <c r="AD2029" s="1" t="str">
        <f>"95/12/23"</f>
        <v>95/12/23</v>
      </c>
      <c r="AE2029" s="1" t="str">
        <f>"اختتام"</f>
        <v>اختتام</v>
      </c>
      <c r="AF2029" s="1" t="str">
        <f>""</f>
        <v/>
      </c>
      <c r="AG2029" s="1" t="str">
        <f>""</f>
        <v/>
      </c>
      <c r="AH2029" s="1" t="str">
        <f>""</f>
        <v/>
      </c>
      <c r="AI2029" s="1" t="str">
        <f>""</f>
        <v/>
      </c>
      <c r="AJ2029" s="1" t="str">
        <f>""</f>
        <v/>
      </c>
      <c r="AK2029" s="1" t="str">
        <f>""</f>
        <v/>
      </c>
    </row>
    <row r="2030" spans="1:37">
      <c r="A2030" s="1">
        <v>280000</v>
      </c>
      <c r="B2030" s="1">
        <v>961900055</v>
      </c>
      <c r="C2030" s="1" t="str">
        <f>"تخليه خراسان رضوي شهرستان نيشابوركارخانه آسفالت دنابنيان بيرجند"</f>
        <v>تخليه خراسان رضوي شهرستان نيشابوركارخانه آسفالت دنابنيان بيرجند</v>
      </c>
      <c r="D2030" s="1">
        <v>8854</v>
      </c>
      <c r="E2030" s="1">
        <v>279200</v>
      </c>
      <c r="F2030" s="1">
        <v>96</v>
      </c>
      <c r="G2030" s="1">
        <v>800</v>
      </c>
      <c r="H2030" s="1" t="str">
        <f>"96/03/10"</f>
        <v>96/03/10</v>
      </c>
      <c r="I2030" s="1" t="str">
        <f>"كيلوگرم"</f>
        <v>كيلوگرم</v>
      </c>
      <c r="J2030" s="1" t="str">
        <f>"0000000091"</f>
        <v>0000000091</v>
      </c>
      <c r="K2030" s="1" t="str">
        <f>"قير  PG64-22"</f>
        <v>قير  PG64-22</v>
      </c>
      <c r="L2030" s="1">
        <v>100</v>
      </c>
      <c r="M2030" s="1" t="str">
        <f>"مخازن قير اصفهان"</f>
        <v>مخازن قير اصفهان</v>
      </c>
      <c r="N2030" s="1">
        <v>11305</v>
      </c>
      <c r="O2030" s="1">
        <v>50034941</v>
      </c>
      <c r="P2030" s="1" t="str">
        <f>"  اداره كل راهداري وحمل ونقل جاده اي خراسان رضوي"</f>
        <v xml:space="preserve">  اداره كل راهداري وحمل ونقل جاده اي خراسان رضوي</v>
      </c>
      <c r="Q2030" s="1">
        <v>19</v>
      </c>
      <c r="R2030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030" s="1" t="str">
        <f>"قرارداد فروش"</f>
        <v>قرارداد فروش</v>
      </c>
      <c r="T2030" s="1" t="str">
        <f>"ندارد"</f>
        <v>ندارد</v>
      </c>
      <c r="U2030" s="1" t="str">
        <f>"نظام دوست امين (1911102)"</f>
        <v>نظام دوست امين (1911102)</v>
      </c>
      <c r="V2030" s="1">
        <v>961900055</v>
      </c>
      <c r="W2030" s="1">
        <v>961900055</v>
      </c>
      <c r="X2030" s="1" t="str">
        <f>"1396485082"</f>
        <v>1396485082</v>
      </c>
      <c r="Y2030" s="1" t="str">
        <f>"96/03/10"</f>
        <v>96/03/10</v>
      </c>
      <c r="Z2030" s="1" t="str">
        <f>"10859/710"</f>
        <v>10859/710</v>
      </c>
      <c r="AA2030" s="1" t="str">
        <f>"سازمان راهداري وحمل نقل جاده اي"</f>
        <v>سازمان راهداري وحمل نقل جاده اي</v>
      </c>
      <c r="AB2030" s="1" t="str">
        <f>"96/03/09"</f>
        <v>96/03/09</v>
      </c>
      <c r="AC2030" s="1" t="str">
        <f>"خراسان رضوي"</f>
        <v>خراسان رضوي</v>
      </c>
      <c r="AD2030" s="1" t="str">
        <f>"96/03/10"</f>
        <v>96/03/10</v>
      </c>
      <c r="AE2030" s="1" t="str">
        <f>"اختتام"</f>
        <v>اختتام</v>
      </c>
      <c r="AF2030" s="1" t="str">
        <f>""</f>
        <v/>
      </c>
      <c r="AG2030" s="1" t="str">
        <f>""</f>
        <v/>
      </c>
      <c r="AH2030" s="1" t="str">
        <f>""</f>
        <v/>
      </c>
      <c r="AI2030" s="1" t="str">
        <f>""</f>
        <v/>
      </c>
      <c r="AJ2030" s="1" t="str">
        <f>""</f>
        <v/>
      </c>
      <c r="AK2030" s="1" t="str">
        <f>""</f>
        <v/>
      </c>
    </row>
    <row r="2031" spans="1:37">
      <c r="A2031" s="1">
        <v>300000</v>
      </c>
      <c r="B2031" s="1">
        <v>961900060</v>
      </c>
      <c r="C2031" s="1" t="str">
        <f>"تخليه - خراسان رضوي-تربت حيدريه-کارخانه آسفالت جاسک"</f>
        <v>تخليه - خراسان رضوي-تربت حيدريه-کارخانه آسفالت جاسک</v>
      </c>
      <c r="D2031" s="1">
        <v>8854</v>
      </c>
      <c r="E2031" s="1">
        <v>286340</v>
      </c>
      <c r="F2031" s="1">
        <v>96</v>
      </c>
      <c r="G2031" s="1">
        <v>13660</v>
      </c>
      <c r="H2031" s="1" t="str">
        <f>"96/03/16"</f>
        <v>96/03/16</v>
      </c>
      <c r="I2031" s="1" t="str">
        <f>"كيلوگرم"</f>
        <v>كيلوگرم</v>
      </c>
      <c r="J2031" s="1" t="str">
        <f>"0000000091"</f>
        <v>0000000091</v>
      </c>
      <c r="K2031" s="1" t="str">
        <f>"قير  PG64-22"</f>
        <v>قير  PG64-22</v>
      </c>
      <c r="L2031" s="1">
        <v>100</v>
      </c>
      <c r="M2031" s="1" t="str">
        <f>"مخازن قير اصفهان"</f>
        <v>مخازن قير اصفهان</v>
      </c>
      <c r="N2031" s="1">
        <v>11305</v>
      </c>
      <c r="O2031" s="1">
        <v>50034965</v>
      </c>
      <c r="P2031" s="1" t="str">
        <f>"  اداره كل راهداري وحمل ونقل جاده اي خراسان رضوي"</f>
        <v xml:space="preserve">  اداره كل راهداري وحمل ونقل جاده اي خراسان رضوي</v>
      </c>
      <c r="Q2031" s="1">
        <v>19</v>
      </c>
      <c r="R2031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031" s="1" t="str">
        <f>"قرارداد فروش"</f>
        <v>قرارداد فروش</v>
      </c>
      <c r="T2031" s="1" t="str">
        <f>"ندارد"</f>
        <v>ندارد</v>
      </c>
      <c r="U2031" s="1" t="str">
        <f>"حسيني حسن(1841075)"</f>
        <v>حسيني حسن(1841075)</v>
      </c>
      <c r="V2031" s="1">
        <v>961900060</v>
      </c>
      <c r="W2031" s="1">
        <v>961900060</v>
      </c>
      <c r="X2031" s="1" t="str">
        <f>"1396485061"</f>
        <v>1396485061</v>
      </c>
      <c r="Y2031" s="1" t="str">
        <f>"96/03/16"</f>
        <v>96/03/16</v>
      </c>
      <c r="Z2031" s="1" t="str">
        <f>"10852/710"</f>
        <v>10852/710</v>
      </c>
      <c r="AA2031" s="1" t="str">
        <f>"سازمان راهداري وحمل نقل جاده اي"</f>
        <v>سازمان راهداري وحمل نقل جاده اي</v>
      </c>
      <c r="AB2031" s="1" t="str">
        <f>"96/03/09"</f>
        <v>96/03/09</v>
      </c>
      <c r="AC2031" s="1" t="str">
        <f>"خراسان رضوي"</f>
        <v>خراسان رضوي</v>
      </c>
      <c r="AD2031" s="1" t="str">
        <f>"96/03/10"</f>
        <v>96/03/10</v>
      </c>
      <c r="AE2031" s="1" t="str">
        <f>"اختتام"</f>
        <v>اختتام</v>
      </c>
      <c r="AF2031" s="1" t="str">
        <f>""</f>
        <v/>
      </c>
      <c r="AG2031" s="1" t="str">
        <f>""</f>
        <v/>
      </c>
      <c r="AH2031" s="1" t="str">
        <f>""</f>
        <v/>
      </c>
      <c r="AI2031" s="1" t="str">
        <f>""</f>
        <v/>
      </c>
      <c r="AJ2031" s="1" t="str">
        <f>""</f>
        <v/>
      </c>
      <c r="AK2031" s="1" t="str">
        <f>""</f>
        <v/>
      </c>
    </row>
    <row r="2032" spans="1:37">
      <c r="A2032" s="1">
        <v>500000</v>
      </c>
      <c r="B2032" s="1">
        <v>961900095</v>
      </c>
      <c r="C2032" s="1" t="str">
        <f>"تخليه - خراسان رضوي-پروژه محوربردسکن-سبزوار-کارخانه آسفالت کيميا سروش پاسارگاد"</f>
        <v>تخليه - خراسان رضوي-پروژه محوربردسکن-سبزوار-کارخانه آسفالت کيميا سروش پاسارگاد</v>
      </c>
      <c r="D2032" s="1">
        <v>9204</v>
      </c>
      <c r="E2032" s="1">
        <v>499200</v>
      </c>
      <c r="F2032" s="1">
        <v>96</v>
      </c>
      <c r="G2032" s="1">
        <v>800</v>
      </c>
      <c r="H2032" s="1" t="str">
        <f>"96/05/10"</f>
        <v>96/05/10</v>
      </c>
      <c r="I2032" s="1" t="str">
        <f>"كيلوگرم"</f>
        <v>كيلوگرم</v>
      </c>
      <c r="J2032" s="1" t="str">
        <f>"0000000091"</f>
        <v>0000000091</v>
      </c>
      <c r="K2032" s="1" t="str">
        <f>"قير  PG64-22"</f>
        <v>قير  PG64-22</v>
      </c>
      <c r="L2032" s="1">
        <v>100</v>
      </c>
      <c r="M2032" s="1" t="str">
        <f>"مخازن قير اصفهان"</f>
        <v>مخازن قير اصفهان</v>
      </c>
      <c r="N2032" s="1">
        <v>11305</v>
      </c>
      <c r="O2032" s="1">
        <v>50035442</v>
      </c>
      <c r="P2032" s="1" t="str">
        <f>"  اداره كل راهداري وحمل ونقل جاده اي خراسان رضوي"</f>
        <v xml:space="preserve">  اداره كل راهداري وحمل ونقل جاده اي خراسان رضوي</v>
      </c>
      <c r="Q2032" s="1">
        <v>19</v>
      </c>
      <c r="R203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032" s="1" t="str">
        <f>"قرارداد فروش"</f>
        <v>قرارداد فروش</v>
      </c>
      <c r="T2032" s="1" t="str">
        <f>"ندارد"</f>
        <v>ندارد</v>
      </c>
      <c r="U2032" s="1" t="str">
        <f>"نظام دوست امين (1911102)"</f>
        <v>نظام دوست امين (1911102)</v>
      </c>
      <c r="V2032" s="1">
        <v>961900095</v>
      </c>
      <c r="W2032" s="1">
        <v>961900095</v>
      </c>
      <c r="X2032" s="1" t="str">
        <f>"1396501691"</f>
        <v>1396501691</v>
      </c>
      <c r="Y2032" s="1" t="str">
        <f>"96/05/10"</f>
        <v>96/05/10</v>
      </c>
      <c r="Z2032" s="1" t="str">
        <f>"22033/710"</f>
        <v>22033/710</v>
      </c>
      <c r="AA2032" s="1" t="str">
        <f>"سازمان راهداري وحمل نقل جاده اي"</f>
        <v>سازمان راهداري وحمل نقل جاده اي</v>
      </c>
      <c r="AB2032" s="1" t="str">
        <f>"96/05/09"</f>
        <v>96/05/09</v>
      </c>
      <c r="AC2032" s="1" t="str">
        <f>"خراسان رضوي"</f>
        <v>خراسان رضوي</v>
      </c>
      <c r="AD2032" s="1" t="str">
        <f>"96/05/10"</f>
        <v>96/05/10</v>
      </c>
      <c r="AE2032" s="1" t="str">
        <f>"اختتام"</f>
        <v>اختتام</v>
      </c>
      <c r="AF2032" s="1" t="str">
        <f>""</f>
        <v/>
      </c>
      <c r="AG2032" s="1" t="str">
        <f>""</f>
        <v/>
      </c>
      <c r="AH2032" s="1" t="str">
        <f>""</f>
        <v/>
      </c>
      <c r="AI2032" s="1" t="str">
        <f>""</f>
        <v/>
      </c>
      <c r="AJ2032" s="1" t="str">
        <f>""</f>
        <v/>
      </c>
      <c r="AK2032" s="1" t="str">
        <f>""</f>
        <v/>
      </c>
    </row>
    <row r="2033" spans="1:37">
      <c r="A2033" s="1">
        <v>460000</v>
      </c>
      <c r="B2033" s="1">
        <v>961900101</v>
      </c>
      <c r="C2033" s="1" t="str">
        <f>"تخليه خراسان رضوي شهرستان جوين كارخانه ثامن الحجج"</f>
        <v>تخليه خراسان رضوي شهرستان جوين كارخانه ثامن الحجج</v>
      </c>
      <c r="D2033" s="1">
        <v>13450</v>
      </c>
      <c r="E2033" s="1">
        <v>459560</v>
      </c>
      <c r="F2033" s="1">
        <v>96</v>
      </c>
      <c r="G2033" s="1">
        <v>440</v>
      </c>
      <c r="H2033" s="1" t="str">
        <f>"96/05/10"</f>
        <v>96/05/10</v>
      </c>
      <c r="I2033" s="1" t="str">
        <f>"كيلوگرم"</f>
        <v>كيلوگرم</v>
      </c>
      <c r="J2033" s="1" t="str">
        <f>"0000000091"</f>
        <v>0000000091</v>
      </c>
      <c r="K2033" s="1" t="str">
        <f>"قير  PG64-22"</f>
        <v>قير  PG64-22</v>
      </c>
      <c r="L2033" s="1">
        <v>100</v>
      </c>
      <c r="M2033" s="1" t="str">
        <f>"مخازن قير اصفهان"</f>
        <v>مخازن قير اصفهان</v>
      </c>
      <c r="N2033" s="1">
        <v>11305</v>
      </c>
      <c r="O2033" s="1">
        <v>50035449</v>
      </c>
      <c r="P2033" s="1" t="str">
        <f>"  اداره كل راهداري وحمل ونقل جاده اي خراسان رضوي"</f>
        <v xml:space="preserve">  اداره كل راهداري وحمل ونقل جاده اي خراسان رضوي</v>
      </c>
      <c r="Q2033" s="1">
        <v>19</v>
      </c>
      <c r="R203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033" s="1" t="str">
        <f>"قرارداد فروش"</f>
        <v>قرارداد فروش</v>
      </c>
      <c r="T2033" s="1" t="str">
        <f>"ندارد"</f>
        <v>ندارد</v>
      </c>
      <c r="U2033" s="1" t="str">
        <f>"نظام دوست امين (1911102)"</f>
        <v>نظام دوست امين (1911102)</v>
      </c>
      <c r="V2033" s="1">
        <v>961900101</v>
      </c>
      <c r="W2033" s="1">
        <v>961900101</v>
      </c>
      <c r="X2033" s="1" t="str">
        <f>"1396501691"</f>
        <v>1396501691</v>
      </c>
      <c r="Y2033" s="1" t="str">
        <f>"96/05/10"</f>
        <v>96/05/10</v>
      </c>
      <c r="Z2033" s="1" t="str">
        <f>"21923/710"</f>
        <v>21923/710</v>
      </c>
      <c r="AA2033" s="1" t="str">
        <f>"سازمان راهداري وحمل نقل جاده اي"</f>
        <v>سازمان راهداري وحمل نقل جاده اي</v>
      </c>
      <c r="AB2033" s="1" t="str">
        <f>"96/05/08"</f>
        <v>96/05/08</v>
      </c>
      <c r="AC2033" s="1" t="str">
        <f>"خراسان رضوي"</f>
        <v>خراسان رضوي</v>
      </c>
      <c r="AD2033" s="1" t="str">
        <f>"96/05/10"</f>
        <v>96/05/10</v>
      </c>
      <c r="AE2033" s="1" t="str">
        <f>"اختتام"</f>
        <v>اختتام</v>
      </c>
      <c r="AF2033" s="1" t="str">
        <f>""</f>
        <v/>
      </c>
      <c r="AG2033" s="1" t="str">
        <f>""</f>
        <v/>
      </c>
      <c r="AH2033" s="1" t="str">
        <f>""</f>
        <v/>
      </c>
      <c r="AI2033" s="1" t="str">
        <f>""</f>
        <v/>
      </c>
      <c r="AJ2033" s="1" t="str">
        <f>""</f>
        <v/>
      </c>
      <c r="AK2033" s="1" t="str">
        <f>""</f>
        <v/>
      </c>
    </row>
    <row r="2034" spans="1:37">
      <c r="A2034" s="1">
        <v>3000000</v>
      </c>
      <c r="B2034" s="1">
        <v>961900092</v>
      </c>
      <c r="C2034" s="1" t="str">
        <f>"تخليه خراسان جنوبي كارخانه آسفالت اداره كل راهداري وحمل ونقل جاده اي خراسان جنوبي"</f>
        <v>تخليه خراسان جنوبي كارخانه آسفالت اداره كل راهداري وحمل ونقل جاده اي خراسان جنوبي</v>
      </c>
      <c r="D2034" s="1">
        <v>14000</v>
      </c>
      <c r="E2034" s="1">
        <v>3000000</v>
      </c>
      <c r="F2034" s="1">
        <v>96</v>
      </c>
      <c r="G2034" s="1">
        <v>0</v>
      </c>
      <c r="H2034" s="1" t="str">
        <f>"96/05/09"</f>
        <v>96/05/09</v>
      </c>
      <c r="I2034" s="1" t="str">
        <f>"كيلوگرم"</f>
        <v>كيلوگرم</v>
      </c>
      <c r="J2034" s="1" t="str">
        <f>"0000000091"</f>
        <v>0000000091</v>
      </c>
      <c r="K2034" s="1" t="str">
        <f>"قير  PG64-22"</f>
        <v>قير  PG64-22</v>
      </c>
      <c r="L2034" s="1">
        <v>100</v>
      </c>
      <c r="M2034" s="1" t="str">
        <f>"مخازن قير اصفهان"</f>
        <v>مخازن قير اصفهان</v>
      </c>
      <c r="N2034" s="1">
        <v>11328</v>
      </c>
      <c r="O2034" s="1">
        <v>50035422</v>
      </c>
      <c r="P2034" s="1" t="str">
        <f>"  اداره كل راهداري وحمل ونقل جاده اي خراسان جنوبي"</f>
        <v xml:space="preserve">  اداره كل راهداري وحمل ونقل جاده اي خراسان جنوبي</v>
      </c>
      <c r="Q2034" s="1">
        <v>19</v>
      </c>
      <c r="R2034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034" s="1" t="str">
        <f>"قرارداد فروش"</f>
        <v>قرارداد فروش</v>
      </c>
      <c r="T2034" s="1" t="str">
        <f>"ندارد"</f>
        <v>ندارد</v>
      </c>
      <c r="U2034" s="1" t="str">
        <f>"شيخي خيراله (1841012)"</f>
        <v>شيخي خيراله (1841012)</v>
      </c>
      <c r="V2034" s="1">
        <v>961900092</v>
      </c>
      <c r="W2034" s="1">
        <v>961900092</v>
      </c>
      <c r="X2034" s="1" t="str">
        <f>"1396501179"</f>
        <v>1396501179</v>
      </c>
      <c r="Y2034" s="1" t="str">
        <f>"96/05/09"</f>
        <v>96/05/09</v>
      </c>
      <c r="Z2034" s="1" t="str">
        <f>"21908/710"</f>
        <v>21908/710</v>
      </c>
      <c r="AA2034" s="1" t="str">
        <f>"سازمان راهداري وحمل نقل جاده اي"</f>
        <v>سازمان راهداري وحمل نقل جاده اي</v>
      </c>
      <c r="AB2034" s="1" t="str">
        <f>"96/05/08"</f>
        <v>96/05/08</v>
      </c>
      <c r="AC2034" s="1" t="str">
        <f>"خراسان جنوبي"</f>
        <v>خراسان جنوبي</v>
      </c>
      <c r="AD2034" s="1" t="str">
        <f>"96/05/09"</f>
        <v>96/05/09</v>
      </c>
      <c r="AE2034" s="1" t="str">
        <f>"اختتام"</f>
        <v>اختتام</v>
      </c>
      <c r="AF2034" s="1" t="str">
        <f>""</f>
        <v/>
      </c>
      <c r="AG2034" s="1" t="str">
        <f>""</f>
        <v/>
      </c>
      <c r="AH2034" s="1" t="str">
        <f>""</f>
        <v/>
      </c>
      <c r="AI2034" s="1" t="str">
        <f>""</f>
        <v/>
      </c>
      <c r="AJ2034" s="1" t="str">
        <f>""</f>
        <v/>
      </c>
      <c r="AK2034" s="1" t="str">
        <f>""</f>
        <v/>
      </c>
    </row>
    <row r="2035" spans="1:37">
      <c r="A2035" s="1">
        <v>2000000</v>
      </c>
      <c r="B2035" s="1">
        <v>961900186</v>
      </c>
      <c r="C2035" s="1" t="str">
        <f>"تخليه خراسان جنوبي كارخانه آسفالت اداره كل راهداري وحمل ونقل جاده اي خراسان جنوبي"</f>
        <v>تخليه خراسان جنوبي كارخانه آسفالت اداره كل راهداري وحمل ونقل جاده اي خراسان جنوبي</v>
      </c>
      <c r="D2035" s="1">
        <v>15810</v>
      </c>
      <c r="E2035" s="1">
        <v>779340</v>
      </c>
      <c r="F2035" s="1">
        <v>96</v>
      </c>
      <c r="G2035" s="1">
        <v>1220660</v>
      </c>
      <c r="H2035" s="1" t="str">
        <f>"96/09/08"</f>
        <v>96/09/08</v>
      </c>
      <c r="I2035" s="1" t="str">
        <f>"كيلوگرم"</f>
        <v>كيلوگرم</v>
      </c>
      <c r="J2035" s="1" t="str">
        <f>"0000000091"</f>
        <v>0000000091</v>
      </c>
      <c r="K2035" s="1" t="str">
        <f>"قير  PG64-22"</f>
        <v>قير  PG64-22</v>
      </c>
      <c r="L2035" s="1">
        <v>100</v>
      </c>
      <c r="M2035" s="1" t="str">
        <f>"مخازن قير اصفهان"</f>
        <v>مخازن قير اصفهان</v>
      </c>
      <c r="N2035" s="1">
        <v>11328</v>
      </c>
      <c r="O2035" s="1">
        <v>50037328</v>
      </c>
      <c r="P2035" s="1" t="str">
        <f>"  اداره كل راهداري وحمل ونقل جاده اي خراسان جنوبي"</f>
        <v xml:space="preserve">  اداره كل راهداري وحمل ونقل جاده اي خراسان جنوبي</v>
      </c>
      <c r="Q2035" s="1">
        <v>19</v>
      </c>
      <c r="R203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035" s="1" t="str">
        <f>"قرارداد فروش"</f>
        <v>قرارداد فروش</v>
      </c>
      <c r="T2035" s="1" t="str">
        <f>"ندارد"</f>
        <v>ندارد</v>
      </c>
      <c r="U2035" s="1" t="str">
        <f>"شيخي خيراله (1841012)"</f>
        <v>شيخي خيراله (1841012)</v>
      </c>
      <c r="V2035" s="1">
        <v>961900186</v>
      </c>
      <c r="W2035" s="1">
        <v>961900186</v>
      </c>
      <c r="X2035" s="1" t="str">
        <f>"1396529166"</f>
        <v>1396529166</v>
      </c>
      <c r="Y2035" s="1" t="str">
        <f>"96/09/08"</f>
        <v>96/09/08</v>
      </c>
      <c r="Z2035" s="1" t="str">
        <f>"44512/710"</f>
        <v>44512/710</v>
      </c>
      <c r="AA2035" s="1" t="str">
        <f>"سازمان راهداري وحمل نقل جاده اي"</f>
        <v>سازمان راهداري وحمل نقل جاده اي</v>
      </c>
      <c r="AB2035" s="1" t="str">
        <f>"96/08/30"</f>
        <v>96/08/30</v>
      </c>
      <c r="AC2035" s="1" t="str">
        <f>"خراسان جنوبي"</f>
        <v>خراسان جنوبي</v>
      </c>
      <c r="AD2035" s="1" t="str">
        <f>"96/09/08"</f>
        <v>96/09/08</v>
      </c>
      <c r="AE2035" s="1" t="str">
        <f>"اختتام"</f>
        <v>اختتام</v>
      </c>
      <c r="AF2035" s="1" t="str">
        <f>""</f>
        <v/>
      </c>
      <c r="AG2035" s="1" t="str">
        <f>""</f>
        <v/>
      </c>
      <c r="AH2035" s="1" t="str">
        <f>""</f>
        <v/>
      </c>
      <c r="AI2035" s="1" t="str">
        <f>""</f>
        <v/>
      </c>
      <c r="AJ2035" s="1" t="str">
        <f>""</f>
        <v/>
      </c>
      <c r="AK2035" s="1" t="str">
        <f>""</f>
        <v/>
      </c>
    </row>
    <row r="2036" spans="1:37">
      <c r="A2036" s="1">
        <v>500000</v>
      </c>
      <c r="B2036" s="1">
        <v>961700196</v>
      </c>
      <c r="C2036" s="1" t="str">
        <f>"تخليه سيستان وبلوچستان سراوان بخش سيركان كارخانه آسفالت شركت نازمكان جنوب"</f>
        <v>تخليه سيستان وبلوچستان سراوان بخش سيركان كارخانه آسفالت شركت نازمكان جنوب</v>
      </c>
      <c r="D2036" s="1">
        <v>13100</v>
      </c>
      <c r="E2036" s="1">
        <v>499040</v>
      </c>
      <c r="F2036" s="1">
        <v>96</v>
      </c>
      <c r="G2036" s="1">
        <v>960</v>
      </c>
      <c r="H2036" s="1" t="str">
        <f>"96/12/23"</f>
        <v>96/12/23</v>
      </c>
      <c r="I2036" s="1" t="str">
        <f>"كيلوگرم"</f>
        <v>كيلوگرم</v>
      </c>
      <c r="J2036" s="1" t="str">
        <f>"0000000091"</f>
        <v>0000000091</v>
      </c>
      <c r="K2036" s="1" t="str">
        <f>"قير  PG64-22"</f>
        <v>قير  PG64-22</v>
      </c>
      <c r="L2036" s="1">
        <v>100</v>
      </c>
      <c r="M2036" s="1" t="str">
        <f>"مخازن قير اصفهان"</f>
        <v>مخازن قير اصفهان</v>
      </c>
      <c r="N2036" s="1">
        <v>11551</v>
      </c>
      <c r="O2036" s="1">
        <v>50038931</v>
      </c>
      <c r="P2036" s="1" t="str">
        <f>"  نازمكان جنوب"</f>
        <v xml:space="preserve">  نازمكان جنوب</v>
      </c>
      <c r="Q2036" s="1">
        <v>17</v>
      </c>
      <c r="R2036" s="1" t="str">
        <f>"فروش داخلي تهران - وزارت راه - راه روستايي - روکش"</f>
        <v>فروش داخلي تهران - وزارت راه - راه روستايي - روکش</v>
      </c>
      <c r="S2036" s="1" t="str">
        <f>"قرارداد فروش"</f>
        <v>قرارداد فروش</v>
      </c>
      <c r="T2036" s="1" t="str">
        <f>"ندارد"</f>
        <v>ندارد</v>
      </c>
      <c r="U2036" s="1" t="str">
        <f>"عزيزي صفر(1006ج 89)"</f>
        <v>عزيزي صفر(1006ج 89)</v>
      </c>
      <c r="V2036" s="1">
        <v>961700196</v>
      </c>
      <c r="W2036" s="1">
        <v>961700196</v>
      </c>
      <c r="X2036" s="1" t="str">
        <f>"1396554556"</f>
        <v>1396554556</v>
      </c>
      <c r="Y2036" s="1" t="str">
        <f>"96/12/23"</f>
        <v>96/12/23</v>
      </c>
      <c r="Z2036" s="1" t="str">
        <f>"289292/710"</f>
        <v>289292/710</v>
      </c>
      <c r="AA2036" s="1" t="str">
        <f>"راه روستائي -روكش"</f>
        <v>راه روستائي -روكش</v>
      </c>
      <c r="AB2036" s="1" t="str">
        <f>"96/12/02"</f>
        <v>96/12/02</v>
      </c>
      <c r="AC2036" s="1" t="str">
        <f>"استان سيستان بلوچستان"</f>
        <v>استان سيستان بلوچستان</v>
      </c>
      <c r="AD2036" s="1" t="str">
        <f>"96/12/22"</f>
        <v>96/12/22</v>
      </c>
      <c r="AE2036" s="1" t="str">
        <f>"اختتام"</f>
        <v>اختتام</v>
      </c>
      <c r="AF2036" s="1" t="str">
        <f>""</f>
        <v/>
      </c>
      <c r="AG2036" s="1" t="str">
        <f>""</f>
        <v/>
      </c>
      <c r="AH2036" s="1" t="str">
        <f>""</f>
        <v/>
      </c>
      <c r="AI2036" s="1" t="str">
        <f>""</f>
        <v/>
      </c>
      <c r="AJ2036" s="1" t="str">
        <f>""</f>
        <v/>
      </c>
      <c r="AK2036" s="1" t="str">
        <f>""</f>
        <v/>
      </c>
    </row>
    <row r="2037" spans="1:37">
      <c r="A2037" s="1">
        <v>60000</v>
      </c>
      <c r="B2037" s="1">
        <v>961700074</v>
      </c>
      <c r="C2037" s="1" t="str">
        <f>"تخليه خراسان رضوي راه روستايي هفت خانه كارخانه آسفالت پايدارسازه مهرتيراژه"</f>
        <v>تخليه خراسان رضوي راه روستايي هفت خانه كارخانه آسفالت پايدارسازه مهرتيراژه</v>
      </c>
      <c r="D2037" s="1">
        <v>9204</v>
      </c>
      <c r="E2037" s="1">
        <v>59560</v>
      </c>
      <c r="F2037" s="1">
        <v>96</v>
      </c>
      <c r="G2037" s="1">
        <v>440</v>
      </c>
      <c r="H2037" s="1" t="str">
        <f>"96/05/29"</f>
        <v>96/05/29</v>
      </c>
      <c r="I2037" s="1" t="str">
        <f>"كيلوگرم"</f>
        <v>كيلوگرم</v>
      </c>
      <c r="J2037" s="1" t="str">
        <f>"0000000092"</f>
        <v>0000000092</v>
      </c>
      <c r="K2037" s="1" t="str">
        <f>"قير  PG64-16"</f>
        <v>قير  PG64-16</v>
      </c>
      <c r="L2037" s="1">
        <v>100</v>
      </c>
      <c r="M2037" s="1" t="str">
        <f>"مخازن قير اصفهان"</f>
        <v>مخازن قير اصفهان</v>
      </c>
      <c r="N2037" s="1">
        <v>4026</v>
      </c>
      <c r="O2037" s="1">
        <v>50035747</v>
      </c>
      <c r="P2037" s="1" t="str">
        <f>"  اداره كل راه و شهرسازي خراسان رضوي"</f>
        <v xml:space="preserve">  اداره كل راه و شهرسازي خراسان رضوي</v>
      </c>
      <c r="Q2037" s="1">
        <v>17</v>
      </c>
      <c r="R2037" s="1" t="str">
        <f>"فروش داخلي تهران - وزارت راه - راه روستايي - روکش"</f>
        <v>فروش داخلي تهران - وزارت راه - راه روستايي - روکش</v>
      </c>
      <c r="S2037" s="1" t="str">
        <f>"قرارداد فروش"</f>
        <v>قرارداد فروش</v>
      </c>
      <c r="T2037" s="1" t="str">
        <f>"ندارد"</f>
        <v>ندارد</v>
      </c>
      <c r="U2037" s="1" t="str">
        <f>"نظام دوست امين (1911102)"</f>
        <v>نظام دوست امين (1911102)</v>
      </c>
      <c r="V2037" s="1">
        <v>961700074</v>
      </c>
      <c r="W2037" s="1">
        <v>961700074</v>
      </c>
      <c r="X2037" s="1" t="str">
        <f>"1396506626"</f>
        <v>1396506626</v>
      </c>
      <c r="Y2037" s="1" t="str">
        <f>"96/05/29"</f>
        <v>96/05/29</v>
      </c>
      <c r="Z2037" s="1" t="str">
        <f>"25506/710"</f>
        <v>25506/710</v>
      </c>
      <c r="AA2037" s="1" t="str">
        <f>"راه روستائي -روكش"</f>
        <v>راه روستائي -روكش</v>
      </c>
      <c r="AB2037" s="1" t="str">
        <f>"96/05/25"</f>
        <v>96/05/25</v>
      </c>
      <c r="AC2037" s="1" t="str">
        <f>"خراسان رضوي"</f>
        <v>خراسان رضوي</v>
      </c>
      <c r="AD2037" s="1" t="str">
        <f>"96/05/29"</f>
        <v>96/05/29</v>
      </c>
      <c r="AE2037" s="1" t="str">
        <f>"اختتام"</f>
        <v>اختتام</v>
      </c>
      <c r="AF2037" s="1" t="str">
        <f>""</f>
        <v/>
      </c>
      <c r="AG2037" s="1" t="str">
        <f>""</f>
        <v/>
      </c>
      <c r="AH2037" s="1" t="str">
        <f>""</f>
        <v/>
      </c>
      <c r="AI2037" s="1" t="str">
        <f>""</f>
        <v/>
      </c>
      <c r="AJ2037" s="1" t="str">
        <f>""</f>
        <v/>
      </c>
      <c r="AK2037" s="1" t="str">
        <f>""</f>
        <v/>
      </c>
    </row>
    <row r="2038" spans="1:37">
      <c r="A2038" s="1">
        <v>95000</v>
      </c>
      <c r="B2038" s="1">
        <v>961700075</v>
      </c>
      <c r="C2038" s="1" t="str">
        <f>"تخليه -خراسان رضوي -قوچان -كارخانه آسفالت توس راديه"</f>
        <v>تخليه -خراسان رضوي -قوچان -كارخانه آسفالت توس راديه</v>
      </c>
      <c r="D2038" s="1">
        <v>12970</v>
      </c>
      <c r="E2038" s="1">
        <v>93580</v>
      </c>
      <c r="F2038" s="1">
        <v>96</v>
      </c>
      <c r="G2038" s="1">
        <v>1420</v>
      </c>
      <c r="H2038" s="1" t="str">
        <f>"96/05/29"</f>
        <v>96/05/29</v>
      </c>
      <c r="I2038" s="1" t="str">
        <f>"كيلوگرم"</f>
        <v>كيلوگرم</v>
      </c>
      <c r="J2038" s="1" t="str">
        <f>"0000000092"</f>
        <v>0000000092</v>
      </c>
      <c r="K2038" s="1" t="str">
        <f>"قير  PG64-16"</f>
        <v>قير  PG64-16</v>
      </c>
      <c r="L2038" s="1">
        <v>100</v>
      </c>
      <c r="M2038" s="1" t="str">
        <f>"مخازن قير اصفهان"</f>
        <v>مخازن قير اصفهان</v>
      </c>
      <c r="N2038" s="1">
        <v>4026</v>
      </c>
      <c r="O2038" s="1">
        <v>50035754</v>
      </c>
      <c r="P2038" s="1" t="str">
        <f>"  اداره كل راه و شهرسازي خراسان رضوي"</f>
        <v xml:space="preserve">  اداره كل راه و شهرسازي خراسان رضوي</v>
      </c>
      <c r="Q2038" s="1">
        <v>17</v>
      </c>
      <c r="R2038" s="1" t="str">
        <f>"فروش داخلي تهران - وزارت راه - راه روستايي - روکش"</f>
        <v>فروش داخلي تهران - وزارت راه - راه روستايي - روکش</v>
      </c>
      <c r="S2038" s="1" t="str">
        <f>"قرارداد فروش"</f>
        <v>قرارداد فروش</v>
      </c>
      <c r="T2038" s="1" t="str">
        <f>"ندارد"</f>
        <v>ندارد</v>
      </c>
      <c r="U2038" s="1" t="str">
        <f>"نظام دوست امين (1911102)"</f>
        <v>نظام دوست امين (1911102)</v>
      </c>
      <c r="V2038" s="1">
        <v>961700075</v>
      </c>
      <c r="W2038" s="1">
        <v>961700075</v>
      </c>
      <c r="X2038" s="1" t="str">
        <f>"1396506626"</f>
        <v>1396506626</v>
      </c>
      <c r="Y2038" s="1" t="str">
        <f>"96/05/29"</f>
        <v>96/05/29</v>
      </c>
      <c r="Z2038" s="1" t="str">
        <f>"25523/710"</f>
        <v>25523/710</v>
      </c>
      <c r="AA2038" s="1" t="str">
        <f>"راه روستائي -روكش"</f>
        <v>راه روستائي -روكش</v>
      </c>
      <c r="AB2038" s="1" t="str">
        <f>"96/05/25"</f>
        <v>96/05/25</v>
      </c>
      <c r="AC2038" s="1" t="str">
        <f>"خراسان رضوي"</f>
        <v>خراسان رضوي</v>
      </c>
      <c r="AD2038" s="1" t="str">
        <f>"96/05/29"</f>
        <v>96/05/29</v>
      </c>
      <c r="AE2038" s="1" t="str">
        <f>"اختتام"</f>
        <v>اختتام</v>
      </c>
      <c r="AF2038" s="1" t="str">
        <f>""</f>
        <v/>
      </c>
      <c r="AG2038" s="1" t="str">
        <f>""</f>
        <v/>
      </c>
      <c r="AH2038" s="1" t="str">
        <f>""</f>
        <v/>
      </c>
      <c r="AI2038" s="1" t="str">
        <f>""</f>
        <v/>
      </c>
      <c r="AJ2038" s="1" t="str">
        <f>""</f>
        <v/>
      </c>
      <c r="AK2038" s="1" t="str">
        <f>""</f>
        <v/>
      </c>
    </row>
    <row r="2039" spans="1:37">
      <c r="A2039" s="1">
        <v>200000</v>
      </c>
      <c r="B2039" s="1">
        <v>961800059</v>
      </c>
      <c r="C2039" s="1" t="str">
        <f>"تخليه -مشهد-كارخانه آسفالت پروژه آزادراه مشهد-باغچه"</f>
        <v>تخليه -مشهد-كارخانه آسفالت پروژه آزادراه مشهد-باغچه</v>
      </c>
      <c r="D2039" s="1">
        <v>12970</v>
      </c>
      <c r="E2039" s="1">
        <v>200000</v>
      </c>
      <c r="F2039" s="1">
        <v>96</v>
      </c>
      <c r="G2039" s="1">
        <v>0</v>
      </c>
      <c r="H2039" s="1" t="str">
        <f>"96/07/11"</f>
        <v>96/07/11</v>
      </c>
      <c r="I2039" s="1" t="str">
        <f>"كيلوگرم"</f>
        <v>كيلوگرم</v>
      </c>
      <c r="J2039" s="1" t="str">
        <f>"0000000092"</f>
        <v>0000000092</v>
      </c>
      <c r="K2039" s="1" t="str">
        <f>"قير  PG64-16"</f>
        <v>قير  PG64-16</v>
      </c>
      <c r="L2039" s="1">
        <v>100</v>
      </c>
      <c r="M2039" s="1" t="str">
        <f>"مخازن قير اصفهان"</f>
        <v>مخازن قير اصفهان</v>
      </c>
      <c r="N2039" s="1">
        <v>7091</v>
      </c>
      <c r="O2039" s="1">
        <v>50036508</v>
      </c>
      <c r="P2039" s="1" t="str">
        <f>"  مسكن وعمران قدس رضوي"</f>
        <v xml:space="preserve">  مسكن وعمران قدس رضوي</v>
      </c>
      <c r="Q2039" s="1">
        <v>18</v>
      </c>
      <c r="R2039" s="1" t="str">
        <f>"فروش داخلي تهران - وزارت راه - شرکت ساخت و توسعه راهها"</f>
        <v>فروش داخلي تهران - وزارت راه - شرکت ساخت و توسعه راهها</v>
      </c>
      <c r="S2039" s="1" t="str">
        <f>"قرارداد فروش"</f>
        <v>قرارداد فروش</v>
      </c>
      <c r="T2039" s="1" t="str">
        <f>"ندارد"</f>
        <v>ندارد</v>
      </c>
      <c r="U2039" s="1" t="str">
        <f>"عابدي محمود(1018ج89)"</f>
        <v>عابدي محمود(1018ج89)</v>
      </c>
      <c r="V2039" s="1">
        <v>961800059</v>
      </c>
      <c r="W2039" s="1">
        <v>961800059</v>
      </c>
      <c r="X2039" s="1" t="str">
        <f>"1396515915"</f>
        <v>1396515915</v>
      </c>
      <c r="Y2039" s="1" t="str">
        <f>"96/07/11"</f>
        <v>96/07/11</v>
      </c>
      <c r="Z2039" s="1" t="str">
        <f>"32518/710"</f>
        <v>32518/710</v>
      </c>
      <c r="AA2039" s="1" t="str">
        <f>"شركت  ساخت وتوسعه راهها"</f>
        <v>شركت  ساخت وتوسعه راهها</v>
      </c>
      <c r="AB2039" s="1" t="str">
        <f>"96/07/01"</f>
        <v>96/07/01</v>
      </c>
      <c r="AC2039" s="1" t="str">
        <f>"خراسان رضوي"</f>
        <v>خراسان رضوي</v>
      </c>
      <c r="AD2039" s="1" t="str">
        <f>"96/07/11"</f>
        <v>96/07/11</v>
      </c>
      <c r="AE2039" s="1" t="str">
        <f>"اختتام"</f>
        <v>اختتام</v>
      </c>
      <c r="AF2039" s="1" t="str">
        <f>""</f>
        <v/>
      </c>
      <c r="AG2039" s="1" t="str">
        <f>""</f>
        <v/>
      </c>
      <c r="AH2039" s="1" t="str">
        <f>""</f>
        <v/>
      </c>
      <c r="AI2039" s="1" t="str">
        <f>""</f>
        <v/>
      </c>
      <c r="AJ2039" s="1" t="str">
        <f>""</f>
        <v/>
      </c>
      <c r="AK2039" s="1" t="str">
        <f>""</f>
        <v/>
      </c>
    </row>
    <row r="2040" spans="1:37">
      <c r="A2040" s="1">
        <v>618000</v>
      </c>
      <c r="B2040" s="1">
        <v>961700037</v>
      </c>
      <c r="C2040" s="1" t="str">
        <f>"تخليه - ايرانشهر-کارخانه فرآوري قيري بلوچ پاسارگاد"</f>
        <v>تخليه - ايرانشهر-کارخانه فرآوري قيري بلوچ پاسارگاد</v>
      </c>
      <c r="D2040" s="1">
        <v>8904</v>
      </c>
      <c r="E2040" s="1">
        <v>618000</v>
      </c>
      <c r="F2040" s="1">
        <v>96</v>
      </c>
      <c r="G2040" s="1">
        <v>0</v>
      </c>
      <c r="H2040" s="1" t="str">
        <f>"96/05/07"</f>
        <v>96/05/07</v>
      </c>
      <c r="I2040" s="1" t="str">
        <f>"كيلوگرم"</f>
        <v>كيلوگرم</v>
      </c>
      <c r="J2040" s="1" t="str">
        <f>"0000000092"</f>
        <v>0000000092</v>
      </c>
      <c r="K2040" s="1" t="str">
        <f>"قير  PG64-16"</f>
        <v>قير  PG64-16</v>
      </c>
      <c r="L2040" s="1">
        <v>100</v>
      </c>
      <c r="M2040" s="1" t="str">
        <f>"مخازن قير اصفهان"</f>
        <v>مخازن قير اصفهان</v>
      </c>
      <c r="N2040" s="1">
        <v>8068</v>
      </c>
      <c r="O2040" s="1">
        <v>50035379</v>
      </c>
      <c r="P2040" s="1" t="str">
        <f>"  اداره كل راه وشهرسازي ايرانشهر"</f>
        <v xml:space="preserve">  اداره كل راه وشهرسازي ايرانشهر</v>
      </c>
      <c r="Q2040" s="1">
        <v>17</v>
      </c>
      <c r="R2040" s="1" t="str">
        <f>"فروش داخلي تهران - وزارت راه - راه روستايي - روکش"</f>
        <v>فروش داخلي تهران - وزارت راه - راه روستايي - روکش</v>
      </c>
      <c r="S2040" s="1" t="str">
        <f>"قرارداد فروش"</f>
        <v>قرارداد فروش</v>
      </c>
      <c r="T2040" s="1" t="str">
        <f>"ندارد"</f>
        <v>ندارد</v>
      </c>
      <c r="U2040" s="1" t="str">
        <f>"بلوچ پاسارگاد(5965002)"</f>
        <v>بلوچ پاسارگاد(5965002)</v>
      </c>
      <c r="V2040" s="1">
        <v>961700037</v>
      </c>
      <c r="W2040" s="1">
        <v>961700037</v>
      </c>
      <c r="X2040" s="1" t="str">
        <f>"1396500713"</f>
        <v>1396500713</v>
      </c>
      <c r="Y2040" s="1" t="str">
        <f>"96/05/07"</f>
        <v>96/05/07</v>
      </c>
      <c r="Z2040" s="1" t="str">
        <f>"20939/710"</f>
        <v>20939/710</v>
      </c>
      <c r="AA2040" s="1" t="str">
        <f>"راه روستائي -روكش"</f>
        <v>راه روستائي -روكش</v>
      </c>
      <c r="AB2040" s="1" t="str">
        <f>"96/05/03"</f>
        <v>96/05/03</v>
      </c>
      <c r="AC2040" s="1" t="str">
        <f>"ايرانشهر"</f>
        <v>ايرانشهر</v>
      </c>
      <c r="AD2040" s="1" t="str">
        <f>"96/05/07"</f>
        <v>96/05/07</v>
      </c>
      <c r="AE2040" s="1" t="str">
        <f>"اختتام"</f>
        <v>اختتام</v>
      </c>
      <c r="AF2040" s="1" t="str">
        <f>""</f>
        <v/>
      </c>
      <c r="AG2040" s="1" t="str">
        <f>""</f>
        <v/>
      </c>
      <c r="AH2040" s="1" t="str">
        <f>""</f>
        <v/>
      </c>
      <c r="AI2040" s="1" t="str">
        <f>""</f>
        <v/>
      </c>
      <c r="AJ2040" s="1" t="str">
        <f>""</f>
        <v/>
      </c>
      <c r="AK2040" s="1" t="str">
        <f>""</f>
        <v/>
      </c>
    </row>
    <row r="2041" spans="1:37">
      <c r="A2041" s="1">
        <v>400000</v>
      </c>
      <c r="B2041" s="1">
        <v>961700041</v>
      </c>
      <c r="C2041" s="1" t="str">
        <f>"تخليه - ايرانشهر-کارخانه فرآوري قيري بلوچ پاسارگاد"</f>
        <v>تخليه - ايرانشهر-کارخانه فرآوري قيري بلوچ پاسارگاد</v>
      </c>
      <c r="D2041" s="1">
        <v>8904</v>
      </c>
      <c r="E2041" s="1">
        <v>400000</v>
      </c>
      <c r="F2041" s="1">
        <v>96</v>
      </c>
      <c r="G2041" s="1">
        <v>0</v>
      </c>
      <c r="H2041" s="1" t="str">
        <f>"96/05/10"</f>
        <v>96/05/10</v>
      </c>
      <c r="I2041" s="1" t="str">
        <f>"كيلوگرم"</f>
        <v>كيلوگرم</v>
      </c>
      <c r="J2041" s="1" t="str">
        <f>"0000000092"</f>
        <v>0000000092</v>
      </c>
      <c r="K2041" s="1" t="str">
        <f>"قير  PG64-16"</f>
        <v>قير  PG64-16</v>
      </c>
      <c r="L2041" s="1">
        <v>100</v>
      </c>
      <c r="M2041" s="1" t="str">
        <f>"مخازن قير اصفهان"</f>
        <v>مخازن قير اصفهان</v>
      </c>
      <c r="N2041" s="1">
        <v>8068</v>
      </c>
      <c r="O2041" s="1">
        <v>50035460</v>
      </c>
      <c r="P2041" s="1" t="str">
        <f>"  اداره كل راه وشهرسازي ايرانشهر"</f>
        <v xml:space="preserve">  اداره كل راه وشهرسازي ايرانشهر</v>
      </c>
      <c r="Q2041" s="1">
        <v>17</v>
      </c>
      <c r="R2041" s="1" t="str">
        <f>"فروش داخلي تهران - وزارت راه - راه روستايي - روکش"</f>
        <v>فروش داخلي تهران - وزارت راه - راه روستايي - روکش</v>
      </c>
      <c r="S2041" s="1" t="str">
        <f>"قرارداد فروش"</f>
        <v>قرارداد فروش</v>
      </c>
      <c r="T2041" s="1" t="str">
        <f>"ندارد"</f>
        <v>ندارد</v>
      </c>
      <c r="U2041" s="1" t="str">
        <f>"بلوچ پاسارگاد(5965002)"</f>
        <v>بلوچ پاسارگاد(5965002)</v>
      </c>
      <c r="V2041" s="1">
        <v>961700041</v>
      </c>
      <c r="W2041" s="1">
        <v>961700041</v>
      </c>
      <c r="X2041" s="1" t="str">
        <f>"1396501696"</f>
        <v>1396501696</v>
      </c>
      <c r="Y2041" s="1" t="str">
        <f>"96/05/10"</f>
        <v>96/05/10</v>
      </c>
      <c r="Z2041" s="1" t="str">
        <f>"22151/710"</f>
        <v>22151/710</v>
      </c>
      <c r="AA2041" s="1" t="str">
        <f>"راه روستائي -روكش"</f>
        <v>راه روستائي -روكش</v>
      </c>
      <c r="AB2041" s="1" t="str">
        <f>"96/05/09"</f>
        <v>96/05/09</v>
      </c>
      <c r="AC2041" s="1" t="str">
        <f>"ايرانشهر"</f>
        <v>ايرانشهر</v>
      </c>
      <c r="AD2041" s="1" t="str">
        <f>"96/05/10"</f>
        <v>96/05/10</v>
      </c>
      <c r="AE2041" s="1" t="str">
        <f>"اختتام"</f>
        <v>اختتام</v>
      </c>
      <c r="AF2041" s="1" t="str">
        <f>""</f>
        <v/>
      </c>
      <c r="AG2041" s="1" t="str">
        <f>""</f>
        <v/>
      </c>
      <c r="AH2041" s="1" t="str">
        <f>""</f>
        <v/>
      </c>
      <c r="AI2041" s="1" t="str">
        <f>""</f>
        <v/>
      </c>
      <c r="AJ2041" s="1" t="str">
        <f>""</f>
        <v/>
      </c>
      <c r="AK2041" s="1" t="str">
        <f>""</f>
        <v/>
      </c>
    </row>
    <row r="2042" spans="1:37">
      <c r="A2042" s="1">
        <v>235000</v>
      </c>
      <c r="B2042" s="1">
        <v>966100006</v>
      </c>
      <c r="C2042" s="1" t="str">
        <f>"تخليه -اصفهان -جاده نيك آباد-حسن آباد-كارخانه آسفالت شركت ثمين راه صفاهان"</f>
        <v>تخليه -اصفهان -جاده نيك آباد-حسن آباد-كارخانه آسفالت شركت ثمين راه صفاهان</v>
      </c>
      <c r="D2042" s="1">
        <v>9204</v>
      </c>
      <c r="E2042" s="1">
        <v>235000</v>
      </c>
      <c r="F2042" s="1">
        <v>96</v>
      </c>
      <c r="G2042" s="1">
        <v>0</v>
      </c>
      <c r="H2042" s="1" t="str">
        <f>"96/06/07"</f>
        <v>96/06/07</v>
      </c>
      <c r="I2042" s="1" t="str">
        <f>"كيلوگرم"</f>
        <v>كيلوگرم</v>
      </c>
      <c r="J2042" s="1" t="str">
        <f>"0000000092"</f>
        <v>0000000092</v>
      </c>
      <c r="K2042" s="1" t="str">
        <f>"قير  PG64-16"</f>
        <v>قير  PG64-16</v>
      </c>
      <c r="L2042" s="1">
        <v>100</v>
      </c>
      <c r="M2042" s="1" t="str">
        <f>"مخازن قير اصفهان"</f>
        <v>مخازن قير اصفهان</v>
      </c>
      <c r="N2042" s="1">
        <v>8091</v>
      </c>
      <c r="O2042" s="1">
        <v>50035854</v>
      </c>
      <c r="P2042" s="1" t="str">
        <f>"  اداره كل راه وشهرسازي اصفهان"</f>
        <v xml:space="preserve">  اداره كل راه وشهرسازي اصفهان</v>
      </c>
      <c r="Q2042" s="1">
        <v>61</v>
      </c>
      <c r="R2042" s="1" t="str">
        <f>"فروش داخلي - وزارت راه - مسكن مهر"</f>
        <v>فروش داخلي - وزارت راه - مسكن مهر</v>
      </c>
      <c r="S2042" s="1" t="str">
        <f>"قرارداد فروش"</f>
        <v>قرارداد فروش</v>
      </c>
      <c r="T2042" s="1" t="str">
        <f>"ندارد"</f>
        <v>ندارد</v>
      </c>
      <c r="U2042" s="1" t="str">
        <f>"سيفي پور عبدالمجيد(1009ج89)"</f>
        <v>سيفي پور عبدالمجيد(1009ج89)</v>
      </c>
      <c r="V2042" s="1">
        <v>966100006</v>
      </c>
      <c r="W2042" s="1">
        <v>966100006</v>
      </c>
      <c r="X2042" s="1" t="str">
        <f>"1396508614"</f>
        <v>1396508614</v>
      </c>
      <c r="Y2042" s="1" t="str">
        <f>"96/06/07"</f>
        <v>96/06/07</v>
      </c>
      <c r="Z2042" s="1" t="str">
        <f>"27667/710"</f>
        <v>27667/710</v>
      </c>
      <c r="AA2042" s="1" t="str">
        <f>"مسكن مهر-وزارت راه"</f>
        <v>مسكن مهر-وزارت راه</v>
      </c>
      <c r="AB2042" s="1" t="str">
        <f>"96/06/06"</f>
        <v>96/06/06</v>
      </c>
      <c r="AC2042" s="1" t="str">
        <f>"استان اصفهان"</f>
        <v>استان اصفهان</v>
      </c>
      <c r="AD2042" s="1" t="str">
        <f>"96/06/07"</f>
        <v>96/06/07</v>
      </c>
      <c r="AE2042" s="1" t="str">
        <f>"اختتام"</f>
        <v>اختتام</v>
      </c>
      <c r="AF2042" s="1" t="str">
        <f>""</f>
        <v/>
      </c>
      <c r="AG2042" s="1" t="str">
        <f>""</f>
        <v/>
      </c>
      <c r="AH2042" s="1" t="str">
        <f>""</f>
        <v/>
      </c>
      <c r="AI2042" s="1" t="str">
        <f>""</f>
        <v/>
      </c>
      <c r="AJ2042" s="1" t="str">
        <f>""</f>
        <v/>
      </c>
      <c r="AK2042" s="1" t="str">
        <f>""</f>
        <v/>
      </c>
    </row>
    <row r="2043" spans="1:37">
      <c r="A2043" s="1">
        <v>50000</v>
      </c>
      <c r="B2043" s="1">
        <v>966100016</v>
      </c>
      <c r="C2043" s="1" t="str">
        <f>"تخليه - اصفهان- کارخانه آسفالت زينبيه"</f>
        <v>تخليه - اصفهان- کارخانه آسفالت زينبيه</v>
      </c>
      <c r="D2043" s="1">
        <v>9204</v>
      </c>
      <c r="E2043" s="1">
        <v>48720</v>
      </c>
      <c r="F2043" s="1">
        <v>96</v>
      </c>
      <c r="G2043" s="1">
        <v>1280</v>
      </c>
      <c r="H2043" s="1" t="str">
        <f>"96/06/07"</f>
        <v>96/06/07</v>
      </c>
      <c r="I2043" s="1" t="str">
        <f>"كيلوگرم"</f>
        <v>كيلوگرم</v>
      </c>
      <c r="J2043" s="1" t="str">
        <f>"0000000092"</f>
        <v>0000000092</v>
      </c>
      <c r="K2043" s="1" t="str">
        <f>"قير  PG64-16"</f>
        <v>قير  PG64-16</v>
      </c>
      <c r="L2043" s="1">
        <v>100</v>
      </c>
      <c r="M2043" s="1" t="str">
        <f>"مخازن قير اصفهان"</f>
        <v>مخازن قير اصفهان</v>
      </c>
      <c r="N2043" s="1">
        <v>8091</v>
      </c>
      <c r="O2043" s="1">
        <v>50035865</v>
      </c>
      <c r="P2043" s="1" t="str">
        <f>"  اداره كل راه وشهرسازي اصفهان"</f>
        <v xml:space="preserve">  اداره كل راه وشهرسازي اصفهان</v>
      </c>
      <c r="Q2043" s="1">
        <v>61</v>
      </c>
      <c r="R2043" s="1" t="str">
        <f>"فروش داخلي - وزارت راه - مسكن مهر"</f>
        <v>فروش داخلي - وزارت راه - مسكن مهر</v>
      </c>
      <c r="S2043" s="1" t="str">
        <f>"قرارداد فروش"</f>
        <v>قرارداد فروش</v>
      </c>
      <c r="T2043" s="1" t="str">
        <f>"ندارد"</f>
        <v>ندارد</v>
      </c>
      <c r="U2043" s="1" t="str">
        <f>"ريسماني حسن(1007ج89)"</f>
        <v>ريسماني حسن(1007ج89)</v>
      </c>
      <c r="V2043" s="1">
        <v>966100016</v>
      </c>
      <c r="W2043" s="1">
        <v>966100016</v>
      </c>
      <c r="X2043" s="1" t="str">
        <f>"1396508614"</f>
        <v>1396508614</v>
      </c>
      <c r="Y2043" s="1" t="str">
        <f>"96/06/07"</f>
        <v>96/06/07</v>
      </c>
      <c r="Z2043" s="1" t="str">
        <f>"27660/710"</f>
        <v>27660/710</v>
      </c>
      <c r="AA2043" s="1" t="str">
        <f>"مسكن مهر-وزارت راه"</f>
        <v>مسكن مهر-وزارت راه</v>
      </c>
      <c r="AB2043" s="1" t="str">
        <f>"96/06/06"</f>
        <v>96/06/06</v>
      </c>
      <c r="AC2043" s="1" t="str">
        <f>"استان اصفهان"</f>
        <v>استان اصفهان</v>
      </c>
      <c r="AD2043" s="1" t="str">
        <f>"96/06/07"</f>
        <v>96/06/07</v>
      </c>
      <c r="AE2043" s="1" t="str">
        <f>"اختتام"</f>
        <v>اختتام</v>
      </c>
      <c r="AF2043" s="1" t="str">
        <f>""</f>
        <v/>
      </c>
      <c r="AG2043" s="1" t="str">
        <f>""</f>
        <v/>
      </c>
      <c r="AH2043" s="1" t="str">
        <f>""</f>
        <v/>
      </c>
      <c r="AI2043" s="1" t="str">
        <f>""</f>
        <v/>
      </c>
      <c r="AJ2043" s="1" t="str">
        <f>""</f>
        <v/>
      </c>
      <c r="AK2043" s="1" t="str">
        <f>""</f>
        <v/>
      </c>
    </row>
    <row r="2044" spans="1:37">
      <c r="A2044" s="1">
        <v>61000</v>
      </c>
      <c r="B2044" s="1">
        <v>961700185</v>
      </c>
      <c r="C2044" s="1" t="str">
        <f>"تخليه - اصفهان -کارخانه شرکت گل راه نقش جهان"</f>
        <v>تخليه - اصفهان -کارخانه شرکت گل راه نقش جهان</v>
      </c>
      <c r="D2044" s="1">
        <v>14000</v>
      </c>
      <c r="E2044" s="1">
        <v>61000</v>
      </c>
      <c r="F2044" s="1">
        <v>96</v>
      </c>
      <c r="G2044" s="1">
        <v>0</v>
      </c>
      <c r="H2044" s="1" t="str">
        <f>"96/12/22"</f>
        <v>96/12/22</v>
      </c>
      <c r="I2044" s="1" t="str">
        <f>"كيلوگرم"</f>
        <v>كيلوگرم</v>
      </c>
      <c r="J2044" s="1" t="str">
        <f>"0000000092"</f>
        <v>0000000092</v>
      </c>
      <c r="K2044" s="1" t="str">
        <f>"قير  PG64-16"</f>
        <v>قير  PG64-16</v>
      </c>
      <c r="L2044" s="1">
        <v>100</v>
      </c>
      <c r="M2044" s="1" t="str">
        <f>"مخازن قير اصفهان"</f>
        <v>مخازن قير اصفهان</v>
      </c>
      <c r="N2044" s="1">
        <v>8091</v>
      </c>
      <c r="O2044" s="1">
        <v>50038910</v>
      </c>
      <c r="P2044" s="1" t="str">
        <f>"  اداره كل راه وشهرسازي اصفهان"</f>
        <v xml:space="preserve">  اداره كل راه وشهرسازي اصفهان</v>
      </c>
      <c r="Q2044" s="1">
        <v>17</v>
      </c>
      <c r="R2044" s="1" t="str">
        <f>"فروش داخلي تهران - وزارت راه - راه روستايي - روکش"</f>
        <v>فروش داخلي تهران - وزارت راه - راه روستايي - روکش</v>
      </c>
      <c r="S2044" s="1" t="str">
        <f>"قرارداد فروش"</f>
        <v>قرارداد فروش</v>
      </c>
      <c r="T2044" s="1" t="str">
        <f>"ندارد"</f>
        <v>ندارد</v>
      </c>
      <c r="U2044" s="1" t="str">
        <f>"علي عابدي ابوالقاسم(1003ج89)"</f>
        <v>علي عابدي ابوالقاسم(1003ج89)</v>
      </c>
      <c r="V2044" s="1">
        <v>961700185</v>
      </c>
      <c r="W2044" s="1">
        <v>961700185</v>
      </c>
      <c r="X2044" s="1" t="str">
        <f>"1396553913"</f>
        <v>1396553913</v>
      </c>
      <c r="Y2044" s="1" t="str">
        <f>"96/12/22"</f>
        <v>96/12/22</v>
      </c>
      <c r="Z2044" s="1" t="str">
        <f>"284110/710"</f>
        <v>284110/710</v>
      </c>
      <c r="AA2044" s="1" t="str">
        <f>"راه روستائي -روكش"</f>
        <v>راه روستائي -روكش</v>
      </c>
      <c r="AB2044" s="1" t="str">
        <f>"96/11/17"</f>
        <v>96/11/17</v>
      </c>
      <c r="AC2044" s="1" t="str">
        <f>"استان اصفهان"</f>
        <v>استان اصفهان</v>
      </c>
      <c r="AD2044" s="1" t="str">
        <f>"96/12/20"</f>
        <v>96/12/20</v>
      </c>
      <c r="AE2044" s="1" t="str">
        <f>"اختتام"</f>
        <v>اختتام</v>
      </c>
      <c r="AF2044" s="1" t="str">
        <f>""</f>
        <v/>
      </c>
      <c r="AG2044" s="1" t="str">
        <f>""</f>
        <v/>
      </c>
      <c r="AH2044" s="1" t="str">
        <f>""</f>
        <v/>
      </c>
      <c r="AI2044" s="1" t="str">
        <f>""</f>
        <v/>
      </c>
      <c r="AJ2044" s="1" t="str">
        <f>""</f>
        <v/>
      </c>
      <c r="AK2044" s="1" t="str">
        <f>""</f>
        <v/>
      </c>
    </row>
    <row r="2045" spans="1:37">
      <c r="A2045" s="1">
        <v>38000</v>
      </c>
      <c r="B2045" s="1">
        <v>961700204</v>
      </c>
      <c r="C2045" s="1" t="str">
        <f>"تخليه-شهرک صنعتي اشترجان خيابان 12 شرکت راه آژند"</f>
        <v>تخليه-شهرک صنعتي اشترجان خيابان 12 شرکت راه آژند</v>
      </c>
      <c r="D2045" s="1">
        <v>13100</v>
      </c>
      <c r="E2045" s="1">
        <v>37340</v>
      </c>
      <c r="F2045" s="1">
        <v>96</v>
      </c>
      <c r="G2045" s="1">
        <v>660</v>
      </c>
      <c r="H2045" s="1" t="str">
        <f>"96/12/23"</f>
        <v>96/12/23</v>
      </c>
      <c r="I2045" s="1" t="str">
        <f>"كيلوگرم"</f>
        <v>كيلوگرم</v>
      </c>
      <c r="J2045" s="1" t="str">
        <f>"0000000092"</f>
        <v>0000000092</v>
      </c>
      <c r="K2045" s="1" t="str">
        <f>"قير  PG64-16"</f>
        <v>قير  PG64-16</v>
      </c>
      <c r="L2045" s="1">
        <v>100</v>
      </c>
      <c r="M2045" s="1" t="str">
        <f>"مخازن قير اصفهان"</f>
        <v>مخازن قير اصفهان</v>
      </c>
      <c r="N2045" s="1">
        <v>8091</v>
      </c>
      <c r="O2045" s="1">
        <v>50038942</v>
      </c>
      <c r="P2045" s="1" t="str">
        <f>"  اداره كل راه وشهرسازي اصفهان"</f>
        <v xml:space="preserve">  اداره كل راه وشهرسازي اصفهان</v>
      </c>
      <c r="Q2045" s="1">
        <v>17</v>
      </c>
      <c r="R2045" s="1" t="str">
        <f>"فروش داخلي تهران - وزارت راه - راه روستايي - روکش"</f>
        <v>فروش داخلي تهران - وزارت راه - راه روستايي - روکش</v>
      </c>
      <c r="S2045" s="1" t="str">
        <f>"قرارداد فروش"</f>
        <v>قرارداد فروش</v>
      </c>
      <c r="T2045" s="1" t="str">
        <f>"ندارد"</f>
        <v>ندارد</v>
      </c>
      <c r="U2045" s="1" t="str">
        <f>"سيفي پور عبدالمجيد(1009ج89)"</f>
        <v>سيفي پور عبدالمجيد(1009ج89)</v>
      </c>
      <c r="V2045" s="1">
        <v>961700204</v>
      </c>
      <c r="W2045" s="1">
        <v>961700204</v>
      </c>
      <c r="X2045" s="1" t="str">
        <f>"1396553913"</f>
        <v>1396553913</v>
      </c>
      <c r="Y2045" s="1" t="str">
        <f>"96/12/23"</f>
        <v>96/12/23</v>
      </c>
      <c r="Z2045" s="1" t="str">
        <f>"287402/710"</f>
        <v>287402/710</v>
      </c>
      <c r="AA2045" s="1" t="str">
        <f>"راه روستائي -روكش"</f>
        <v>راه روستائي -روكش</v>
      </c>
      <c r="AB2045" s="1" t="str">
        <f>"96/11/28"</f>
        <v>96/11/28</v>
      </c>
      <c r="AC2045" s="1" t="str">
        <f>"استان اصفهان"</f>
        <v>استان اصفهان</v>
      </c>
      <c r="AD2045" s="1" t="str">
        <f>"96/12/20"</f>
        <v>96/12/20</v>
      </c>
      <c r="AE2045" s="1" t="str">
        <f>"اختتام"</f>
        <v>اختتام</v>
      </c>
      <c r="AF2045" s="1" t="str">
        <f>""</f>
        <v/>
      </c>
      <c r="AG2045" s="1" t="str">
        <f>""</f>
        <v/>
      </c>
      <c r="AH2045" s="1" t="str">
        <f>""</f>
        <v/>
      </c>
      <c r="AI2045" s="1" t="str">
        <f>""</f>
        <v/>
      </c>
      <c r="AJ2045" s="1" t="str">
        <f>""</f>
        <v/>
      </c>
      <c r="AK2045" s="1" t="str">
        <f>""</f>
        <v/>
      </c>
    </row>
    <row r="2046" spans="1:37">
      <c r="A2046" s="1">
        <v>96000</v>
      </c>
      <c r="B2046" s="1">
        <v>961700250</v>
      </c>
      <c r="C2046" s="1" t="str">
        <f>"تخليه -اصفهان- بعد از شهرک صنعتي مبارکه جاده پلي اکريل جنب کارخانه پلي اکريل کارخانه آسفالت شرکت اصفهان بتن راه"</f>
        <v>تخليه -اصفهان- بعد از شهرک صنعتي مبارکه جاده پلي اکريل جنب کارخانه پلي اکريل کارخانه آسفالت شرکت اصفهان بتن راه</v>
      </c>
      <c r="D2046" s="1">
        <v>14000</v>
      </c>
      <c r="E2046" s="1">
        <v>91920</v>
      </c>
      <c r="F2046" s="1">
        <v>96</v>
      </c>
      <c r="G2046" s="1">
        <v>4080</v>
      </c>
      <c r="H2046" s="1" t="str">
        <f>"96/12/26"</f>
        <v>96/12/26</v>
      </c>
      <c r="I2046" s="1" t="str">
        <f>"كيلوگرم"</f>
        <v>كيلوگرم</v>
      </c>
      <c r="J2046" s="1" t="str">
        <f>"0000000092"</f>
        <v>0000000092</v>
      </c>
      <c r="K2046" s="1" t="str">
        <f>"قير  PG64-16"</f>
        <v>قير  PG64-16</v>
      </c>
      <c r="L2046" s="1">
        <v>100</v>
      </c>
      <c r="M2046" s="1" t="str">
        <f>"مخازن قير اصفهان"</f>
        <v>مخازن قير اصفهان</v>
      </c>
      <c r="N2046" s="1">
        <v>8091</v>
      </c>
      <c r="O2046" s="1">
        <v>50039047</v>
      </c>
      <c r="P2046" s="1" t="str">
        <f>"  اداره كل راه وشهرسازي اصفهان"</f>
        <v xml:space="preserve">  اداره كل راه وشهرسازي اصفهان</v>
      </c>
      <c r="Q2046" s="1">
        <v>17</v>
      </c>
      <c r="R2046" s="1" t="str">
        <f>"فروش داخلي تهران - وزارت راه - راه روستايي - روکش"</f>
        <v>فروش داخلي تهران - وزارت راه - راه روستايي - روکش</v>
      </c>
      <c r="S2046" s="1" t="str">
        <f>"قرارداد فروش"</f>
        <v>قرارداد فروش</v>
      </c>
      <c r="T2046" s="1" t="str">
        <f>"ندارد"</f>
        <v>ندارد</v>
      </c>
      <c r="U2046" s="1" t="str">
        <f>"ريسماني حسن(1007ج89)"</f>
        <v>ريسماني حسن(1007ج89)</v>
      </c>
      <c r="V2046" s="1">
        <v>961700250</v>
      </c>
      <c r="W2046" s="1">
        <v>961700250</v>
      </c>
      <c r="X2046" s="1" t="str">
        <f>"1396553913"</f>
        <v>1396553913</v>
      </c>
      <c r="Y2046" s="1" t="str">
        <f>"96/12/26"</f>
        <v>96/12/26</v>
      </c>
      <c r="Z2046" s="1" t="str">
        <f>"286924/710"</f>
        <v>286924/710</v>
      </c>
      <c r="AA2046" s="1" t="str">
        <f>"راه روستائي -روكش"</f>
        <v>راه روستائي -روكش</v>
      </c>
      <c r="AB2046" s="1" t="str">
        <f>"96/11/25"</f>
        <v>96/11/25</v>
      </c>
      <c r="AC2046" s="1" t="str">
        <f>"استان اصفهان"</f>
        <v>استان اصفهان</v>
      </c>
      <c r="AD2046" s="1" t="str">
        <f>"96/12/20"</f>
        <v>96/12/20</v>
      </c>
      <c r="AE2046" s="1" t="str">
        <f>"اختتام"</f>
        <v>اختتام</v>
      </c>
      <c r="AF2046" s="1" t="str">
        <f>""</f>
        <v/>
      </c>
      <c r="AG2046" s="1" t="str">
        <f>""</f>
        <v/>
      </c>
      <c r="AH2046" s="1" t="str">
        <f>""</f>
        <v/>
      </c>
      <c r="AI2046" s="1" t="str">
        <f>""</f>
        <v/>
      </c>
      <c r="AJ2046" s="1" t="str">
        <f>""</f>
        <v/>
      </c>
      <c r="AK2046" s="1" t="str">
        <f>""</f>
        <v/>
      </c>
    </row>
    <row r="2047" spans="1:37">
      <c r="A2047" s="1">
        <v>900000</v>
      </c>
      <c r="B2047" s="1">
        <v>961800017</v>
      </c>
      <c r="C2047" s="1" t="str">
        <f>"تخليه - خراسان جنوبي-پروژه احداث باند دوم بيرجند -زاهدان-کارخانه راه پويان شريعت"</f>
        <v>تخليه - خراسان جنوبي-پروژه احداث باند دوم بيرجند -زاهدان-کارخانه راه پويان شريعت</v>
      </c>
      <c r="D2047" s="1">
        <v>9204</v>
      </c>
      <c r="E2047" s="1">
        <v>899600</v>
      </c>
      <c r="F2047" s="1">
        <v>96</v>
      </c>
      <c r="G2047" s="1">
        <v>400</v>
      </c>
      <c r="H2047" s="1" t="str">
        <f>"96/05/03"</f>
        <v>96/05/03</v>
      </c>
      <c r="I2047" s="1" t="str">
        <f>"كيلوگرم"</f>
        <v>كيلوگرم</v>
      </c>
      <c r="J2047" s="1" t="str">
        <f>"0000000092"</f>
        <v>0000000092</v>
      </c>
      <c r="K2047" s="1" t="str">
        <f>"قير  PG64-16"</f>
        <v>قير  PG64-16</v>
      </c>
      <c r="L2047" s="1">
        <v>100</v>
      </c>
      <c r="M2047" s="1" t="str">
        <f>"مخازن قير اصفهان"</f>
        <v>مخازن قير اصفهان</v>
      </c>
      <c r="N2047" s="1">
        <v>8325</v>
      </c>
      <c r="O2047" s="1">
        <v>50035328</v>
      </c>
      <c r="P2047" s="1" t="str">
        <f>"  راه پويان شريعت"</f>
        <v xml:space="preserve">  راه پويان شريعت</v>
      </c>
      <c r="Q2047" s="1">
        <v>18</v>
      </c>
      <c r="R2047" s="1" t="str">
        <f>"فروش داخلي تهران - وزارت راه - شرکت ساخت و توسعه راهها"</f>
        <v>فروش داخلي تهران - وزارت راه - شرکت ساخت و توسعه راهها</v>
      </c>
      <c r="S2047" s="1" t="str">
        <f>"قرارداد فروش"</f>
        <v>قرارداد فروش</v>
      </c>
      <c r="T2047" s="1" t="str">
        <f>"ندارد"</f>
        <v>ندارد</v>
      </c>
      <c r="U2047" s="1" t="str">
        <f>"نظام دوست امين (1911102)"</f>
        <v>نظام دوست امين (1911102)</v>
      </c>
      <c r="V2047" s="1">
        <v>961800017</v>
      </c>
      <c r="W2047" s="1">
        <v>961800017</v>
      </c>
      <c r="X2047" s="1" t="str">
        <f>"1396499654"</f>
        <v>1396499654</v>
      </c>
      <c r="Y2047" s="1" t="str">
        <f>"96/05/03"</f>
        <v>96/05/03</v>
      </c>
      <c r="Z2047" s="1" t="str">
        <f>"18986/710"</f>
        <v>18986/710</v>
      </c>
      <c r="AA2047" s="1" t="str">
        <f>"شركت  ساخت وتوسعه راهها"</f>
        <v>شركت  ساخت وتوسعه راهها</v>
      </c>
      <c r="AB2047" s="1" t="str">
        <f>"96/04/26"</f>
        <v>96/04/26</v>
      </c>
      <c r="AC2047" s="1" t="str">
        <f>"خراسان جنوبي"</f>
        <v>خراسان جنوبي</v>
      </c>
      <c r="AD2047" s="1" t="str">
        <f>"96/05/03"</f>
        <v>96/05/03</v>
      </c>
      <c r="AE2047" s="1" t="str">
        <f>"اختتام"</f>
        <v>اختتام</v>
      </c>
      <c r="AF2047" s="1" t="str">
        <f>""</f>
        <v/>
      </c>
      <c r="AG2047" s="1" t="str">
        <f>""</f>
        <v/>
      </c>
      <c r="AH2047" s="1" t="str">
        <f>""</f>
        <v/>
      </c>
      <c r="AI2047" s="1" t="str">
        <f>""</f>
        <v/>
      </c>
      <c r="AJ2047" s="1" t="str">
        <f>""</f>
        <v/>
      </c>
      <c r="AK2047" s="1" t="str">
        <f>""</f>
        <v/>
      </c>
    </row>
    <row r="2048" spans="1:37">
      <c r="A2048" s="1">
        <v>24000</v>
      </c>
      <c r="B2048" s="1">
        <v>966200457</v>
      </c>
      <c r="C2048" s="1" t="str">
        <f>"تخليه -ايلام سرابله سه راهي كارزان كارخانه سيمان -كارخانه آسفالت شركت خردادراه ساز"</f>
        <v>تخليه -ايلام سرابله سه راهي كارزان كارخانه سيمان -كارخانه آسفالت شركت خردادراه ساز</v>
      </c>
      <c r="D2048" s="1">
        <v>12970</v>
      </c>
      <c r="E2048" s="1">
        <v>22920</v>
      </c>
      <c r="F2048" s="1">
        <v>96</v>
      </c>
      <c r="G2048" s="1">
        <v>1080</v>
      </c>
      <c r="H2048" s="1" t="str">
        <f>"96/09/26"</f>
        <v>96/09/26</v>
      </c>
      <c r="I2048" s="1" t="str">
        <f>"كيلوگرم"</f>
        <v>كيلوگرم</v>
      </c>
      <c r="J2048" s="1" t="str">
        <f>"0000000092"</f>
        <v>0000000092</v>
      </c>
      <c r="K2048" s="1" t="str">
        <f>"قير  PG64-16"</f>
        <v>قير  PG64-16</v>
      </c>
      <c r="L2048" s="1">
        <v>100</v>
      </c>
      <c r="M2048" s="1" t="str">
        <f>"مخازن قير اصفهان"</f>
        <v>مخازن قير اصفهان</v>
      </c>
      <c r="N2048" s="1">
        <v>8597</v>
      </c>
      <c r="O2048" s="1">
        <v>50037888</v>
      </c>
      <c r="P2048" s="1" t="str">
        <f>"  خرداد راه ساز ايلام"</f>
        <v xml:space="preserve">  خرداد راه ساز ايلام</v>
      </c>
      <c r="Q2048" s="1">
        <v>62</v>
      </c>
      <c r="R2048" s="1" t="str">
        <f>"فروش داخلي - سازمان بنيادمسكن انقلاب اسلامي"</f>
        <v>فروش داخلي - سازمان بنيادمسكن انقلاب اسلامي</v>
      </c>
      <c r="S2048" s="1" t="str">
        <f>"قرارداد فروش"</f>
        <v>قرارداد فروش</v>
      </c>
      <c r="T2048" s="1" t="str">
        <f>"ندارد"</f>
        <v>ندارد</v>
      </c>
      <c r="U2048" s="1" t="str">
        <f>"عظيمي محمد(2842015)"</f>
        <v>عظيمي محمد(2842015)</v>
      </c>
      <c r="V2048" s="1">
        <v>966200457</v>
      </c>
      <c r="W2048" s="1">
        <v>966200457</v>
      </c>
      <c r="X2048" s="1" t="str">
        <f>"1396532938"</f>
        <v>1396532938</v>
      </c>
      <c r="Y2048" s="1" t="str">
        <f>"96/09/26"</f>
        <v>96/09/26</v>
      </c>
      <c r="Z2048" s="1" t="str">
        <f>"42284/د"</f>
        <v>42284/د</v>
      </c>
      <c r="AA2048" s="1" t="str">
        <f>"بنيادمسكن انقلاب اسلامي"</f>
        <v>بنيادمسكن انقلاب اسلامي</v>
      </c>
      <c r="AB2048" s="1" t="str">
        <f>"96/09/25"</f>
        <v>96/09/25</v>
      </c>
      <c r="AC2048" s="1" t="str">
        <f>"استان ايلام"</f>
        <v>استان ايلام</v>
      </c>
      <c r="AD2048" s="1" t="str">
        <f>"96/09/26"</f>
        <v>96/09/26</v>
      </c>
      <c r="AE2048" s="1" t="str">
        <f>"اختتام"</f>
        <v>اختتام</v>
      </c>
      <c r="AF2048" s="1" t="str">
        <f>""</f>
        <v/>
      </c>
      <c r="AG2048" s="1" t="str">
        <f>""</f>
        <v/>
      </c>
      <c r="AH2048" s="1" t="str">
        <f>""</f>
        <v/>
      </c>
      <c r="AI2048" s="1" t="str">
        <f>""</f>
        <v/>
      </c>
      <c r="AJ2048" s="1" t="str">
        <f>""</f>
        <v/>
      </c>
      <c r="AK2048" s="1" t="str">
        <f>""</f>
        <v/>
      </c>
    </row>
    <row r="2049" spans="1:37">
      <c r="A2049" s="1">
        <v>93000</v>
      </c>
      <c r="B2049" s="1">
        <v>966200135</v>
      </c>
      <c r="C2049" s="1" t="str">
        <f>"تخليه-ايلام-جاده ايلام-بدره-کارخانه آسفالت شرکت ايلام راهبان"</f>
        <v>تخليه-ايلام-جاده ايلام-بدره-کارخانه آسفالت شرکت ايلام راهبان</v>
      </c>
      <c r="D2049" s="1">
        <v>8854</v>
      </c>
      <c r="E2049" s="1">
        <v>91520</v>
      </c>
      <c r="F2049" s="1">
        <v>96</v>
      </c>
      <c r="G2049" s="1">
        <v>1480</v>
      </c>
      <c r="H2049" s="1" t="str">
        <f>"96/04/22"</f>
        <v>96/04/22</v>
      </c>
      <c r="I2049" s="1" t="str">
        <f>"كيلوگرم"</f>
        <v>كيلوگرم</v>
      </c>
      <c r="J2049" s="1" t="str">
        <f>"0000000092"</f>
        <v>0000000092</v>
      </c>
      <c r="K2049" s="1" t="str">
        <f>"قير  PG64-16"</f>
        <v>قير  PG64-16</v>
      </c>
      <c r="L2049" s="1">
        <v>100</v>
      </c>
      <c r="M2049" s="1" t="str">
        <f>"مخازن قير اصفهان"</f>
        <v>مخازن قير اصفهان</v>
      </c>
      <c r="N2049" s="1">
        <v>9296</v>
      </c>
      <c r="O2049" s="1">
        <v>50035197</v>
      </c>
      <c r="P2049" s="1" t="str">
        <f>"  ايلام راه بان"</f>
        <v xml:space="preserve">  ايلام راه بان</v>
      </c>
      <c r="Q2049" s="1">
        <v>62</v>
      </c>
      <c r="R2049" s="1" t="str">
        <f>"فروش داخلي - سازمان بنيادمسكن انقلاب اسلامي"</f>
        <v>فروش داخلي - سازمان بنيادمسكن انقلاب اسلامي</v>
      </c>
      <c r="S2049" s="1" t="str">
        <f>"قرارداد فروش"</f>
        <v>قرارداد فروش</v>
      </c>
      <c r="T2049" s="1" t="str">
        <f>"ندارد"</f>
        <v>ندارد</v>
      </c>
      <c r="U2049" s="1" t="str">
        <f>"عظيمي محمد(2842015)"</f>
        <v>عظيمي محمد(2842015)</v>
      </c>
      <c r="V2049" s="1">
        <v>966200135</v>
      </c>
      <c r="W2049" s="1">
        <v>966200135</v>
      </c>
      <c r="X2049" s="1" t="str">
        <f>"1396496309"</f>
        <v>1396496309</v>
      </c>
      <c r="Y2049" s="1" t="str">
        <f>"96/04/22"</f>
        <v>96/04/22</v>
      </c>
      <c r="Z2049" s="1" t="str">
        <f>"15789/د"</f>
        <v>15789/د</v>
      </c>
      <c r="AA2049" s="1" t="str">
        <f>"بنيادمسكن انقلاب اسلامي"</f>
        <v>بنيادمسكن انقلاب اسلامي</v>
      </c>
      <c r="AB2049" s="1" t="str">
        <f>"96/04/20"</f>
        <v>96/04/20</v>
      </c>
      <c r="AC2049" s="1" t="str">
        <f>"استان ايلام"</f>
        <v>استان ايلام</v>
      </c>
      <c r="AD2049" s="1" t="str">
        <f>"96/04/21"</f>
        <v>96/04/21</v>
      </c>
      <c r="AE2049" s="1" t="str">
        <f>"اختتام"</f>
        <v>اختتام</v>
      </c>
      <c r="AF2049" s="1" t="str">
        <f>""</f>
        <v/>
      </c>
      <c r="AG2049" s="1" t="str">
        <f>""</f>
        <v/>
      </c>
      <c r="AH2049" s="1" t="str">
        <f>""</f>
        <v/>
      </c>
      <c r="AI2049" s="1" t="str">
        <f>""</f>
        <v/>
      </c>
      <c r="AJ2049" s="1" t="str">
        <f>""</f>
        <v/>
      </c>
      <c r="AK2049" s="1" t="str">
        <f>""</f>
        <v/>
      </c>
    </row>
    <row r="2050" spans="1:37">
      <c r="A2050" s="1">
        <v>349000</v>
      </c>
      <c r="B2050" s="1">
        <v>966100005</v>
      </c>
      <c r="C2050" s="1" t="str">
        <f>"تخليه-مبارکه-روبروي شهر طالخونچه-منطقه صنعتي امير کبير-کارخانه آسفالت نويدنورسپاهان"</f>
        <v>تخليه-مبارکه-روبروي شهر طالخونچه-منطقه صنعتي امير کبير-کارخانه آسفالت نويدنورسپاهان</v>
      </c>
      <c r="D2050" s="1">
        <v>9363</v>
      </c>
      <c r="E2050" s="1">
        <v>348780</v>
      </c>
      <c r="F2050" s="1">
        <v>96</v>
      </c>
      <c r="G2050" s="1">
        <v>220</v>
      </c>
      <c r="H2050" s="1" t="str">
        <f>"96/06/05"</f>
        <v>96/06/05</v>
      </c>
      <c r="I2050" s="1" t="str">
        <f>"كيلوگرم"</f>
        <v>كيلوگرم</v>
      </c>
      <c r="J2050" s="1" t="str">
        <f>"0000000092"</f>
        <v>0000000092</v>
      </c>
      <c r="K2050" s="1" t="str">
        <f>"قير  PG64-16"</f>
        <v>قير  PG64-16</v>
      </c>
      <c r="L2050" s="1">
        <v>100</v>
      </c>
      <c r="M2050" s="1" t="str">
        <f>"مخازن قير اصفهان"</f>
        <v>مخازن قير اصفهان</v>
      </c>
      <c r="N2050" s="1">
        <v>10497</v>
      </c>
      <c r="O2050" s="1">
        <v>50035816</v>
      </c>
      <c r="P2050" s="1" t="str">
        <f>"  نويدنورسپاهان"</f>
        <v xml:space="preserve">  نويدنورسپاهان</v>
      </c>
      <c r="Q2050" s="1">
        <v>61</v>
      </c>
      <c r="R2050" s="1" t="str">
        <f>"فروش داخلي - وزارت راه - مسكن مهر"</f>
        <v>فروش داخلي - وزارت راه - مسكن مهر</v>
      </c>
      <c r="S2050" s="1" t="str">
        <f>"قرارداد فروش"</f>
        <v>قرارداد فروش</v>
      </c>
      <c r="T2050" s="1" t="str">
        <f>"ندارد"</f>
        <v>ندارد</v>
      </c>
      <c r="U2050" s="1" t="str">
        <f>"شهبازي محمدرضا(1029ج89)"</f>
        <v>شهبازي محمدرضا(1029ج89)</v>
      </c>
      <c r="V2050" s="1">
        <v>966100005</v>
      </c>
      <c r="W2050" s="1">
        <v>966100005</v>
      </c>
      <c r="X2050" s="1" t="str">
        <f>"1396508154"</f>
        <v>1396508154</v>
      </c>
      <c r="Y2050" s="1" t="str">
        <f>"96/06/05"</f>
        <v>96/06/05</v>
      </c>
      <c r="Z2050" s="1" t="str">
        <f>"26335/710"</f>
        <v>26335/710</v>
      </c>
      <c r="AA2050" s="1" t="str">
        <f>"مسكن مهر-وزارت راه"</f>
        <v>مسكن مهر-وزارت راه</v>
      </c>
      <c r="AB2050" s="1" t="str">
        <f>"96/05/30"</f>
        <v>96/05/30</v>
      </c>
      <c r="AC2050" s="1" t="str">
        <f>"استان اصفهان"</f>
        <v>استان اصفهان</v>
      </c>
      <c r="AD2050" s="1" t="str">
        <f>"96/06/05"</f>
        <v>96/06/05</v>
      </c>
      <c r="AE2050" s="1" t="str">
        <f>"اختتام"</f>
        <v>اختتام</v>
      </c>
      <c r="AF2050" s="1" t="str">
        <f>""</f>
        <v/>
      </c>
      <c r="AG2050" s="1" t="str">
        <f>""</f>
        <v/>
      </c>
      <c r="AH2050" s="1" t="str">
        <f>""</f>
        <v/>
      </c>
      <c r="AI2050" s="1" t="str">
        <f>""</f>
        <v/>
      </c>
      <c r="AJ2050" s="1" t="str">
        <f>""</f>
        <v/>
      </c>
      <c r="AK2050" s="1" t="str">
        <f>""</f>
        <v/>
      </c>
    </row>
    <row r="2051" spans="1:37">
      <c r="A2051" s="1">
        <v>300000</v>
      </c>
      <c r="B2051" s="1">
        <v>961600006</v>
      </c>
      <c r="C2051" s="1" t="str">
        <f>"تخليه-ايلام-جاده بدره-نرسيده به روستاي جابر-کارخانه آسفالت ايلام راه بان"</f>
        <v>تخليه-ايلام-جاده بدره-نرسيده به روستاي جابر-کارخانه آسفالت ايلام راه بان</v>
      </c>
      <c r="D2051" s="1">
        <v>8904</v>
      </c>
      <c r="E2051" s="1">
        <v>299540</v>
      </c>
      <c r="F2051" s="1">
        <v>96</v>
      </c>
      <c r="G2051" s="1">
        <v>460</v>
      </c>
      <c r="H2051" s="1" t="str">
        <f>"96/04/20"</f>
        <v>96/04/20</v>
      </c>
      <c r="I2051" s="1" t="str">
        <f>"كيلوگرم"</f>
        <v>كيلوگرم</v>
      </c>
      <c r="J2051" s="1" t="str">
        <f>"0000000092"</f>
        <v>0000000092</v>
      </c>
      <c r="K2051" s="1" t="str">
        <f>"قير  PG64-16"</f>
        <v>قير  PG64-16</v>
      </c>
      <c r="L2051" s="1">
        <v>100</v>
      </c>
      <c r="M2051" s="1" t="str">
        <f>"مخازن قير اصفهان"</f>
        <v>مخازن قير اصفهان</v>
      </c>
      <c r="N2051" s="1">
        <v>10924</v>
      </c>
      <c r="O2051" s="1">
        <v>50035169</v>
      </c>
      <c r="P2051" s="1" t="str">
        <f>"  پرتو افشان خرم"</f>
        <v xml:space="preserve">  پرتو افشان خرم</v>
      </c>
      <c r="Q2051" s="1">
        <v>16</v>
      </c>
      <c r="R2051" s="1" t="str">
        <f>"فروش داخلي تهران - وزارت راه - معاونت اقتصاد"</f>
        <v>فروش داخلي تهران - وزارت راه - معاونت اقتصاد</v>
      </c>
      <c r="S2051" s="1" t="str">
        <f>"قرارداد فروش"</f>
        <v>قرارداد فروش</v>
      </c>
      <c r="T2051" s="1" t="str">
        <f>"ندارد"</f>
        <v>ندارد</v>
      </c>
      <c r="U2051" s="1" t="str">
        <f>"عظيمي محمد(2842015)"</f>
        <v>عظيمي محمد(2842015)</v>
      </c>
      <c r="V2051" s="1">
        <v>961600006</v>
      </c>
      <c r="W2051" s="1">
        <v>961600006</v>
      </c>
      <c r="X2051" s="1" t="str">
        <f>"1396495476"</f>
        <v>1396495476</v>
      </c>
      <c r="Y2051" s="1" t="str">
        <f>"96/04/20"</f>
        <v>96/04/20</v>
      </c>
      <c r="Z2051" s="1" t="str">
        <f>"16949/710"</f>
        <v>16949/710</v>
      </c>
      <c r="AA2051" s="1" t="str">
        <f>"معاونت اقتصادوزارت راه وشهرسازي"</f>
        <v>معاونت اقتصادوزارت راه وشهرسازي</v>
      </c>
      <c r="AB2051" s="1" t="str">
        <f>"96/04/17"</f>
        <v>96/04/17</v>
      </c>
      <c r="AC2051" s="1" t="str">
        <f>"استان ايلام"</f>
        <v>استان ايلام</v>
      </c>
      <c r="AD2051" s="1" t="str">
        <f>"96/04/20"</f>
        <v>96/04/20</v>
      </c>
      <c r="AE2051" s="1" t="str">
        <f>"اختتام"</f>
        <v>اختتام</v>
      </c>
      <c r="AF2051" s="1" t="str">
        <f>""</f>
        <v/>
      </c>
      <c r="AG2051" s="1" t="str">
        <f>""</f>
        <v/>
      </c>
      <c r="AH2051" s="1" t="str">
        <f>""</f>
        <v/>
      </c>
      <c r="AI2051" s="1" t="str">
        <f>""</f>
        <v/>
      </c>
      <c r="AJ2051" s="1" t="str">
        <f>""</f>
        <v/>
      </c>
      <c r="AK2051" s="1" t="str">
        <f>""</f>
        <v/>
      </c>
    </row>
    <row r="2052" spans="1:37">
      <c r="A2052" s="1">
        <v>700000</v>
      </c>
      <c r="B2052" s="1">
        <v>961900068</v>
      </c>
      <c r="C2052" s="1" t="str">
        <f>"تخليه هرمزگان حاجي آباددوراهي گهكم به سمت داراب كارخانه آسفالت شركت سازه سازان سمنگان"</f>
        <v>تخليه هرمزگان حاجي آباددوراهي گهكم به سمت داراب كارخانه آسفالت شركت سازه سازان سمنگان</v>
      </c>
      <c r="D2052" s="1">
        <v>8854</v>
      </c>
      <c r="E2052" s="1">
        <v>699560</v>
      </c>
      <c r="F2052" s="1">
        <v>96</v>
      </c>
      <c r="G2052" s="1">
        <v>440</v>
      </c>
      <c r="H2052" s="1" t="str">
        <f>"96/04/04"</f>
        <v>96/04/04</v>
      </c>
      <c r="I2052" s="1" t="str">
        <f>"كيلوگرم"</f>
        <v>كيلوگرم</v>
      </c>
      <c r="J2052" s="1" t="str">
        <f>"0000000092"</f>
        <v>0000000092</v>
      </c>
      <c r="K2052" s="1" t="str">
        <f>"قير  PG64-16"</f>
        <v>قير  PG64-16</v>
      </c>
      <c r="L2052" s="1">
        <v>100</v>
      </c>
      <c r="M2052" s="1" t="str">
        <f>"مخازن قير اصفهان"</f>
        <v>مخازن قير اصفهان</v>
      </c>
      <c r="N2052" s="1">
        <v>11212</v>
      </c>
      <c r="O2052" s="1">
        <v>50035050</v>
      </c>
      <c r="P2052" s="1" t="str">
        <f>"  راهسازي وساختماني سازه سازان سمنگان"</f>
        <v xml:space="preserve">  راهسازي وساختماني سازه سازان سمنگان</v>
      </c>
      <c r="Q2052" s="1">
        <v>19</v>
      </c>
      <c r="R2052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052" s="1" t="str">
        <f>"قرارداد فروش"</f>
        <v>قرارداد فروش</v>
      </c>
      <c r="T2052" s="1" t="str">
        <f>"ندارد"</f>
        <v>ندارد</v>
      </c>
      <c r="U2052" s="1" t="str">
        <f>"قره باغي مجيد(1871065)"</f>
        <v>قره باغي مجيد(1871065)</v>
      </c>
      <c r="V2052" s="1">
        <v>961900068</v>
      </c>
      <c r="W2052" s="1">
        <v>961900068</v>
      </c>
      <c r="X2052" s="1" t="str">
        <f>"1396490817"</f>
        <v>1396490817</v>
      </c>
      <c r="Y2052" s="1" t="str">
        <f>"96/04/04"</f>
        <v>96/04/04</v>
      </c>
      <c r="Z2052" s="1" t="str">
        <f>"14573/710"</f>
        <v>14573/710</v>
      </c>
      <c r="AA2052" s="1" t="str">
        <f>"سازمان راهداري وحمل نقل جاده اي"</f>
        <v>سازمان راهداري وحمل نقل جاده اي</v>
      </c>
      <c r="AB2052" s="1" t="str">
        <f>"96/03/30"</f>
        <v>96/03/30</v>
      </c>
      <c r="AC2052" s="1" t="str">
        <f>"استان هرمزگان"</f>
        <v>استان هرمزگان</v>
      </c>
      <c r="AD2052" s="1" t="str">
        <f>"96/04/04"</f>
        <v>96/04/04</v>
      </c>
      <c r="AE2052" s="1" t="str">
        <f>"اختتام"</f>
        <v>اختتام</v>
      </c>
      <c r="AF2052" s="1" t="str">
        <f>""</f>
        <v/>
      </c>
      <c r="AG2052" s="1" t="str">
        <f>""</f>
        <v/>
      </c>
      <c r="AH2052" s="1" t="str">
        <f>""</f>
        <v/>
      </c>
      <c r="AI2052" s="1" t="str">
        <f>""</f>
        <v/>
      </c>
      <c r="AJ2052" s="1" t="str">
        <f>""</f>
        <v/>
      </c>
      <c r="AK2052" s="1" t="str">
        <f>""</f>
        <v/>
      </c>
    </row>
    <row r="2053" spans="1:37">
      <c r="A2053" s="1">
        <v>1000000</v>
      </c>
      <c r="B2053" s="1">
        <v>961800021</v>
      </c>
      <c r="C2053" s="1" t="str">
        <f>"تخليه هرمزگان پروژه احداث بانددوم گهكم  فورك كارخانه آسفالت شركت سازه سازان سمنگان"</f>
        <v>تخليه هرمزگان پروژه احداث بانددوم گهكم  فورك كارخانه آسفالت شركت سازه سازان سمنگان</v>
      </c>
      <c r="D2053" s="1">
        <v>8904</v>
      </c>
      <c r="E2053" s="1">
        <v>999460</v>
      </c>
      <c r="F2053" s="1">
        <v>96</v>
      </c>
      <c r="G2053" s="1">
        <v>540</v>
      </c>
      <c r="H2053" s="1" t="str">
        <f>"96/05/04"</f>
        <v>96/05/04</v>
      </c>
      <c r="I2053" s="1" t="str">
        <f>"كيلوگرم"</f>
        <v>كيلوگرم</v>
      </c>
      <c r="J2053" s="1" t="str">
        <f>"0000000092"</f>
        <v>0000000092</v>
      </c>
      <c r="K2053" s="1" t="str">
        <f>"قير  PG64-16"</f>
        <v>قير  PG64-16</v>
      </c>
      <c r="L2053" s="1">
        <v>100</v>
      </c>
      <c r="M2053" s="1" t="str">
        <f>"مخازن قير اصفهان"</f>
        <v>مخازن قير اصفهان</v>
      </c>
      <c r="N2053" s="1">
        <v>11212</v>
      </c>
      <c r="O2053" s="1">
        <v>50035357</v>
      </c>
      <c r="P2053" s="1" t="str">
        <f>"  راهسازي وساختماني سازه سازان سمنگان"</f>
        <v xml:space="preserve">  راهسازي وساختماني سازه سازان سمنگان</v>
      </c>
      <c r="Q2053" s="1">
        <v>18</v>
      </c>
      <c r="R2053" s="1" t="str">
        <f>"فروش داخلي تهران - وزارت راه - شرکت ساخت و توسعه راهها"</f>
        <v>فروش داخلي تهران - وزارت راه - شرکت ساخت و توسعه راهها</v>
      </c>
      <c r="S2053" s="1" t="str">
        <f>"قرارداد فروش"</f>
        <v>قرارداد فروش</v>
      </c>
      <c r="T2053" s="1" t="str">
        <f>"ندارد"</f>
        <v>ندارد</v>
      </c>
      <c r="U2053" s="1" t="str">
        <f>"حاصليان ترابرجنوب مرتضي حاصلي (4844006)"</f>
        <v>حاصليان ترابرجنوب مرتضي حاصلي (4844006)</v>
      </c>
      <c r="V2053" s="1">
        <v>961800021</v>
      </c>
      <c r="W2053" s="1">
        <v>961800021</v>
      </c>
      <c r="X2053" s="1" t="str">
        <f>"1396500367"</f>
        <v>1396500367</v>
      </c>
      <c r="Y2053" s="1" t="str">
        <f>"96/05/04"</f>
        <v>96/05/04</v>
      </c>
      <c r="Z2053" s="1" t="str">
        <f>"20564/710"</f>
        <v>20564/710</v>
      </c>
      <c r="AA2053" s="1" t="str">
        <f>"شركت  ساخت وتوسعه راهها"</f>
        <v>شركت  ساخت وتوسعه راهها</v>
      </c>
      <c r="AB2053" s="1" t="str">
        <f>"96/05/02"</f>
        <v>96/05/02</v>
      </c>
      <c r="AC2053" s="1" t="str">
        <f>"استان هرمزگان"</f>
        <v>استان هرمزگان</v>
      </c>
      <c r="AD2053" s="1" t="str">
        <f>"96/05/04"</f>
        <v>96/05/04</v>
      </c>
      <c r="AE2053" s="1" t="str">
        <f>"اختتام"</f>
        <v>اختتام</v>
      </c>
      <c r="AF2053" s="1" t="str">
        <f>""</f>
        <v/>
      </c>
      <c r="AG2053" s="1" t="str">
        <f>""</f>
        <v/>
      </c>
      <c r="AH2053" s="1" t="str">
        <f>""</f>
        <v/>
      </c>
      <c r="AI2053" s="1" t="str">
        <f>""</f>
        <v/>
      </c>
      <c r="AJ2053" s="1" t="str">
        <f>""</f>
        <v/>
      </c>
      <c r="AK2053" s="1" t="str">
        <f>""</f>
        <v/>
      </c>
    </row>
    <row r="2054" spans="1:37">
      <c r="A2054" s="1">
        <v>520000</v>
      </c>
      <c r="B2054" s="1">
        <v>961700056</v>
      </c>
      <c r="C2054" s="1" t="str">
        <f>"تخليه ايلام مخازن قيرايلام راهبان"</f>
        <v>تخليه ايلام مخازن قيرايلام راهبان</v>
      </c>
      <c r="D2054" s="1">
        <v>9204</v>
      </c>
      <c r="E2054" s="1">
        <v>520000</v>
      </c>
      <c r="F2054" s="1">
        <v>96</v>
      </c>
      <c r="G2054" s="1">
        <v>0</v>
      </c>
      <c r="H2054" s="1" t="str">
        <f>"96/05/23"</f>
        <v>96/05/23</v>
      </c>
      <c r="I2054" s="1" t="str">
        <f>"كيلوگرم"</f>
        <v>كيلوگرم</v>
      </c>
      <c r="J2054" s="1" t="str">
        <f>"0000000092"</f>
        <v>0000000092</v>
      </c>
      <c r="K2054" s="1" t="str">
        <f>"قير  PG64-16"</f>
        <v>قير  PG64-16</v>
      </c>
      <c r="L2054" s="1">
        <v>100</v>
      </c>
      <c r="M2054" s="1" t="str">
        <f>"مخازن قير اصفهان"</f>
        <v>مخازن قير اصفهان</v>
      </c>
      <c r="N2054" s="1">
        <v>11390</v>
      </c>
      <c r="O2054" s="1">
        <v>50035649</v>
      </c>
      <c r="P2054" s="1" t="str">
        <f>"  برج سازان كبيركوه غرب"</f>
        <v xml:space="preserve">  برج سازان كبيركوه غرب</v>
      </c>
      <c r="Q2054" s="1">
        <v>17</v>
      </c>
      <c r="R2054" s="1" t="str">
        <f>"فروش داخلي تهران - وزارت راه - راه روستايي - روکش"</f>
        <v>فروش داخلي تهران - وزارت راه - راه روستايي - روکش</v>
      </c>
      <c r="S2054" s="1" t="str">
        <f>"قرارداد فروش"</f>
        <v>قرارداد فروش</v>
      </c>
      <c r="T2054" s="1" t="str">
        <f>"ندارد"</f>
        <v>ندارد</v>
      </c>
      <c r="U2054" s="1" t="str">
        <f>"عظيمي محمد(2842015)"</f>
        <v>عظيمي محمد(2842015)</v>
      </c>
      <c r="V2054" s="1">
        <v>961700056</v>
      </c>
      <c r="W2054" s="1">
        <v>961700056</v>
      </c>
      <c r="X2054" s="1" t="str">
        <f>"1396505112"</f>
        <v>1396505112</v>
      </c>
      <c r="Y2054" s="1" t="str">
        <f>"96/05/23"</f>
        <v>96/05/23</v>
      </c>
      <c r="Z2054" s="1" t="str">
        <f>"24586/710"</f>
        <v>24586/710</v>
      </c>
      <c r="AA2054" s="1" t="str">
        <f>"راه روستائي -روكش"</f>
        <v>راه روستائي -روكش</v>
      </c>
      <c r="AB2054" s="1" t="str">
        <f>"96/05/22"</f>
        <v>96/05/22</v>
      </c>
      <c r="AC2054" s="1" t="str">
        <f>"استان ايلام"</f>
        <v>استان ايلام</v>
      </c>
      <c r="AD2054" s="1" t="str">
        <f>"96/05/23"</f>
        <v>96/05/23</v>
      </c>
      <c r="AE2054" s="1" t="str">
        <f>"اختتام"</f>
        <v>اختتام</v>
      </c>
      <c r="AF2054" s="1" t="str">
        <f>""</f>
        <v/>
      </c>
      <c r="AG2054" s="1" t="str">
        <f>""</f>
        <v/>
      </c>
      <c r="AH2054" s="1" t="str">
        <f>""</f>
        <v/>
      </c>
      <c r="AI2054" s="1" t="str">
        <f>""</f>
        <v/>
      </c>
      <c r="AJ2054" s="1" t="str">
        <f>""</f>
        <v/>
      </c>
      <c r="AK2054" s="1" t="str">
        <f>""</f>
        <v/>
      </c>
    </row>
    <row r="2055" spans="1:37">
      <c r="A2055" s="1">
        <v>500000</v>
      </c>
      <c r="B2055" s="1">
        <v>961900197</v>
      </c>
      <c r="C2055" s="1" t="str">
        <f>"تخليه ايرانشهرشهرستان چابهاركارخانه آسفالت اسپادانا"</f>
        <v>تخليه ايرانشهرشهرستان چابهاركارخانه آسفالت اسپادانا</v>
      </c>
      <c r="D2055" s="1">
        <v>13100</v>
      </c>
      <c r="E2055" s="1">
        <v>500000</v>
      </c>
      <c r="F2055" s="1">
        <v>96</v>
      </c>
      <c r="G2055" s="1">
        <v>0</v>
      </c>
      <c r="H2055" s="1" t="str">
        <f>"96/12/19"</f>
        <v>96/12/19</v>
      </c>
      <c r="I2055" s="1" t="str">
        <f>"كيلوگرم"</f>
        <v>كيلوگرم</v>
      </c>
      <c r="J2055" s="1" t="str">
        <f>"0000000092"</f>
        <v>0000000092</v>
      </c>
      <c r="K2055" s="1" t="str">
        <f>"قير  PG64-16"</f>
        <v>قير  PG64-16</v>
      </c>
      <c r="L2055" s="1">
        <v>100</v>
      </c>
      <c r="M2055" s="1" t="str">
        <f>"مخازن قير اصفهان"</f>
        <v>مخازن قير اصفهان</v>
      </c>
      <c r="N2055" s="1">
        <v>11498</v>
      </c>
      <c r="O2055" s="1">
        <v>50038855</v>
      </c>
      <c r="P2055" s="1" t="str">
        <f>"  مهندسي راه وآب و فاضلاب رهاب ايرانشهر"</f>
        <v xml:space="preserve">  مهندسي راه وآب و فاضلاب رهاب ايرانشهر</v>
      </c>
      <c r="Q2055" s="1">
        <v>19</v>
      </c>
      <c r="R2055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055" s="1" t="str">
        <f>"قرارداد فروش"</f>
        <v>قرارداد فروش</v>
      </c>
      <c r="T2055" s="1" t="str">
        <f>"ندارد"</f>
        <v>ندارد</v>
      </c>
      <c r="U2055" s="1" t="str">
        <f>"راه وساختماني سنگ وكوه(5859000)"</f>
        <v>راه وساختماني سنگ وكوه(5859000)</v>
      </c>
      <c r="V2055" s="1">
        <v>961900197</v>
      </c>
      <c r="W2055" s="1">
        <v>961900197</v>
      </c>
      <c r="X2055" s="1" t="str">
        <f>"1396553739"</f>
        <v>1396553739</v>
      </c>
      <c r="Y2055" s="1" t="str">
        <f>"96/12/19"</f>
        <v>96/12/19</v>
      </c>
      <c r="Z2055" s="1" t="str">
        <f>"284117/710"</f>
        <v>284117/710</v>
      </c>
      <c r="AA2055" s="1" t="str">
        <f>"سازمان راهداري وحمل نقل جاده اي"</f>
        <v>سازمان راهداري وحمل نقل جاده اي</v>
      </c>
      <c r="AB2055" s="1" t="str">
        <f>"96/11/17"</f>
        <v>96/11/17</v>
      </c>
      <c r="AC2055" s="1" t="str">
        <f>"ايرانشهر"</f>
        <v>ايرانشهر</v>
      </c>
      <c r="AD2055" s="1" t="str">
        <f>"96/12/19"</f>
        <v>96/12/19</v>
      </c>
      <c r="AE2055" s="1" t="str">
        <f>"اختتام"</f>
        <v>اختتام</v>
      </c>
      <c r="AF2055" s="1" t="str">
        <f>""</f>
        <v/>
      </c>
      <c r="AG2055" s="1" t="str">
        <f>""</f>
        <v/>
      </c>
      <c r="AH2055" s="1" t="str">
        <f>""</f>
        <v/>
      </c>
      <c r="AI2055" s="1" t="str">
        <f>""</f>
        <v/>
      </c>
      <c r="AJ2055" s="1" t="str">
        <f>""</f>
        <v/>
      </c>
      <c r="AK2055" s="1" t="str">
        <f>""</f>
        <v/>
      </c>
    </row>
    <row r="2056" spans="1:37">
      <c r="A2056" s="1">
        <v>652000</v>
      </c>
      <c r="B2056" s="1">
        <v>966200252</v>
      </c>
      <c r="C2056" s="1" t="str">
        <f>"تخليه -رشت -فلكه انتظام -كيلومتر3جاده جيرده شركت راهسازي لاتوم"</f>
        <v>تخليه -رشت -فلكه انتظام -كيلومتر3جاده جيرده شركت راهسازي لاتوم</v>
      </c>
      <c r="D2056" s="1">
        <v>9363</v>
      </c>
      <c r="E2056" s="1">
        <v>652000</v>
      </c>
      <c r="F2056" s="1">
        <v>96</v>
      </c>
      <c r="G2056" s="1">
        <v>0</v>
      </c>
      <c r="H2056" s="1" t="str">
        <f>"96/07/05"</f>
        <v>96/07/05</v>
      </c>
      <c r="I2056" s="1" t="str">
        <f>"كيلوگرم"</f>
        <v>كيلوگرم</v>
      </c>
      <c r="J2056" s="1" t="str">
        <f>"0000000093"</f>
        <v>0000000093</v>
      </c>
      <c r="K2056" s="1" t="str">
        <f>"قير  PG64-10"</f>
        <v>قير  PG64-10</v>
      </c>
      <c r="L2056" s="1">
        <v>100</v>
      </c>
      <c r="M2056" s="1" t="str">
        <f>"مخازن قير اصفهان"</f>
        <v>مخازن قير اصفهان</v>
      </c>
      <c r="N2056" s="1">
        <v>4050</v>
      </c>
      <c r="O2056" s="1">
        <v>50036289</v>
      </c>
      <c r="P2056" s="1" t="str">
        <f>"  لاتوم(1849002)"</f>
        <v xml:space="preserve">  لاتوم(1849002)</v>
      </c>
      <c r="Q2056" s="1">
        <v>62</v>
      </c>
      <c r="R2056" s="1" t="str">
        <f>"فروش داخلي - سازمان بنيادمسكن انقلاب اسلامي"</f>
        <v>فروش داخلي - سازمان بنيادمسكن انقلاب اسلامي</v>
      </c>
      <c r="S2056" s="1" t="str">
        <f>"قرارداد فروش"</f>
        <v>قرارداد فروش</v>
      </c>
      <c r="T2056" s="1" t="str">
        <f>"ندارد"</f>
        <v>ندارد</v>
      </c>
      <c r="U2056" s="1" t="str">
        <f>"لاتوم(1849002)"</f>
        <v>لاتوم(1849002)</v>
      </c>
      <c r="V2056" s="1">
        <v>966200252</v>
      </c>
      <c r="W2056" s="1">
        <v>966200252</v>
      </c>
      <c r="X2056" s="1" t="str">
        <f>"1396514735"</f>
        <v>1396514735</v>
      </c>
      <c r="Y2056" s="1" t="str">
        <f>"96/07/05"</f>
        <v>96/07/05</v>
      </c>
      <c r="Z2056" s="1" t="str">
        <f>"28428/د"</f>
        <v>28428/د</v>
      </c>
      <c r="AA2056" s="1" t="str">
        <f>"بنيادمسكن انقلاب اسلامي"</f>
        <v>بنيادمسكن انقلاب اسلامي</v>
      </c>
      <c r="AB2056" s="1" t="str">
        <f>"96/06/28"</f>
        <v>96/06/28</v>
      </c>
      <c r="AC2056" s="1" t="str">
        <f>"استان گيلان"</f>
        <v>استان گيلان</v>
      </c>
      <c r="AD2056" s="1" t="str">
        <f>"96/07/04"</f>
        <v>96/07/04</v>
      </c>
      <c r="AE2056" s="1" t="str">
        <f>"اختتام"</f>
        <v>اختتام</v>
      </c>
      <c r="AF2056" s="1" t="str">
        <f>""</f>
        <v/>
      </c>
      <c r="AG2056" s="1" t="str">
        <f>""</f>
        <v/>
      </c>
      <c r="AH2056" s="1" t="str">
        <f>""</f>
        <v/>
      </c>
      <c r="AI2056" s="1" t="str">
        <f>""</f>
        <v/>
      </c>
      <c r="AJ2056" s="1" t="str">
        <f>""</f>
        <v/>
      </c>
      <c r="AK2056" s="1" t="str">
        <f>""</f>
        <v/>
      </c>
    </row>
    <row r="2057" spans="1:37">
      <c r="A2057" s="1">
        <v>260000</v>
      </c>
      <c r="B2057" s="1">
        <v>966200493</v>
      </c>
      <c r="C2057" s="1" t="str">
        <f>"تخليه -رشت -فلكه انتظام -كيلومتر3جاده جيرده شركت راهسازي لاتوم"</f>
        <v>تخليه -رشت -فلكه انتظام -كيلومتر3جاده جيرده شركت راهسازي لاتوم</v>
      </c>
      <c r="D2057" s="1">
        <v>13100</v>
      </c>
      <c r="E2057" s="1">
        <v>260000</v>
      </c>
      <c r="F2057" s="1">
        <v>96</v>
      </c>
      <c r="G2057" s="1">
        <v>0</v>
      </c>
      <c r="H2057" s="1" t="str">
        <f>"96/10/05"</f>
        <v>96/10/05</v>
      </c>
      <c r="I2057" s="1" t="str">
        <f>"كيلوگرم"</f>
        <v>كيلوگرم</v>
      </c>
      <c r="J2057" s="1" t="str">
        <f>"0000000093"</f>
        <v>0000000093</v>
      </c>
      <c r="K2057" s="1" t="str">
        <f>"قير  PG64-10"</f>
        <v>قير  PG64-10</v>
      </c>
      <c r="L2057" s="1">
        <v>100</v>
      </c>
      <c r="M2057" s="1" t="str">
        <f>"مخازن قير اصفهان"</f>
        <v>مخازن قير اصفهان</v>
      </c>
      <c r="N2057" s="1">
        <v>4050</v>
      </c>
      <c r="O2057" s="1">
        <v>50037976</v>
      </c>
      <c r="P2057" s="1" t="str">
        <f>"  لاتوم(1849002)"</f>
        <v xml:space="preserve">  لاتوم(1849002)</v>
      </c>
      <c r="Q2057" s="1">
        <v>62</v>
      </c>
      <c r="R2057" s="1" t="str">
        <f>"فروش داخلي - سازمان بنيادمسكن انقلاب اسلامي"</f>
        <v>فروش داخلي - سازمان بنيادمسكن انقلاب اسلامي</v>
      </c>
      <c r="S2057" s="1" t="str">
        <f>"قرارداد فروش"</f>
        <v>قرارداد فروش</v>
      </c>
      <c r="T2057" s="1" t="str">
        <f>"ندارد"</f>
        <v>ندارد</v>
      </c>
      <c r="U2057" s="1" t="str">
        <f>"لاتوم(1849002)"</f>
        <v>لاتوم(1849002)</v>
      </c>
      <c r="V2057" s="1">
        <v>966200493</v>
      </c>
      <c r="W2057" s="1">
        <v>966200493</v>
      </c>
      <c r="X2057" s="1" t="str">
        <f>"1396535038"</f>
        <v>1396535038</v>
      </c>
      <c r="Y2057" s="1" t="str">
        <f>"96/10/05"</f>
        <v>96/10/05</v>
      </c>
      <c r="Z2057" s="1" t="str">
        <f>"43819/د"</f>
        <v>43819/د</v>
      </c>
      <c r="AA2057" s="1" t="str">
        <f>"بنيادمسكن انقلاب اسلامي"</f>
        <v>بنيادمسكن انقلاب اسلامي</v>
      </c>
      <c r="AB2057" s="1" t="str">
        <f>"96/10/04"</f>
        <v>96/10/04</v>
      </c>
      <c r="AC2057" s="1" t="str">
        <f>"استان گيلان"</f>
        <v>استان گيلان</v>
      </c>
      <c r="AD2057" s="1" t="str">
        <f>"96/10/05"</f>
        <v>96/10/05</v>
      </c>
      <c r="AE2057" s="1" t="str">
        <f>"اختتام"</f>
        <v>اختتام</v>
      </c>
      <c r="AF2057" s="1" t="str">
        <f>""</f>
        <v/>
      </c>
      <c r="AG2057" s="1" t="str">
        <f>""</f>
        <v/>
      </c>
      <c r="AH2057" s="1" t="str">
        <f>""</f>
        <v/>
      </c>
      <c r="AI2057" s="1" t="str">
        <f>""</f>
        <v/>
      </c>
      <c r="AJ2057" s="1" t="str">
        <f>""</f>
        <v/>
      </c>
      <c r="AK2057" s="1" t="str">
        <f>""</f>
        <v/>
      </c>
    </row>
    <row r="2058" spans="1:37">
      <c r="A2058" s="1">
        <v>585000</v>
      </c>
      <c r="B2058" s="1">
        <v>966200072</v>
      </c>
      <c r="C2058" s="1" t="str">
        <f>"تخليه -گيلان -رضوانشهر-پونل -كارگاه شهيدتفويضي"</f>
        <v>تخليه -گيلان -رضوانشهر-پونل -كارگاه شهيدتفويضي</v>
      </c>
      <c r="D2058" s="1">
        <v>9068</v>
      </c>
      <c r="E2058" s="1">
        <v>583740</v>
      </c>
      <c r="F2058" s="1">
        <v>96</v>
      </c>
      <c r="G2058" s="1">
        <v>1260</v>
      </c>
      <c r="H2058" s="1" t="str">
        <f>"96/02/26"</f>
        <v>96/02/26</v>
      </c>
      <c r="I2058" s="1" t="str">
        <f>"كيلوگرم"</f>
        <v>كيلوگرم</v>
      </c>
      <c r="J2058" s="1" t="str">
        <f>"0000000093"</f>
        <v>0000000093</v>
      </c>
      <c r="K2058" s="1" t="str">
        <f>"قير  PG64-10"</f>
        <v>قير  PG64-10</v>
      </c>
      <c r="L2058" s="1">
        <v>100</v>
      </c>
      <c r="M2058" s="1" t="str">
        <f>"مخازن قير اصفهان"</f>
        <v>مخازن قير اصفهان</v>
      </c>
      <c r="N2058" s="1">
        <v>8024</v>
      </c>
      <c r="O2058" s="1">
        <v>50034839</v>
      </c>
      <c r="P2058" s="1" t="str">
        <f>"  راه آوران كوشش"</f>
        <v xml:space="preserve">  راه آوران كوشش</v>
      </c>
      <c r="Q2058" s="1">
        <v>62</v>
      </c>
      <c r="R2058" s="1" t="str">
        <f>"فروش داخلي - سازمان بنيادمسكن انقلاب اسلامي"</f>
        <v>فروش داخلي - سازمان بنيادمسكن انقلاب اسلامي</v>
      </c>
      <c r="S2058" s="1" t="str">
        <f>"قرارداد فروش"</f>
        <v>قرارداد فروش</v>
      </c>
      <c r="T2058" s="1" t="str">
        <f>"ندارد"</f>
        <v>ندارد</v>
      </c>
      <c r="U2058" s="1" t="str">
        <f>"خليل الهي حسن(1841005)"</f>
        <v>خليل الهي حسن(1841005)</v>
      </c>
      <c r="V2058" s="1">
        <v>966200072</v>
      </c>
      <c r="W2058" s="1">
        <v>966200072</v>
      </c>
      <c r="X2058" s="1" t="str">
        <f>"1396481183"</f>
        <v>1396481183</v>
      </c>
      <c r="Y2058" s="1" t="str">
        <f>"96/02/26"</f>
        <v>96/02/26</v>
      </c>
      <c r="Z2058" s="1" t="str">
        <f>"6861/د"</f>
        <v>6861/د</v>
      </c>
      <c r="AA2058" s="1" t="str">
        <f>"بنيادمسكن انقلاب اسلامي"</f>
        <v>بنيادمسكن انقلاب اسلامي</v>
      </c>
      <c r="AB2058" s="1" t="str">
        <f>"96/02/25"</f>
        <v>96/02/25</v>
      </c>
      <c r="AC2058" s="1" t="str">
        <f>"استان گيلان"</f>
        <v>استان گيلان</v>
      </c>
      <c r="AD2058" s="1" t="str">
        <f>"96/02/26"</f>
        <v>96/02/26</v>
      </c>
      <c r="AE2058" s="1" t="str">
        <f>"اختتام"</f>
        <v>اختتام</v>
      </c>
      <c r="AF2058" s="1" t="str">
        <f>""</f>
        <v/>
      </c>
      <c r="AG2058" s="1" t="str">
        <f>""</f>
        <v/>
      </c>
      <c r="AH2058" s="1" t="str">
        <f>""</f>
        <v/>
      </c>
      <c r="AI2058" s="1" t="str">
        <f>""</f>
        <v/>
      </c>
      <c r="AJ2058" s="1" t="str">
        <f>""</f>
        <v/>
      </c>
      <c r="AK2058" s="1" t="str">
        <f>""</f>
        <v/>
      </c>
    </row>
    <row r="2059" spans="1:37">
      <c r="A2059" s="1">
        <v>180000</v>
      </c>
      <c r="B2059" s="1">
        <v>966200307</v>
      </c>
      <c r="C2059" s="1" t="str">
        <f>"تخليه -گيلان -رضوانشهر-پونل -كارگاه شهيدتفويضي"</f>
        <v>تخليه -گيلان -رضوانشهر-پونل -كارگاه شهيدتفويضي</v>
      </c>
      <c r="D2059" s="1">
        <v>9363</v>
      </c>
      <c r="E2059" s="1">
        <v>179700</v>
      </c>
      <c r="F2059" s="1">
        <v>96</v>
      </c>
      <c r="G2059" s="1">
        <v>300</v>
      </c>
      <c r="H2059" s="1" t="str">
        <f>"96/07/18"</f>
        <v>96/07/18</v>
      </c>
      <c r="I2059" s="1" t="str">
        <f>"كيلوگرم"</f>
        <v>كيلوگرم</v>
      </c>
      <c r="J2059" s="1" t="str">
        <f>"0000000093"</f>
        <v>0000000093</v>
      </c>
      <c r="K2059" s="1" t="str">
        <f>"قير  PG64-10"</f>
        <v>قير  PG64-10</v>
      </c>
      <c r="L2059" s="1">
        <v>100</v>
      </c>
      <c r="M2059" s="1" t="str">
        <f>"مخازن قير اصفهان"</f>
        <v>مخازن قير اصفهان</v>
      </c>
      <c r="N2059" s="1">
        <v>8024</v>
      </c>
      <c r="O2059" s="1">
        <v>50036662</v>
      </c>
      <c r="P2059" s="1" t="str">
        <f>"  راه آوران كوشش"</f>
        <v xml:space="preserve">  راه آوران كوشش</v>
      </c>
      <c r="Q2059" s="1">
        <v>62</v>
      </c>
      <c r="R2059" s="1" t="str">
        <f>"فروش داخلي - سازمان بنيادمسكن انقلاب اسلامي"</f>
        <v>فروش داخلي - سازمان بنيادمسكن انقلاب اسلامي</v>
      </c>
      <c r="S2059" s="1" t="str">
        <f>"قرارداد فروش"</f>
        <v>قرارداد فروش</v>
      </c>
      <c r="T2059" s="1" t="str">
        <f>"ندارد"</f>
        <v>ندارد</v>
      </c>
      <c r="U2059" s="1" t="str">
        <f>"خليل الهي حسن(1841005)"</f>
        <v>خليل الهي حسن(1841005)</v>
      </c>
      <c r="V2059" s="1">
        <v>966200307</v>
      </c>
      <c r="W2059" s="1">
        <v>966200307</v>
      </c>
      <c r="X2059" s="1" t="str">
        <f>"1396517672"</f>
        <v>1396517672</v>
      </c>
      <c r="Y2059" s="1" t="str">
        <f>"96/07/18"</f>
        <v>96/07/18</v>
      </c>
      <c r="Z2059" s="1" t="str">
        <f>"31772/د"</f>
        <v>31772/د</v>
      </c>
      <c r="AA2059" s="1" t="str">
        <f>"بنيادمسكن انقلاب اسلامي"</f>
        <v>بنيادمسكن انقلاب اسلامي</v>
      </c>
      <c r="AB2059" s="1" t="str">
        <f>"96/07/17"</f>
        <v>96/07/17</v>
      </c>
      <c r="AC2059" s="1" t="str">
        <f>"استان گيلان"</f>
        <v>استان گيلان</v>
      </c>
      <c r="AD2059" s="1" t="str">
        <f>"96/07/18"</f>
        <v>96/07/18</v>
      </c>
      <c r="AE2059" s="1" t="str">
        <f>"اختتام"</f>
        <v>اختتام</v>
      </c>
      <c r="AF2059" s="1" t="str">
        <f>""</f>
        <v/>
      </c>
      <c r="AG2059" s="1" t="str">
        <f>""</f>
        <v/>
      </c>
      <c r="AH2059" s="1" t="str">
        <f>""</f>
        <v/>
      </c>
      <c r="AI2059" s="1" t="str">
        <f>""</f>
        <v/>
      </c>
      <c r="AJ2059" s="1" t="str">
        <f>""</f>
        <v/>
      </c>
      <c r="AK2059" s="1" t="str">
        <f>""</f>
        <v/>
      </c>
    </row>
    <row r="2060" spans="1:37">
      <c r="A2060" s="1">
        <v>380000</v>
      </c>
      <c r="B2060" s="1">
        <v>966200285</v>
      </c>
      <c r="C2060" s="1" t="str">
        <f>"تخليه- گيلان-رضوانشهر-سه راهي پونل به ارده-کيلومتر 8 روستاي دوران-کارخانه آسفالت شرکت ايمن بنا"</f>
        <v>تخليه- گيلان-رضوانشهر-سه راهي پونل به ارده-کيلومتر 8 روستاي دوران-کارخانه آسفالت شرکت ايمن بنا</v>
      </c>
      <c r="D2060" s="1">
        <v>9363</v>
      </c>
      <c r="E2060" s="1">
        <v>379860</v>
      </c>
      <c r="F2060" s="1">
        <v>96</v>
      </c>
      <c r="G2060" s="1">
        <v>140</v>
      </c>
      <c r="H2060" s="1" t="str">
        <f>"96/07/11"</f>
        <v>96/07/11</v>
      </c>
      <c r="I2060" s="1" t="str">
        <f>"كيلوگرم"</f>
        <v>كيلوگرم</v>
      </c>
      <c r="J2060" s="1" t="str">
        <f>"0000000093"</f>
        <v>0000000093</v>
      </c>
      <c r="K2060" s="1" t="str">
        <f>"قير  PG64-10"</f>
        <v>قير  PG64-10</v>
      </c>
      <c r="L2060" s="1">
        <v>100</v>
      </c>
      <c r="M2060" s="1" t="str">
        <f>"مخازن قير اصفهان"</f>
        <v>مخازن قير اصفهان</v>
      </c>
      <c r="N2060" s="1">
        <v>8789</v>
      </c>
      <c r="O2060" s="1">
        <v>50036506</v>
      </c>
      <c r="P2060" s="1" t="str">
        <f>"  ايمن بنا"</f>
        <v xml:space="preserve">  ايمن بنا</v>
      </c>
      <c r="Q2060" s="1">
        <v>62</v>
      </c>
      <c r="R2060" s="1" t="str">
        <f>"فروش داخلي - سازمان بنيادمسكن انقلاب اسلامي"</f>
        <v>فروش داخلي - سازمان بنيادمسكن انقلاب اسلامي</v>
      </c>
      <c r="S2060" s="1" t="str">
        <f>"قرارداد فروش"</f>
        <v>قرارداد فروش</v>
      </c>
      <c r="T2060" s="1" t="str">
        <f>"ندارد"</f>
        <v>ندارد</v>
      </c>
      <c r="U2060" s="1" t="str">
        <f>"حاج صادقي باقر(1841027)"</f>
        <v>حاج صادقي باقر(1841027)</v>
      </c>
      <c r="V2060" s="1">
        <v>966200285</v>
      </c>
      <c r="W2060" s="1">
        <v>966200285</v>
      </c>
      <c r="X2060" s="1" t="str">
        <f>"1396515926"</f>
        <v>1396515926</v>
      </c>
      <c r="Y2060" s="1" t="str">
        <f>"96/07/11"</f>
        <v>96/07/11</v>
      </c>
      <c r="Z2060" s="1" t="str">
        <f>"30188/د"</f>
        <v>30188/د</v>
      </c>
      <c r="AA2060" s="1" t="str">
        <f>"بنيادمسكن انقلاب اسلامي"</f>
        <v>بنيادمسكن انقلاب اسلامي</v>
      </c>
      <c r="AB2060" s="1" t="str">
        <f>"96/07/10"</f>
        <v>96/07/10</v>
      </c>
      <c r="AC2060" s="1" t="str">
        <f>"استان گيلان"</f>
        <v>استان گيلان</v>
      </c>
      <c r="AD2060" s="1" t="str">
        <f>"96/07/11"</f>
        <v>96/07/11</v>
      </c>
      <c r="AE2060" s="1" t="str">
        <f>"اختتام"</f>
        <v>اختتام</v>
      </c>
      <c r="AF2060" s="1" t="str">
        <f>""</f>
        <v/>
      </c>
      <c r="AG2060" s="1" t="str">
        <f>""</f>
        <v/>
      </c>
      <c r="AH2060" s="1" t="str">
        <f>""</f>
        <v/>
      </c>
      <c r="AI2060" s="1" t="str">
        <f>""</f>
        <v/>
      </c>
      <c r="AJ2060" s="1" t="str">
        <f>""</f>
        <v/>
      </c>
      <c r="AK2060" s="1" t="str">
        <f>""</f>
        <v/>
      </c>
    </row>
    <row r="2061" spans="1:37">
      <c r="A2061" s="1">
        <v>394000</v>
      </c>
      <c r="B2061" s="1">
        <v>966200251</v>
      </c>
      <c r="C2061" s="1" t="str">
        <f>"تخليه -گيلان -نرسيده به پليس راه رشت آستارا-جنب هواشناسي آستارا-کارخانه آسفالت شرکت ساختکارآفرين"</f>
        <v>تخليه -گيلان -نرسيده به پليس راه رشت آستارا-جنب هواشناسي آستارا-کارخانه آسفالت شرکت ساختکارآفرين</v>
      </c>
      <c r="D2061" s="1">
        <v>9204</v>
      </c>
      <c r="E2061" s="1">
        <v>394000</v>
      </c>
      <c r="F2061" s="1">
        <v>96</v>
      </c>
      <c r="G2061" s="1">
        <v>0</v>
      </c>
      <c r="H2061" s="1" t="str">
        <f>"96/06/27"</f>
        <v>96/06/27</v>
      </c>
      <c r="I2061" s="1" t="str">
        <f>"كيلوگرم"</f>
        <v>كيلوگرم</v>
      </c>
      <c r="J2061" s="1" t="str">
        <f>"0000000093"</f>
        <v>0000000093</v>
      </c>
      <c r="K2061" s="1" t="str">
        <f>"قير  PG64-10"</f>
        <v>قير  PG64-10</v>
      </c>
      <c r="L2061" s="1">
        <v>100</v>
      </c>
      <c r="M2061" s="1" t="str">
        <f>"مخازن قير اصفهان"</f>
        <v>مخازن قير اصفهان</v>
      </c>
      <c r="N2061" s="1">
        <v>10375</v>
      </c>
      <c r="O2061" s="1">
        <v>50036091</v>
      </c>
      <c r="P2061" s="1" t="str">
        <f>"  ساختکارآفرين"</f>
        <v xml:space="preserve">  ساختکارآفرين</v>
      </c>
      <c r="Q2061" s="1">
        <v>62</v>
      </c>
      <c r="R2061" s="1" t="str">
        <f>"فروش داخلي - سازمان بنيادمسكن انقلاب اسلامي"</f>
        <v>فروش داخلي - سازمان بنيادمسكن انقلاب اسلامي</v>
      </c>
      <c r="S2061" s="1" t="str">
        <f>"قرارداد فروش"</f>
        <v>قرارداد فروش</v>
      </c>
      <c r="T2061" s="1" t="str">
        <f>"ندارد"</f>
        <v>ندارد</v>
      </c>
      <c r="U2061" s="1" t="str">
        <f>"خليل الهي حسن(1841005)"</f>
        <v>خليل الهي حسن(1841005)</v>
      </c>
      <c r="V2061" s="1">
        <v>966200251</v>
      </c>
      <c r="W2061" s="1">
        <v>966200251</v>
      </c>
      <c r="X2061" s="1" t="str">
        <f>"1396513019"</f>
        <v>1396513019</v>
      </c>
      <c r="Y2061" s="1" t="str">
        <f>"96/06/27"</f>
        <v>96/06/27</v>
      </c>
      <c r="Z2061" s="1" t="str">
        <f>"27859/د"</f>
        <v>27859/د</v>
      </c>
      <c r="AA2061" s="1" t="str">
        <f>"بنيادمسكن انقلاب اسلامي"</f>
        <v>بنيادمسكن انقلاب اسلامي</v>
      </c>
      <c r="AB2061" s="1" t="str">
        <f>"96/06/26"</f>
        <v>96/06/26</v>
      </c>
      <c r="AC2061" s="1" t="str">
        <f>"استان گيلان"</f>
        <v>استان گيلان</v>
      </c>
      <c r="AD2061" s="1" t="str">
        <f>"96/06/27"</f>
        <v>96/06/27</v>
      </c>
      <c r="AE2061" s="1" t="str">
        <f>"اختتام"</f>
        <v>اختتام</v>
      </c>
      <c r="AF2061" s="1" t="str">
        <f>""</f>
        <v/>
      </c>
      <c r="AG2061" s="1" t="str">
        <f>""</f>
        <v/>
      </c>
      <c r="AH2061" s="1" t="str">
        <f>""</f>
        <v/>
      </c>
      <c r="AI2061" s="1" t="str">
        <f>""</f>
        <v/>
      </c>
      <c r="AJ2061" s="1" t="str">
        <f>""</f>
        <v/>
      </c>
      <c r="AK2061" s="1" t="str">
        <f>""</f>
        <v/>
      </c>
    </row>
    <row r="2062" spans="1:37">
      <c r="A2062" s="1">
        <v>50000</v>
      </c>
      <c r="B2062" s="1">
        <v>966200317</v>
      </c>
      <c r="C2062" s="1" t="str">
        <f>"تخليه -گيلان -نرسيده به پليس راه رشت آستارا-جنب هواشناسي آستارا-کارخانه آسفالت شرکت ساختکارآفرين"</f>
        <v>تخليه -گيلان -نرسيده به پليس راه رشت آستارا-جنب هواشناسي آستارا-کارخانه آسفالت شرکت ساختکارآفرين</v>
      </c>
      <c r="D2062" s="1">
        <v>9363</v>
      </c>
      <c r="E2062" s="1">
        <v>47420</v>
      </c>
      <c r="F2062" s="1">
        <v>96</v>
      </c>
      <c r="G2062" s="1">
        <v>2580</v>
      </c>
      <c r="H2062" s="1" t="str">
        <f>"96/07/24"</f>
        <v>96/07/24</v>
      </c>
      <c r="I2062" s="1" t="str">
        <f>"كيلوگرم"</f>
        <v>كيلوگرم</v>
      </c>
      <c r="J2062" s="1" t="str">
        <f>"0000000093"</f>
        <v>0000000093</v>
      </c>
      <c r="K2062" s="1" t="str">
        <f>"قير  PG64-10"</f>
        <v>قير  PG64-10</v>
      </c>
      <c r="L2062" s="1">
        <v>100</v>
      </c>
      <c r="M2062" s="1" t="str">
        <f>"مخازن قير اصفهان"</f>
        <v>مخازن قير اصفهان</v>
      </c>
      <c r="N2062" s="1">
        <v>10375</v>
      </c>
      <c r="O2062" s="1">
        <v>50036747</v>
      </c>
      <c r="P2062" s="1" t="str">
        <f>"  ساختکارآفرين"</f>
        <v xml:space="preserve">  ساختکارآفرين</v>
      </c>
      <c r="Q2062" s="1">
        <v>62</v>
      </c>
      <c r="R2062" s="1" t="str">
        <f>"فروش داخلي - سازمان بنيادمسكن انقلاب اسلامي"</f>
        <v>فروش داخلي - سازمان بنيادمسكن انقلاب اسلامي</v>
      </c>
      <c r="S2062" s="1" t="str">
        <f>"قرارداد فروش"</f>
        <v>قرارداد فروش</v>
      </c>
      <c r="T2062" s="1" t="str">
        <f>"ندارد"</f>
        <v>ندارد</v>
      </c>
      <c r="U2062" s="1" t="str">
        <f>"خليل الهي حسن(1841005)"</f>
        <v>خليل الهي حسن(1841005)</v>
      </c>
      <c r="V2062" s="1">
        <v>966200317</v>
      </c>
      <c r="W2062" s="1">
        <v>966200317</v>
      </c>
      <c r="X2062" s="1" t="str">
        <f>"1396518910"</f>
        <v>1396518910</v>
      </c>
      <c r="Y2062" s="1" t="str">
        <f>"96/07/24"</f>
        <v>96/07/24</v>
      </c>
      <c r="Z2062" s="1" t="str">
        <f>"32929/د"</f>
        <v>32929/د</v>
      </c>
      <c r="AA2062" s="1" t="str">
        <f>"بنيادمسكن انقلاب اسلامي"</f>
        <v>بنيادمسكن انقلاب اسلامي</v>
      </c>
      <c r="AB2062" s="1" t="str">
        <f>"96/07/24"</f>
        <v>96/07/24</v>
      </c>
      <c r="AC2062" s="1" t="str">
        <f>"استان گيلان"</f>
        <v>استان گيلان</v>
      </c>
      <c r="AD2062" s="1" t="str">
        <f>"96/07/24"</f>
        <v>96/07/24</v>
      </c>
      <c r="AE2062" s="1" t="str">
        <f>"اختتام"</f>
        <v>اختتام</v>
      </c>
      <c r="AF2062" s="1" t="str">
        <f>""</f>
        <v/>
      </c>
      <c r="AG2062" s="1" t="str">
        <f>""</f>
        <v/>
      </c>
      <c r="AH2062" s="1" t="str">
        <f>""</f>
        <v/>
      </c>
      <c r="AI2062" s="1" t="str">
        <f>""</f>
        <v/>
      </c>
      <c r="AJ2062" s="1" t="str">
        <f>""</f>
        <v/>
      </c>
      <c r="AK2062" s="1" t="str">
        <f>""</f>
        <v/>
      </c>
    </row>
    <row r="2063" spans="1:37">
      <c r="A2063" s="1">
        <v>1000000</v>
      </c>
      <c r="B2063" s="1">
        <v>961900123</v>
      </c>
      <c r="C2063" s="1" t="str">
        <f>"تخليه شيرازجاده سروستان بعدازروستاي برم شورجاده پسماندكارخانه آسفالت سازان جنوب"</f>
        <v>تخليه شيرازجاده سروستان بعدازروستاي برم شورجاده پسماندكارخانه آسفالت سازان جنوب</v>
      </c>
      <c r="D2063" s="1">
        <v>9204</v>
      </c>
      <c r="E2063" s="1">
        <v>999200</v>
      </c>
      <c r="F2063" s="1">
        <v>96</v>
      </c>
      <c r="G2063" s="1">
        <v>800</v>
      </c>
      <c r="H2063" s="1" t="str">
        <f>"96/05/23"</f>
        <v>96/05/23</v>
      </c>
      <c r="I2063" s="1" t="str">
        <f>"كيلوگرم"</f>
        <v>كيلوگرم</v>
      </c>
      <c r="J2063" s="1" t="str">
        <f>"0000000093"</f>
        <v>0000000093</v>
      </c>
      <c r="K2063" s="1" t="str">
        <f>"قير  PG64-10"</f>
        <v>قير  PG64-10</v>
      </c>
      <c r="L2063" s="1">
        <v>100</v>
      </c>
      <c r="M2063" s="1" t="str">
        <f>"مخازن قير اصفهان"</f>
        <v>مخازن قير اصفهان</v>
      </c>
      <c r="N2063" s="1">
        <v>10510</v>
      </c>
      <c r="O2063" s="1">
        <v>50035646</v>
      </c>
      <c r="P2063" s="1" t="str">
        <f>"  لاميان"</f>
        <v xml:space="preserve">  لاميان</v>
      </c>
      <c r="Q2063" s="1">
        <v>19</v>
      </c>
      <c r="R206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063" s="1" t="str">
        <f>"قرارداد فروش"</f>
        <v>قرارداد فروش</v>
      </c>
      <c r="T2063" s="1" t="str">
        <f>"ندارد"</f>
        <v>ندارد</v>
      </c>
      <c r="U2063" s="1" t="str">
        <f>"غلام نجفي سيامك‌‌‌‌‌‌(1881082)"</f>
        <v>غلام نجفي سيامك‌‌‌‌‌‌(1881082)</v>
      </c>
      <c r="V2063" s="1">
        <v>961900123</v>
      </c>
      <c r="W2063" s="1">
        <v>961900123</v>
      </c>
      <c r="X2063" s="1" t="str">
        <f>"1396505084"</f>
        <v>1396505084</v>
      </c>
      <c r="Y2063" s="1" t="str">
        <f>"96/05/23"</f>
        <v>96/05/23</v>
      </c>
      <c r="Z2063" s="1" t="str">
        <f>"24497/710"</f>
        <v>24497/710</v>
      </c>
      <c r="AA2063" s="1" t="str">
        <f>"سازمان راهداري وحمل نقل جاده اي"</f>
        <v>سازمان راهداري وحمل نقل جاده اي</v>
      </c>
      <c r="AB2063" s="1" t="str">
        <f>"96/05/22"</f>
        <v>96/05/22</v>
      </c>
      <c r="AC2063" s="1" t="str">
        <f>"استان فارس"</f>
        <v>استان فارس</v>
      </c>
      <c r="AD2063" s="1" t="str">
        <f>"96/05/23"</f>
        <v>96/05/23</v>
      </c>
      <c r="AE2063" s="1" t="str">
        <f>"اختتام"</f>
        <v>اختتام</v>
      </c>
      <c r="AF2063" s="1" t="str">
        <f>""</f>
        <v/>
      </c>
      <c r="AG2063" s="1" t="str">
        <f>""</f>
        <v/>
      </c>
      <c r="AH2063" s="1" t="str">
        <f>""</f>
        <v/>
      </c>
      <c r="AI2063" s="1" t="str">
        <f>""</f>
        <v/>
      </c>
      <c r="AJ2063" s="1" t="str">
        <f>""</f>
        <v/>
      </c>
      <c r="AK2063" s="1" t="str">
        <f>""</f>
        <v/>
      </c>
    </row>
    <row r="2064" spans="1:37">
      <c r="A2064" s="1">
        <v>559000</v>
      </c>
      <c r="B2064" s="1">
        <v>966200255</v>
      </c>
      <c r="C2064" s="1" t="str">
        <f>"تخليه - گيلان-رضوانشهر-پره سر-دينال چال -کوچه آزادگان"</f>
        <v>تخليه - گيلان-رضوانشهر-پره سر-دينال چال -کوچه آزادگان</v>
      </c>
      <c r="D2064" s="1">
        <v>9363</v>
      </c>
      <c r="E2064" s="1">
        <v>559000</v>
      </c>
      <c r="F2064" s="1">
        <v>96</v>
      </c>
      <c r="G2064" s="1">
        <v>0</v>
      </c>
      <c r="H2064" s="1" t="str">
        <f>"96/07/05"</f>
        <v>96/07/05</v>
      </c>
      <c r="I2064" s="1" t="str">
        <f>"كيلوگرم"</f>
        <v>كيلوگرم</v>
      </c>
      <c r="J2064" s="1" t="str">
        <f>"0000000093"</f>
        <v>0000000093</v>
      </c>
      <c r="K2064" s="1" t="str">
        <f>"قير  PG64-10"</f>
        <v>قير  PG64-10</v>
      </c>
      <c r="L2064" s="1">
        <v>100</v>
      </c>
      <c r="M2064" s="1" t="str">
        <f>"مخازن قير اصفهان"</f>
        <v>مخازن قير اصفهان</v>
      </c>
      <c r="N2064" s="1">
        <v>11326</v>
      </c>
      <c r="O2064" s="1">
        <v>50036292</v>
      </c>
      <c r="P2064" s="1" t="str">
        <f>"  گيلسار پايا پي"</f>
        <v xml:space="preserve">  گيلسار پايا پي</v>
      </c>
      <c r="Q2064" s="1">
        <v>62</v>
      </c>
      <c r="R2064" s="1" t="str">
        <f>"فروش داخلي - سازمان بنيادمسكن انقلاب اسلامي"</f>
        <v>فروش داخلي - سازمان بنيادمسكن انقلاب اسلامي</v>
      </c>
      <c r="S2064" s="1" t="str">
        <f>"قرارداد فروش"</f>
        <v>قرارداد فروش</v>
      </c>
      <c r="T2064" s="1" t="str">
        <f>"ندارد"</f>
        <v>ندارد</v>
      </c>
      <c r="U2064" s="1" t="str">
        <f>"حاج صادقي باقر(1841027)"</f>
        <v>حاج صادقي باقر(1841027)</v>
      </c>
      <c r="V2064" s="1">
        <v>966200255</v>
      </c>
      <c r="W2064" s="1">
        <v>966200255</v>
      </c>
      <c r="X2064" s="1" t="str">
        <f>"1396514735"</f>
        <v>1396514735</v>
      </c>
      <c r="Y2064" s="1" t="str">
        <f>"96/07/05"</f>
        <v>96/07/05</v>
      </c>
      <c r="Z2064" s="1" t="str">
        <f>"29276/د"</f>
        <v>29276/د</v>
      </c>
      <c r="AA2064" s="1" t="str">
        <f>"بنيادمسكن انقلاب اسلامي"</f>
        <v>بنيادمسكن انقلاب اسلامي</v>
      </c>
      <c r="AB2064" s="1" t="str">
        <f>"96/07/02"</f>
        <v>96/07/02</v>
      </c>
      <c r="AC2064" s="1" t="str">
        <f>"استان گيلان"</f>
        <v>استان گيلان</v>
      </c>
      <c r="AD2064" s="1" t="str">
        <f>"96/07/04"</f>
        <v>96/07/04</v>
      </c>
      <c r="AE2064" s="1" t="str">
        <f>"اختتام"</f>
        <v>اختتام</v>
      </c>
      <c r="AF2064" s="1" t="str">
        <f>""</f>
        <v/>
      </c>
      <c r="AG2064" s="1" t="str">
        <f>""</f>
        <v/>
      </c>
      <c r="AH2064" s="1" t="str">
        <f>""</f>
        <v/>
      </c>
      <c r="AI2064" s="1" t="str">
        <f>""</f>
        <v/>
      </c>
      <c r="AJ2064" s="1" t="str">
        <f>""</f>
        <v/>
      </c>
      <c r="AK2064" s="1" t="str">
        <f>""</f>
        <v/>
      </c>
    </row>
    <row r="2065" spans="1:37">
      <c r="A2065" s="1">
        <v>280000</v>
      </c>
      <c r="B2065" s="1">
        <v>966200166</v>
      </c>
      <c r="C2065" s="1" t="str">
        <f>"تخليه - گيلان رودسر-جنب پل رحيم آباد-کارخانه آسفالت کاسپين"</f>
        <v>تخليه - گيلان رودسر-جنب پل رحيم آباد-کارخانه آسفالت کاسپين</v>
      </c>
      <c r="D2065" s="1">
        <v>8904</v>
      </c>
      <c r="E2065" s="1">
        <v>279900</v>
      </c>
      <c r="F2065" s="1">
        <v>96</v>
      </c>
      <c r="G2065" s="1">
        <v>100</v>
      </c>
      <c r="H2065" s="1" t="str">
        <f>"96/05/09"</f>
        <v>96/05/09</v>
      </c>
      <c r="I2065" s="1" t="str">
        <f>"كيلوگرم"</f>
        <v>كيلوگرم</v>
      </c>
      <c r="J2065" s="1" t="str">
        <f>"0000000093"</f>
        <v>0000000093</v>
      </c>
      <c r="K2065" s="1" t="str">
        <f>"قير  PG64-10"</f>
        <v>قير  PG64-10</v>
      </c>
      <c r="L2065" s="1">
        <v>100</v>
      </c>
      <c r="M2065" s="1" t="str">
        <f>"مخازن قير اصفهان"</f>
        <v>مخازن قير اصفهان</v>
      </c>
      <c r="N2065" s="1">
        <v>11384</v>
      </c>
      <c r="O2065" s="1">
        <v>50035414</v>
      </c>
      <c r="P2065" s="1" t="str">
        <f>"  سازه پايدار افلاک"</f>
        <v xml:space="preserve">  سازه پايدار افلاک</v>
      </c>
      <c r="Q2065" s="1">
        <v>62</v>
      </c>
      <c r="R2065" s="1" t="str">
        <f>"فروش داخلي - سازمان بنيادمسكن انقلاب اسلامي"</f>
        <v>فروش داخلي - سازمان بنيادمسكن انقلاب اسلامي</v>
      </c>
      <c r="S2065" s="1" t="str">
        <f>"قرارداد فروش"</f>
        <v>قرارداد فروش</v>
      </c>
      <c r="T2065" s="1" t="str">
        <f>"ندارد"</f>
        <v>ندارد</v>
      </c>
      <c r="U2065" s="1" t="str">
        <f>"هيزچي مرتضي(1841036)"</f>
        <v>هيزچي مرتضي(1841036)</v>
      </c>
      <c r="V2065" s="1">
        <v>966200166</v>
      </c>
      <c r="W2065" s="1">
        <v>966200166</v>
      </c>
      <c r="X2065" s="1" t="str">
        <f>"1396500986"</f>
        <v>1396500986</v>
      </c>
      <c r="Y2065" s="1" t="str">
        <f>"96/05/09"</f>
        <v>96/05/09</v>
      </c>
      <c r="Z2065" s="1" t="str">
        <f>"18716/د"</f>
        <v>18716/د</v>
      </c>
      <c r="AA2065" s="1" t="str">
        <f>"بنيادمسكن انقلاب اسلامي"</f>
        <v>بنيادمسكن انقلاب اسلامي</v>
      </c>
      <c r="AB2065" s="1" t="str">
        <f>"96/05/07"</f>
        <v>96/05/07</v>
      </c>
      <c r="AC2065" s="1" t="str">
        <f>"استان گيلان"</f>
        <v>استان گيلان</v>
      </c>
      <c r="AD2065" s="1" t="str">
        <f>"96/05/08"</f>
        <v>96/05/08</v>
      </c>
      <c r="AE2065" s="1" t="str">
        <f>"اختتام"</f>
        <v>اختتام</v>
      </c>
      <c r="AF2065" s="1" t="str">
        <f>""</f>
        <v/>
      </c>
      <c r="AG2065" s="1" t="str">
        <f>""</f>
        <v/>
      </c>
      <c r="AH2065" s="1" t="str">
        <f>""</f>
        <v/>
      </c>
      <c r="AI2065" s="1" t="str">
        <f>""</f>
        <v/>
      </c>
      <c r="AJ2065" s="1" t="str">
        <f>""</f>
        <v/>
      </c>
      <c r="AK2065" s="1" t="str">
        <f>""</f>
        <v/>
      </c>
    </row>
    <row r="2066" spans="1:37">
      <c r="A2066" s="1">
        <v>651000</v>
      </c>
      <c r="B2066" s="1">
        <v>966200247</v>
      </c>
      <c r="C2066" s="1" t="str">
        <f>"تخليه - گيلان-تالش-ليسار-کارخانه آسفالت ايران پل"</f>
        <v>تخليه - گيلان-تالش-ليسار-کارخانه آسفالت ايران پل</v>
      </c>
      <c r="D2066" s="1">
        <v>9204</v>
      </c>
      <c r="E2066" s="1">
        <v>650980</v>
      </c>
      <c r="F2066" s="1">
        <v>96</v>
      </c>
      <c r="G2066" s="1">
        <v>20</v>
      </c>
      <c r="H2066" s="1" t="str">
        <f>"96/06/26"</f>
        <v>96/06/26</v>
      </c>
      <c r="I2066" s="1" t="str">
        <f>"كيلوگرم"</f>
        <v>كيلوگرم</v>
      </c>
      <c r="J2066" s="1" t="str">
        <f>"0000000093"</f>
        <v>0000000093</v>
      </c>
      <c r="K2066" s="1" t="str">
        <f>"قير  PG64-10"</f>
        <v>قير  PG64-10</v>
      </c>
      <c r="L2066" s="1">
        <v>100</v>
      </c>
      <c r="M2066" s="1" t="str">
        <f>"مخازن قير اصفهان"</f>
        <v>مخازن قير اصفهان</v>
      </c>
      <c r="N2066" s="1">
        <v>11384</v>
      </c>
      <c r="O2066" s="1">
        <v>50036069</v>
      </c>
      <c r="P2066" s="1" t="str">
        <f>"  سازه پايدار افلاک"</f>
        <v xml:space="preserve">  سازه پايدار افلاک</v>
      </c>
      <c r="Q2066" s="1">
        <v>62</v>
      </c>
      <c r="R2066" s="1" t="str">
        <f>"فروش داخلي - سازمان بنيادمسكن انقلاب اسلامي"</f>
        <v>فروش داخلي - سازمان بنيادمسكن انقلاب اسلامي</v>
      </c>
      <c r="S2066" s="1" t="str">
        <f>"قرارداد فروش"</f>
        <v>قرارداد فروش</v>
      </c>
      <c r="T2066" s="1" t="str">
        <f>"ندارد"</f>
        <v>ندارد</v>
      </c>
      <c r="U2066" s="1" t="str">
        <f>"هيزچي مرتضي(1841036)"</f>
        <v>هيزچي مرتضي(1841036)</v>
      </c>
      <c r="V2066" s="1">
        <v>966200247</v>
      </c>
      <c r="W2066" s="1">
        <v>966200247</v>
      </c>
      <c r="X2066" s="1" t="str">
        <f>"1396512883"</f>
        <v>1396512883</v>
      </c>
      <c r="Y2066" s="1" t="str">
        <f>"96/06/26"</f>
        <v>96/06/26</v>
      </c>
      <c r="Z2066" s="1" t="str">
        <f>"27774/د"</f>
        <v>27774/د</v>
      </c>
      <c r="AA2066" s="1" t="str">
        <f>"بنيادمسكن انقلاب اسلامي"</f>
        <v>بنيادمسكن انقلاب اسلامي</v>
      </c>
      <c r="AB2066" s="1" t="str">
        <f>"96/06/25"</f>
        <v>96/06/25</v>
      </c>
      <c r="AC2066" s="1" t="str">
        <f>"استان گيلان"</f>
        <v>استان گيلان</v>
      </c>
      <c r="AD2066" s="1" t="str">
        <f>"96/06/26"</f>
        <v>96/06/26</v>
      </c>
      <c r="AE2066" s="1" t="str">
        <f>"اختتام"</f>
        <v>اختتام</v>
      </c>
      <c r="AF2066" s="1" t="str">
        <f>""</f>
        <v/>
      </c>
      <c r="AG2066" s="1" t="str">
        <f>""</f>
        <v/>
      </c>
      <c r="AH2066" s="1" t="str">
        <f>""</f>
        <v/>
      </c>
      <c r="AI2066" s="1" t="str">
        <f>""</f>
        <v/>
      </c>
      <c r="AJ2066" s="1" t="str">
        <f>""</f>
        <v/>
      </c>
      <c r="AK2066" s="1" t="str">
        <f>""</f>
        <v/>
      </c>
    </row>
    <row r="2067" spans="1:37">
      <c r="A2067" s="1">
        <v>110000</v>
      </c>
      <c r="B2067" s="1">
        <v>966200314</v>
      </c>
      <c r="C2067" s="1" t="str">
        <f>"تخليه - گيلان-تالش-ليسار-کارخانه آسفالت ايران پل"</f>
        <v>تخليه - گيلان-تالش-ليسار-کارخانه آسفالت ايران پل</v>
      </c>
      <c r="D2067" s="1">
        <v>9363</v>
      </c>
      <c r="E2067" s="1">
        <v>107840</v>
      </c>
      <c r="F2067" s="1">
        <v>96</v>
      </c>
      <c r="G2067" s="1">
        <v>2160</v>
      </c>
      <c r="H2067" s="1" t="str">
        <f>"96/07/24"</f>
        <v>96/07/24</v>
      </c>
      <c r="I2067" s="1" t="str">
        <f>"كيلوگرم"</f>
        <v>كيلوگرم</v>
      </c>
      <c r="J2067" s="1" t="str">
        <f>"0000000093"</f>
        <v>0000000093</v>
      </c>
      <c r="K2067" s="1" t="str">
        <f>"قير  PG64-10"</f>
        <v>قير  PG64-10</v>
      </c>
      <c r="L2067" s="1">
        <v>100</v>
      </c>
      <c r="M2067" s="1" t="str">
        <f>"مخازن قير اصفهان"</f>
        <v>مخازن قير اصفهان</v>
      </c>
      <c r="N2067" s="1">
        <v>11384</v>
      </c>
      <c r="O2067" s="1">
        <v>50036742</v>
      </c>
      <c r="P2067" s="1" t="str">
        <f>"  سازه پايدار افلاک"</f>
        <v xml:space="preserve">  سازه پايدار افلاک</v>
      </c>
      <c r="Q2067" s="1">
        <v>62</v>
      </c>
      <c r="R2067" s="1" t="str">
        <f>"فروش داخلي - سازمان بنيادمسكن انقلاب اسلامي"</f>
        <v>فروش داخلي - سازمان بنيادمسكن انقلاب اسلامي</v>
      </c>
      <c r="S2067" s="1" t="str">
        <f>"قرارداد فروش"</f>
        <v>قرارداد فروش</v>
      </c>
      <c r="T2067" s="1" t="str">
        <f>"ندارد"</f>
        <v>ندارد</v>
      </c>
      <c r="U2067" s="1" t="str">
        <f>"هيزچي مرتضي(1841036)"</f>
        <v>هيزچي مرتضي(1841036)</v>
      </c>
      <c r="V2067" s="1">
        <v>966200314</v>
      </c>
      <c r="W2067" s="1">
        <v>966200314</v>
      </c>
      <c r="X2067" s="1" t="str">
        <f>"1396518910"</f>
        <v>1396518910</v>
      </c>
      <c r="Y2067" s="1" t="str">
        <f>"96/07/24"</f>
        <v>96/07/24</v>
      </c>
      <c r="Z2067" s="1" t="str">
        <f>"32862/د"</f>
        <v>32862/د</v>
      </c>
      <c r="AA2067" s="1" t="str">
        <f>"بنيادمسكن انقلاب اسلامي"</f>
        <v>بنيادمسكن انقلاب اسلامي</v>
      </c>
      <c r="AB2067" s="1" t="str">
        <f>"96/07/24"</f>
        <v>96/07/24</v>
      </c>
      <c r="AC2067" s="1" t="str">
        <f>"استان گيلان"</f>
        <v>استان گيلان</v>
      </c>
      <c r="AD2067" s="1" t="str">
        <f>"96/07/24"</f>
        <v>96/07/24</v>
      </c>
      <c r="AE2067" s="1" t="str">
        <f>"اختتام"</f>
        <v>اختتام</v>
      </c>
      <c r="AF2067" s="1" t="str">
        <f>""</f>
        <v/>
      </c>
      <c r="AG2067" s="1" t="str">
        <f>""</f>
        <v/>
      </c>
      <c r="AH2067" s="1" t="str">
        <f>""</f>
        <v/>
      </c>
      <c r="AI2067" s="1" t="str">
        <f>""</f>
        <v/>
      </c>
      <c r="AJ2067" s="1" t="str">
        <f>""</f>
        <v/>
      </c>
      <c r="AK2067" s="1" t="str">
        <f>""</f>
        <v/>
      </c>
    </row>
    <row r="2068" spans="1:37">
      <c r="A2068" s="1">
        <v>25000</v>
      </c>
      <c r="B2068" s="1">
        <v>966200517</v>
      </c>
      <c r="C2068" s="1" t="str">
        <f>"تخليه - گيلان - جاده رشت به تهران-جنب پايانه حمل و نقل-کارخانه آسفالت شهيدباهنر-شرکت سبک بناگيل"</f>
        <v>تخليه - گيلان - جاده رشت به تهران-جنب پايانه حمل و نقل-کارخانه آسفالت شهيدباهنر-شرکت سبک بناگيل</v>
      </c>
      <c r="D2068" s="1">
        <v>13100</v>
      </c>
      <c r="E2068" s="1">
        <v>23980</v>
      </c>
      <c r="F2068" s="1">
        <v>96</v>
      </c>
      <c r="G2068" s="1">
        <v>1020</v>
      </c>
      <c r="H2068" s="1" t="str">
        <f>"96/10/20"</f>
        <v>96/10/20</v>
      </c>
      <c r="I2068" s="1" t="str">
        <f>"كيلوگرم"</f>
        <v>كيلوگرم</v>
      </c>
      <c r="J2068" s="1" t="str">
        <f>"0000000093"</f>
        <v>0000000093</v>
      </c>
      <c r="K2068" s="1" t="str">
        <f>"قير  PG64-10"</f>
        <v>قير  PG64-10</v>
      </c>
      <c r="L2068" s="1">
        <v>100</v>
      </c>
      <c r="M2068" s="1" t="str">
        <f>"مخازن قير اصفهان"</f>
        <v>مخازن قير اصفهان</v>
      </c>
      <c r="N2068" s="1">
        <v>11384</v>
      </c>
      <c r="O2068" s="1">
        <v>50038119</v>
      </c>
      <c r="P2068" s="1" t="str">
        <f>"  سازه پايدار افلاک"</f>
        <v xml:space="preserve">  سازه پايدار افلاک</v>
      </c>
      <c r="Q2068" s="1">
        <v>62</v>
      </c>
      <c r="R2068" s="1" t="str">
        <f>"فروش داخلي - سازمان بنيادمسكن انقلاب اسلامي"</f>
        <v>فروش داخلي - سازمان بنيادمسكن انقلاب اسلامي</v>
      </c>
      <c r="S2068" s="1" t="str">
        <f>"قرارداد فروش"</f>
        <v>قرارداد فروش</v>
      </c>
      <c r="T2068" s="1" t="str">
        <f>"ندارد"</f>
        <v>ندارد</v>
      </c>
      <c r="U2068" s="1" t="str">
        <f>"حاجيلوئي علي اصغر(2842019)"</f>
        <v>حاجيلوئي علي اصغر(2842019)</v>
      </c>
      <c r="V2068" s="1">
        <v>966200517</v>
      </c>
      <c r="W2068" s="1">
        <v>966200517</v>
      </c>
      <c r="X2068" s="1" t="str">
        <f>"1396539512"</f>
        <v>1396539512</v>
      </c>
      <c r="Y2068" s="1" t="str">
        <f>"96/10/20"</f>
        <v>96/10/20</v>
      </c>
      <c r="Z2068" s="1" t="str">
        <f>"46751/د"</f>
        <v>46751/د</v>
      </c>
      <c r="AA2068" s="1" t="str">
        <f>"بنيادمسكن انقلاب اسلامي"</f>
        <v>بنيادمسكن انقلاب اسلامي</v>
      </c>
      <c r="AB2068" s="1" t="str">
        <f>"96/10/20"</f>
        <v>96/10/20</v>
      </c>
      <c r="AC2068" s="1" t="str">
        <f>"استان گيلان"</f>
        <v>استان گيلان</v>
      </c>
      <c r="AD2068" s="1" t="str">
        <f>"96/10/20"</f>
        <v>96/10/20</v>
      </c>
      <c r="AE2068" s="1" t="str">
        <f>"اختتام"</f>
        <v>اختتام</v>
      </c>
      <c r="AF2068" s="1" t="str">
        <f>""</f>
        <v/>
      </c>
      <c r="AG2068" s="1" t="str">
        <f>""</f>
        <v/>
      </c>
      <c r="AH2068" s="1" t="str">
        <f>""</f>
        <v/>
      </c>
      <c r="AI2068" s="1" t="str">
        <f>""</f>
        <v/>
      </c>
      <c r="AJ2068" s="1" t="str">
        <f>""</f>
        <v/>
      </c>
      <c r="AK2068" s="1" t="str">
        <f>""</f>
        <v/>
      </c>
    </row>
    <row r="2069" spans="1:37">
      <c r="A2069" s="1">
        <v>475000</v>
      </c>
      <c r="B2069" s="1">
        <v>966200269</v>
      </c>
      <c r="C2069" s="1" t="str">
        <f>"تخليه - گيلان-لوشان-ورودي شهرک صنعتي لوشان-کارخانه آسفالت باروساز شمال"</f>
        <v>تخليه - گيلان-لوشان-ورودي شهرک صنعتي لوشان-کارخانه آسفالت باروساز شمال</v>
      </c>
      <c r="D2069" s="1">
        <v>9363</v>
      </c>
      <c r="E2069" s="1">
        <v>474100</v>
      </c>
      <c r="F2069" s="1">
        <v>96</v>
      </c>
      <c r="G2069" s="1">
        <v>900</v>
      </c>
      <c r="H2069" s="1" t="str">
        <f>"96/07/06"</f>
        <v>96/07/06</v>
      </c>
      <c r="I2069" s="1" t="str">
        <f>"كيلوگرم"</f>
        <v>كيلوگرم</v>
      </c>
      <c r="J2069" s="1" t="str">
        <f>"0000000093"</f>
        <v>0000000093</v>
      </c>
      <c r="K2069" s="1" t="str">
        <f>"قير  PG64-10"</f>
        <v>قير  PG64-10</v>
      </c>
      <c r="L2069" s="1">
        <v>100</v>
      </c>
      <c r="M2069" s="1" t="str">
        <f>"مخازن قير اصفهان"</f>
        <v>مخازن قير اصفهان</v>
      </c>
      <c r="N2069" s="1">
        <v>11460</v>
      </c>
      <c r="O2069" s="1">
        <v>50036442</v>
      </c>
      <c r="P2069" s="1" t="str">
        <f>"  بارو ساز شمال"</f>
        <v xml:space="preserve">  بارو ساز شمال</v>
      </c>
      <c r="Q2069" s="1">
        <v>62</v>
      </c>
      <c r="R2069" s="1" t="str">
        <f>"فروش داخلي - سازمان بنيادمسكن انقلاب اسلامي"</f>
        <v>فروش داخلي - سازمان بنيادمسكن انقلاب اسلامي</v>
      </c>
      <c r="S2069" s="1" t="str">
        <f>"قرارداد فروش"</f>
        <v>قرارداد فروش</v>
      </c>
      <c r="T2069" s="1" t="str">
        <f>"ندارد"</f>
        <v>ندارد</v>
      </c>
      <c r="U2069" s="1" t="str">
        <f>"قره باغي مجيد(1871065)"</f>
        <v>قره باغي مجيد(1871065)</v>
      </c>
      <c r="V2069" s="1">
        <v>966200269</v>
      </c>
      <c r="W2069" s="1">
        <v>966200269</v>
      </c>
      <c r="X2069" s="1" t="str">
        <f>"1396514735"</f>
        <v>1396514735</v>
      </c>
      <c r="Y2069" s="1" t="str">
        <f>"96/07/06"</f>
        <v>96/07/06</v>
      </c>
      <c r="Z2069" s="1" t="str">
        <f>"29250/د"</f>
        <v>29250/د</v>
      </c>
      <c r="AA2069" s="1" t="str">
        <f>"بنيادمسكن انقلاب اسلامي"</f>
        <v>بنيادمسكن انقلاب اسلامي</v>
      </c>
      <c r="AB2069" s="1" t="str">
        <f>"96/07/02"</f>
        <v>96/07/02</v>
      </c>
      <c r="AC2069" s="1" t="str">
        <f>"استان گيلان"</f>
        <v>استان گيلان</v>
      </c>
      <c r="AD2069" s="1" t="str">
        <f>"96/07/04"</f>
        <v>96/07/04</v>
      </c>
      <c r="AE2069" s="1" t="str">
        <f>"اختتام"</f>
        <v>اختتام</v>
      </c>
      <c r="AF2069" s="1" t="str">
        <f>""</f>
        <v/>
      </c>
      <c r="AG2069" s="1" t="str">
        <f>""</f>
        <v/>
      </c>
      <c r="AH2069" s="1" t="str">
        <f>""</f>
        <v/>
      </c>
      <c r="AI2069" s="1" t="str">
        <f>""</f>
        <v/>
      </c>
      <c r="AJ2069" s="1" t="str">
        <f>""</f>
        <v/>
      </c>
      <c r="AK2069" s="1" t="str">
        <f>""</f>
        <v/>
      </c>
    </row>
    <row r="2070" spans="1:37">
      <c r="A2070" s="1">
        <v>138000</v>
      </c>
      <c r="B2070" s="1">
        <v>966200646</v>
      </c>
      <c r="C2070" s="1" t="str">
        <f>"تخليه - گيلان-لوشان-ورودي شهرک صنعتي لوشان-کارخانه آسفالت باروساز شمال"</f>
        <v>تخليه - گيلان-لوشان-ورودي شهرک صنعتي لوشان-کارخانه آسفالت باروساز شمال</v>
      </c>
      <c r="D2070" s="1">
        <v>13600</v>
      </c>
      <c r="E2070" s="1">
        <v>137140</v>
      </c>
      <c r="F2070" s="1">
        <v>96</v>
      </c>
      <c r="G2070" s="1">
        <v>860</v>
      </c>
      <c r="H2070" s="1" t="str">
        <f>"96/12/14"</f>
        <v>96/12/14</v>
      </c>
      <c r="I2070" s="1" t="str">
        <f>"كيلوگرم"</f>
        <v>كيلوگرم</v>
      </c>
      <c r="J2070" s="1" t="str">
        <f>"0000000093"</f>
        <v>0000000093</v>
      </c>
      <c r="K2070" s="1" t="str">
        <f>"قير  PG64-10"</f>
        <v>قير  PG64-10</v>
      </c>
      <c r="L2070" s="1">
        <v>100</v>
      </c>
      <c r="M2070" s="1" t="str">
        <f>"مخازن قير اصفهان"</f>
        <v>مخازن قير اصفهان</v>
      </c>
      <c r="N2070" s="1">
        <v>11460</v>
      </c>
      <c r="O2070" s="1">
        <v>50038767</v>
      </c>
      <c r="P2070" s="1" t="str">
        <f>"  بارو ساز شمال"</f>
        <v xml:space="preserve">  بارو ساز شمال</v>
      </c>
      <c r="Q2070" s="1">
        <v>62</v>
      </c>
      <c r="R2070" s="1" t="str">
        <f>"فروش داخلي - سازمان بنيادمسكن انقلاب اسلامي"</f>
        <v>فروش داخلي - سازمان بنيادمسكن انقلاب اسلامي</v>
      </c>
      <c r="S2070" s="1" t="str">
        <f>"قرارداد فروش"</f>
        <v>قرارداد فروش</v>
      </c>
      <c r="T2070" s="1" t="str">
        <f>"ندارد"</f>
        <v>ندارد</v>
      </c>
      <c r="U2070" s="1" t="str">
        <f>"شيشه بر كريم(1841016)"</f>
        <v>شيشه بر كريم(1841016)</v>
      </c>
      <c r="V2070" s="1">
        <v>966200646</v>
      </c>
      <c r="W2070" s="1">
        <v>966200646</v>
      </c>
      <c r="X2070" s="1" t="str">
        <f>"1396552263"</f>
        <v>1396552263</v>
      </c>
      <c r="Y2070" s="1" t="str">
        <f>"96/12/14"</f>
        <v>96/12/14</v>
      </c>
      <c r="Z2070" s="1" t="str">
        <f>"56600/د"</f>
        <v>56600/د</v>
      </c>
      <c r="AA2070" s="1" t="str">
        <f>"بنيادمسكن انقلاب اسلامي"</f>
        <v>بنيادمسكن انقلاب اسلامي</v>
      </c>
      <c r="AB2070" s="1" t="str">
        <f>"96/12/13"</f>
        <v>96/12/13</v>
      </c>
      <c r="AC2070" s="1" t="str">
        <f>"استان گيلان"</f>
        <v>استان گيلان</v>
      </c>
      <c r="AD2070" s="1" t="str">
        <f>"96/12/14"</f>
        <v>96/12/14</v>
      </c>
      <c r="AE2070" s="1" t="str">
        <f>"اختتام"</f>
        <v>اختتام</v>
      </c>
      <c r="AF2070" s="1" t="str">
        <f>""</f>
        <v/>
      </c>
      <c r="AG2070" s="1" t="str">
        <f>""</f>
        <v/>
      </c>
      <c r="AH2070" s="1" t="str">
        <f>""</f>
        <v/>
      </c>
      <c r="AI2070" s="1" t="str">
        <f>""</f>
        <v/>
      </c>
      <c r="AJ2070" s="1" t="str">
        <f>""</f>
        <v/>
      </c>
      <c r="AK2070" s="1" t="str">
        <f>""</f>
        <v/>
      </c>
    </row>
    <row r="2071" spans="1:37">
      <c r="A2071" s="1">
        <v>183000</v>
      </c>
      <c r="B2071" s="1">
        <v>966200694</v>
      </c>
      <c r="C2071" s="1" t="str">
        <f>"تخليه - گيلان-لوشان-ورودي شهرک صنعتي لوشان-کارخانه آسفالت باروساز شمال"</f>
        <v>تخليه - گيلان-لوشان-ورودي شهرک صنعتي لوشان-کارخانه آسفالت باروساز شمال</v>
      </c>
      <c r="D2071" s="1">
        <v>13600</v>
      </c>
      <c r="E2071" s="1">
        <v>183000</v>
      </c>
      <c r="F2071" s="1">
        <v>96</v>
      </c>
      <c r="G2071" s="1">
        <v>0</v>
      </c>
      <c r="H2071" s="1" t="str">
        <f>"96/12/23"</f>
        <v>96/12/23</v>
      </c>
      <c r="I2071" s="1" t="str">
        <f>"كيلوگرم"</f>
        <v>كيلوگرم</v>
      </c>
      <c r="J2071" s="1" t="str">
        <f>"0000000093"</f>
        <v>0000000093</v>
      </c>
      <c r="K2071" s="1" t="str">
        <f>"قير  PG64-10"</f>
        <v>قير  PG64-10</v>
      </c>
      <c r="L2071" s="1">
        <v>100</v>
      </c>
      <c r="M2071" s="1" t="str">
        <f>"مخازن قير اصفهان"</f>
        <v>مخازن قير اصفهان</v>
      </c>
      <c r="N2071" s="1">
        <v>11460</v>
      </c>
      <c r="O2071" s="1">
        <v>50038970</v>
      </c>
      <c r="P2071" s="1" t="str">
        <f>"  بارو ساز شمال"</f>
        <v xml:space="preserve">  بارو ساز شمال</v>
      </c>
      <c r="Q2071" s="1">
        <v>62</v>
      </c>
      <c r="R2071" s="1" t="str">
        <f>"فروش داخلي - سازمان بنيادمسكن انقلاب اسلامي"</f>
        <v>فروش داخلي - سازمان بنيادمسكن انقلاب اسلامي</v>
      </c>
      <c r="S2071" s="1" t="str">
        <f>"قرارداد فروش"</f>
        <v>قرارداد فروش</v>
      </c>
      <c r="T2071" s="1" t="str">
        <f>"ندارد"</f>
        <v>ندارد</v>
      </c>
      <c r="U2071" s="1" t="str">
        <f>"قره باغي مجيد(1871065)"</f>
        <v>قره باغي مجيد(1871065)</v>
      </c>
      <c r="V2071" s="1">
        <v>966200694</v>
      </c>
      <c r="W2071" s="1">
        <v>966200694</v>
      </c>
      <c r="X2071" s="1" t="str">
        <f>"1396554555"</f>
        <v>1396554555</v>
      </c>
      <c r="Y2071" s="1" t="str">
        <f>"96/12/23"</f>
        <v>96/12/23</v>
      </c>
      <c r="Z2071" s="1" t="str">
        <f>"58826/د"</f>
        <v>58826/د</v>
      </c>
      <c r="AA2071" s="1" t="str">
        <f>"بنيادمسكن انقلاب اسلامي"</f>
        <v>بنيادمسكن انقلاب اسلامي</v>
      </c>
      <c r="AB2071" s="1" t="str">
        <f>"96/12/22"</f>
        <v>96/12/22</v>
      </c>
      <c r="AC2071" s="1" t="str">
        <f>"استان گيلان"</f>
        <v>استان گيلان</v>
      </c>
      <c r="AD2071" s="1" t="str">
        <f>"96/12/22"</f>
        <v>96/12/22</v>
      </c>
      <c r="AE2071" s="1" t="str">
        <f>"اختتام"</f>
        <v>اختتام</v>
      </c>
      <c r="AF2071" s="1" t="str">
        <f>""</f>
        <v/>
      </c>
      <c r="AG2071" s="1" t="str">
        <f>""</f>
        <v/>
      </c>
      <c r="AH2071" s="1" t="str">
        <f>""</f>
        <v/>
      </c>
      <c r="AI2071" s="1" t="str">
        <f>""</f>
        <v/>
      </c>
      <c r="AJ2071" s="1" t="str">
        <f>""</f>
        <v/>
      </c>
      <c r="AK2071" s="1" t="str">
        <f>""</f>
        <v/>
      </c>
    </row>
    <row r="2072" spans="1:37">
      <c r="A2072" s="1">
        <v>414000</v>
      </c>
      <c r="B2072" s="1">
        <v>966200266</v>
      </c>
      <c r="C2072" s="1" t="str">
        <f>"تخليه-گيلان- بندرانزلي -نرسيده به قاضيان-بي بي حوريه - پشت بازار -کارخانه آسفالت کوهسر"</f>
        <v>تخليه-گيلان- بندرانزلي -نرسيده به قاضيان-بي بي حوريه - پشت بازار -کارخانه آسفالت کوهسر</v>
      </c>
      <c r="D2072" s="1">
        <v>9363</v>
      </c>
      <c r="E2072" s="1">
        <v>413140</v>
      </c>
      <c r="F2072" s="1">
        <v>96</v>
      </c>
      <c r="G2072" s="1">
        <v>860</v>
      </c>
      <c r="H2072" s="1" t="str">
        <f>"96/07/05"</f>
        <v>96/07/05</v>
      </c>
      <c r="I2072" s="1" t="str">
        <f>"كيلوگرم"</f>
        <v>كيلوگرم</v>
      </c>
      <c r="J2072" s="1" t="str">
        <f>"0000000093"</f>
        <v>0000000093</v>
      </c>
      <c r="K2072" s="1" t="str">
        <f>"قير  PG64-10"</f>
        <v>قير  PG64-10</v>
      </c>
      <c r="L2072" s="1">
        <v>100</v>
      </c>
      <c r="M2072" s="1" t="str">
        <f>"مخازن قير اصفهان"</f>
        <v>مخازن قير اصفهان</v>
      </c>
      <c r="N2072" s="1">
        <v>11461</v>
      </c>
      <c r="O2072" s="1">
        <v>50036364</v>
      </c>
      <c r="P2072" s="1" t="str">
        <f>"  ايمن طرق سازه"</f>
        <v xml:space="preserve">  ايمن طرق سازه</v>
      </c>
      <c r="Q2072" s="1">
        <v>62</v>
      </c>
      <c r="R2072" s="1" t="str">
        <f>"فروش داخلي - سازمان بنيادمسكن انقلاب اسلامي"</f>
        <v>فروش داخلي - سازمان بنيادمسكن انقلاب اسلامي</v>
      </c>
      <c r="S2072" s="1" t="str">
        <f>"قرارداد فروش"</f>
        <v>قرارداد فروش</v>
      </c>
      <c r="T2072" s="1" t="str">
        <f>"ندارد"</f>
        <v>ندارد</v>
      </c>
      <c r="U2072" s="1" t="str">
        <f>"هيزچي مرتضي(1841036)"</f>
        <v>هيزچي مرتضي(1841036)</v>
      </c>
      <c r="V2072" s="1">
        <v>966200266</v>
      </c>
      <c r="W2072" s="1">
        <v>966200266</v>
      </c>
      <c r="X2072" s="1" t="str">
        <f>"1396514775"</f>
        <v>1396514775</v>
      </c>
      <c r="Y2072" s="1" t="str">
        <f>"96/07/05"</f>
        <v>96/07/05</v>
      </c>
      <c r="Z2072" s="1" t="str">
        <f>"29251/د"</f>
        <v>29251/د</v>
      </c>
      <c r="AA2072" s="1" t="str">
        <f>"بنيادمسكن انقلاب اسلامي"</f>
        <v>بنيادمسكن انقلاب اسلامي</v>
      </c>
      <c r="AB2072" s="1" t="str">
        <f>"96/07/02"</f>
        <v>96/07/02</v>
      </c>
      <c r="AC2072" s="1" t="str">
        <f>"استان گيلان"</f>
        <v>استان گيلان</v>
      </c>
      <c r="AD2072" s="1" t="str">
        <f>"96/07/04"</f>
        <v>96/07/04</v>
      </c>
      <c r="AE2072" s="1" t="str">
        <f>"اختتام"</f>
        <v>اختتام</v>
      </c>
      <c r="AF2072" s="1" t="str">
        <f>""</f>
        <v/>
      </c>
      <c r="AG2072" s="1" t="str">
        <f>""</f>
        <v/>
      </c>
      <c r="AH2072" s="1" t="str">
        <f>""</f>
        <v/>
      </c>
      <c r="AI2072" s="1" t="str">
        <f>""</f>
        <v/>
      </c>
      <c r="AJ2072" s="1" t="str">
        <f>""</f>
        <v/>
      </c>
      <c r="AK2072" s="1" t="str">
        <f>""</f>
        <v/>
      </c>
    </row>
    <row r="2073" spans="1:37">
      <c r="A2073" s="1">
        <v>504000</v>
      </c>
      <c r="B2073" s="1">
        <v>961900201</v>
      </c>
      <c r="C2073" s="1" t="str">
        <f>"تخليه كهگيلويه وبويراحمدشهرستان باشت كارخانه آسفالت رزمان"</f>
        <v>تخليه كهگيلويه وبويراحمدشهرستان باشت كارخانه آسفالت رزمان</v>
      </c>
      <c r="D2073" s="1">
        <v>13100</v>
      </c>
      <c r="E2073" s="1">
        <v>503280</v>
      </c>
      <c r="F2073" s="1">
        <v>96</v>
      </c>
      <c r="G2073" s="1">
        <v>720</v>
      </c>
      <c r="H2073" s="1" t="str">
        <f>"96/12/22"</f>
        <v>96/12/22</v>
      </c>
      <c r="I2073" s="1" t="str">
        <f>"كيلوگرم"</f>
        <v>كيلوگرم</v>
      </c>
      <c r="J2073" s="1" t="str">
        <f>"0000000093"</f>
        <v>0000000093</v>
      </c>
      <c r="K2073" s="1" t="str">
        <f>"قير  PG64-10"</f>
        <v>قير  PG64-10</v>
      </c>
      <c r="L2073" s="1">
        <v>100</v>
      </c>
      <c r="M2073" s="1" t="str">
        <f>"مخازن قير اصفهان"</f>
        <v>مخازن قير اصفهان</v>
      </c>
      <c r="N2073" s="1">
        <v>11485</v>
      </c>
      <c r="O2073" s="1">
        <v>50038924</v>
      </c>
      <c r="P2073" s="1" t="str">
        <f>"  موليان ياسوج"</f>
        <v xml:space="preserve">  موليان ياسوج</v>
      </c>
      <c r="Q2073" s="1">
        <v>19</v>
      </c>
      <c r="R2073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073" s="1" t="str">
        <f>"قرارداد فروش"</f>
        <v>قرارداد فروش</v>
      </c>
      <c r="T2073" s="1" t="str">
        <f>"ندارد"</f>
        <v>ندارد</v>
      </c>
      <c r="U2073" s="1" t="str">
        <f>"غلام نجفي سيامك‌‌‌‌‌‌(1881082)"</f>
        <v>غلام نجفي سيامك‌‌‌‌‌‌(1881082)</v>
      </c>
      <c r="V2073" s="1">
        <v>961900201</v>
      </c>
      <c r="W2073" s="1">
        <v>961900201</v>
      </c>
      <c r="X2073" s="1" t="str">
        <f>"1396554112"</f>
        <v>1396554112</v>
      </c>
      <c r="Y2073" s="1" t="str">
        <f>"96/12/22"</f>
        <v>96/12/22</v>
      </c>
      <c r="Z2073" s="1" t="str">
        <f>"47408/710"</f>
        <v>47408/710</v>
      </c>
      <c r="AA2073" s="1" t="str">
        <f>"سازمان راهداري وحمل نقل جاده اي"</f>
        <v>سازمان راهداري وحمل نقل جاده اي</v>
      </c>
      <c r="AB2073" s="1" t="str">
        <f>"96/09/14"</f>
        <v>96/09/14</v>
      </c>
      <c r="AC2073" s="1" t="str">
        <f>"كهكيلويه و بوير احمد"</f>
        <v>كهكيلويه و بوير احمد</v>
      </c>
      <c r="AD2073" s="1" t="str">
        <f>"96/12/21"</f>
        <v>96/12/21</v>
      </c>
      <c r="AE2073" s="1" t="str">
        <f>"اختتام"</f>
        <v>اختتام</v>
      </c>
      <c r="AF2073" s="1" t="str">
        <f>""</f>
        <v/>
      </c>
      <c r="AG2073" s="1" t="str">
        <f>""</f>
        <v/>
      </c>
      <c r="AH2073" s="1" t="str">
        <f>""</f>
        <v/>
      </c>
      <c r="AI2073" s="1" t="str">
        <f>""</f>
        <v/>
      </c>
      <c r="AJ2073" s="1" t="str">
        <f>""</f>
        <v/>
      </c>
      <c r="AK2073" s="1" t="str">
        <f>""</f>
        <v/>
      </c>
    </row>
    <row r="2074" spans="1:37">
      <c r="A2074" s="1">
        <v>15000</v>
      </c>
      <c r="B2074" s="1">
        <v>966200507</v>
      </c>
      <c r="C2074" s="1" t="str">
        <f>"تخليه-اردبيل -کيلومتر 25 اردبيل به نمين-سه راهي کارخانه سيمان شرکت آبادان يول"</f>
        <v>تخليه-اردبيل -کيلومتر 25 اردبيل به نمين-سه راهي کارخانه سيمان شرکت آبادان يول</v>
      </c>
      <c r="D2074" s="1">
        <v>13100</v>
      </c>
      <c r="E2074" s="1">
        <v>13920</v>
      </c>
      <c r="F2074" s="1">
        <v>96</v>
      </c>
      <c r="G2074" s="1">
        <v>1080</v>
      </c>
      <c r="H2074" s="1" t="str">
        <f>"96/10/17"</f>
        <v>96/10/17</v>
      </c>
      <c r="I2074" s="1" t="str">
        <f>"كيلوگرم"</f>
        <v>كيلوگرم</v>
      </c>
      <c r="J2074" s="1" t="str">
        <f>"0000000093"</f>
        <v>0000000093</v>
      </c>
      <c r="K2074" s="1" t="str">
        <f>"قير  PG64-10"</f>
        <v>قير  PG64-10</v>
      </c>
      <c r="L2074" s="1">
        <v>100</v>
      </c>
      <c r="M2074" s="1" t="str">
        <f>"مخازن قير اصفهان"</f>
        <v>مخازن قير اصفهان</v>
      </c>
      <c r="N2074" s="1">
        <v>11518</v>
      </c>
      <c r="O2074" s="1">
        <v>50038068</v>
      </c>
      <c r="P2074" s="1" t="str">
        <f>"  ترانشه بتن ميلاد"</f>
        <v xml:space="preserve">  ترانشه بتن ميلاد</v>
      </c>
      <c r="Q2074" s="1">
        <v>62</v>
      </c>
      <c r="R2074" s="1" t="str">
        <f>"فروش داخلي - سازمان بنيادمسكن انقلاب اسلامي"</f>
        <v>فروش داخلي - سازمان بنيادمسكن انقلاب اسلامي</v>
      </c>
      <c r="S2074" s="1" t="str">
        <f>"قرارداد فروش"</f>
        <v>قرارداد فروش</v>
      </c>
      <c r="T2074" s="1" t="str">
        <f>"ندارد"</f>
        <v>ندارد</v>
      </c>
      <c r="U2074" s="1" t="str">
        <f>"قراباغي علي اشرف(1901091)"</f>
        <v>قراباغي علي اشرف(1901091)</v>
      </c>
      <c r="V2074" s="1">
        <v>966200507</v>
      </c>
      <c r="W2074" s="1">
        <v>966200507</v>
      </c>
      <c r="X2074" s="1" t="str">
        <f>"1396538184"</f>
        <v>1396538184</v>
      </c>
      <c r="Y2074" s="1" t="str">
        <f>"96/10/17"</f>
        <v>96/10/17</v>
      </c>
      <c r="Z2074" s="1" t="str">
        <f>"44272/د"</f>
        <v>44272/د</v>
      </c>
      <c r="AA2074" s="1" t="str">
        <f>"بنيادمسكن انقلاب اسلامي"</f>
        <v>بنيادمسكن انقلاب اسلامي</v>
      </c>
      <c r="AB2074" s="1" t="str">
        <f>"96/10/06"</f>
        <v>96/10/06</v>
      </c>
      <c r="AC2074" s="1" t="str">
        <f>"استان گيلان"</f>
        <v>استان گيلان</v>
      </c>
      <c r="AD2074" s="1" t="str">
        <f>"96/10/17"</f>
        <v>96/10/17</v>
      </c>
      <c r="AE2074" s="1" t="str">
        <f>"اختتام"</f>
        <v>اختتام</v>
      </c>
      <c r="AF2074" s="1" t="str">
        <f>""</f>
        <v/>
      </c>
      <c r="AG2074" s="1" t="str">
        <f>""</f>
        <v/>
      </c>
      <c r="AH2074" s="1" t="str">
        <f>""</f>
        <v/>
      </c>
      <c r="AI2074" s="1" t="str">
        <f>""</f>
        <v/>
      </c>
      <c r="AJ2074" s="1" t="str">
        <f>""</f>
        <v/>
      </c>
      <c r="AK2074" s="1" t="str">
        <f>""</f>
        <v/>
      </c>
    </row>
    <row r="2075" spans="1:37">
      <c r="A2075" s="1">
        <v>40000</v>
      </c>
      <c r="B2075" s="1">
        <v>966200623</v>
      </c>
      <c r="C2075" s="1" t="str">
        <f>"گيلان-رضوانشهر-پره سر-ديناچال-کوچه آزادگان"</f>
        <v>گيلان-رضوانشهر-پره سر-ديناچال-کوچه آزادگان</v>
      </c>
      <c r="D2075" s="1">
        <v>13600</v>
      </c>
      <c r="E2075" s="1">
        <v>39860</v>
      </c>
      <c r="F2075" s="1">
        <v>96</v>
      </c>
      <c r="G2075" s="1">
        <v>140</v>
      </c>
      <c r="H2075" s="1" t="str">
        <f>"96/12/09"</f>
        <v>96/12/09</v>
      </c>
      <c r="I2075" s="1" t="str">
        <f>"كيلوگرم"</f>
        <v>كيلوگرم</v>
      </c>
      <c r="J2075" s="1" t="str">
        <f>"0000000093"</f>
        <v>0000000093</v>
      </c>
      <c r="K2075" s="1" t="str">
        <f>"قير  PG64-10"</f>
        <v>قير  PG64-10</v>
      </c>
      <c r="L2075" s="1">
        <v>100</v>
      </c>
      <c r="M2075" s="1" t="str">
        <f>"مخازن قير اصفهان"</f>
        <v>مخازن قير اصفهان</v>
      </c>
      <c r="N2075" s="1">
        <v>11542</v>
      </c>
      <c r="O2075" s="1">
        <v>50038685</v>
      </c>
      <c r="P2075" s="1" t="str">
        <f>"  ساميار تکسازان کارا"</f>
        <v xml:space="preserve">  ساميار تکسازان کارا</v>
      </c>
      <c r="Q2075" s="1">
        <v>62</v>
      </c>
      <c r="R2075" s="1" t="str">
        <f>"فروش داخلي - سازمان بنيادمسكن انقلاب اسلامي"</f>
        <v>فروش داخلي - سازمان بنيادمسكن انقلاب اسلامي</v>
      </c>
      <c r="S2075" s="1" t="str">
        <f>"قرارداد فروش"</f>
        <v>قرارداد فروش</v>
      </c>
      <c r="T2075" s="1" t="str">
        <f>"ندارد"</f>
        <v>ندارد</v>
      </c>
      <c r="U2075" s="1" t="str">
        <f>"حاج صادقي باقر(1841027)"</f>
        <v>حاج صادقي باقر(1841027)</v>
      </c>
      <c r="V2075" s="1">
        <v>966200623</v>
      </c>
      <c r="W2075" s="1">
        <v>966200623</v>
      </c>
      <c r="X2075" s="1" t="str">
        <f>"1396551612"</f>
        <v>1396551612</v>
      </c>
      <c r="Y2075" s="1" t="str">
        <f>"96/12/09"</f>
        <v>96/12/09</v>
      </c>
      <c r="Z2075" s="1" t="str">
        <f>"55729/د"</f>
        <v>55729/د</v>
      </c>
      <c r="AA2075" s="1" t="str">
        <f>"بنيادمسكن انقلاب اسلامي"</f>
        <v>بنيادمسكن انقلاب اسلامي</v>
      </c>
      <c r="AB2075" s="1" t="str">
        <f>"96/12/08"</f>
        <v>96/12/08</v>
      </c>
      <c r="AC2075" s="1" t="str">
        <f>"استان گيلان"</f>
        <v>استان گيلان</v>
      </c>
      <c r="AD2075" s="1" t="str">
        <f>"96/12/09"</f>
        <v>96/12/09</v>
      </c>
      <c r="AE2075" s="1" t="str">
        <f>"اختتام"</f>
        <v>اختتام</v>
      </c>
      <c r="AF2075" s="1" t="str">
        <f>""</f>
        <v/>
      </c>
      <c r="AG2075" s="1" t="str">
        <f>""</f>
        <v/>
      </c>
      <c r="AH2075" s="1" t="str">
        <f>""</f>
        <v/>
      </c>
      <c r="AI2075" s="1" t="str">
        <f>""</f>
        <v/>
      </c>
      <c r="AJ2075" s="1" t="str">
        <f>""</f>
        <v/>
      </c>
      <c r="AK2075" s="1" t="str">
        <f>""</f>
        <v/>
      </c>
    </row>
    <row r="2076" spans="1:37">
      <c r="A2076" s="1">
        <v>500000</v>
      </c>
      <c r="B2076" s="1">
        <v>961900089</v>
      </c>
      <c r="C2076" s="1" t="str">
        <f>"تخليه سه راهي پليس راه جندق - كارگاه شركت زرين سپاهان - 5 كيلومتر به سمت خوركارخانه آسفالت خور"</f>
        <v>تخليه سه راهي پليس راه جندق - كارگاه شركت زرين سپاهان - 5 كيلومتر به سمت خوركارخانه آسفالت خور</v>
      </c>
      <c r="D2076" s="1">
        <v>9504</v>
      </c>
      <c r="E2076" s="1">
        <v>498280</v>
      </c>
      <c r="F2076" s="1">
        <v>96</v>
      </c>
      <c r="G2076" s="1">
        <v>1720</v>
      </c>
      <c r="H2076" s="1" t="str">
        <f>"96/05/04"</f>
        <v>96/05/04</v>
      </c>
      <c r="I2076" s="1" t="str">
        <f>"كيلوگرم"</f>
        <v>كيلوگرم</v>
      </c>
      <c r="J2076" s="1" t="str">
        <f>"0000000094"</f>
        <v>0000000094</v>
      </c>
      <c r="K2076" s="1" t="str">
        <f>"قير  PG70-10"</f>
        <v>قير  PG70-10</v>
      </c>
      <c r="L2076" s="1">
        <v>100</v>
      </c>
      <c r="M2076" s="1" t="str">
        <f>"مخازن قير اصفهان"</f>
        <v>مخازن قير اصفهان</v>
      </c>
      <c r="N2076" s="1">
        <v>7140</v>
      </c>
      <c r="O2076" s="1">
        <v>50035739</v>
      </c>
      <c r="P2076" s="1" t="str">
        <f>"  زرين سپاهان"</f>
        <v xml:space="preserve">  زرين سپاهان</v>
      </c>
      <c r="Q2076" s="1">
        <v>19</v>
      </c>
      <c r="R2076" s="1" t="str">
        <f>"فروش داخلي تهران - وزارت راه - سازمان راهداري و حمل و نقل جاده ايي"</f>
        <v>فروش داخلي تهران - وزارت راه - سازمان راهداري و حمل و نقل جاده ايي</v>
      </c>
      <c r="S2076" s="1" t="str">
        <f>"قرارداد فروش"</f>
        <v>قرارداد فروش</v>
      </c>
      <c r="T2076" s="1" t="str">
        <f>"ندارد"</f>
        <v>ندارد</v>
      </c>
      <c r="U2076" s="1" t="str">
        <f>"مرادي نجاتعلي(1020ج89)"</f>
        <v>مرادي نجاتعلي(1020ج89)</v>
      </c>
      <c r="V2076" s="1">
        <v>961900089</v>
      </c>
      <c r="W2076" s="1">
        <v>961900089</v>
      </c>
      <c r="X2076" s="1" t="str">
        <f>"1396496302"</f>
        <v>1396496302</v>
      </c>
      <c r="Y2076" s="1" t="str">
        <f>"96/05/04"</f>
        <v>96/05/04</v>
      </c>
      <c r="Z2076" s="1" t="str">
        <f>"17682/710"</f>
        <v>17682/710</v>
      </c>
      <c r="AA2076" s="1" t="str">
        <f>"سازمان راهداري وحمل نقل جاده اي"</f>
        <v>سازمان راهداري وحمل نقل جاده اي</v>
      </c>
      <c r="AB2076" s="1" t="str">
        <f>"96/04/20"</f>
        <v>96/04/20</v>
      </c>
      <c r="AC2076" s="1" t="str">
        <f>"استان اصفهان"</f>
        <v>استان اصفهان</v>
      </c>
      <c r="AD2076" s="1" t="str">
        <f>"96/04/21"</f>
        <v>96/04/21</v>
      </c>
      <c r="AE2076" s="1" t="str">
        <f>"اختتام"</f>
        <v>اختتام</v>
      </c>
      <c r="AF2076" s="1" t="str">
        <f>""</f>
        <v/>
      </c>
      <c r="AG2076" s="1" t="str">
        <f>""</f>
        <v/>
      </c>
      <c r="AH2076" s="1" t="str">
        <f>""</f>
        <v/>
      </c>
      <c r="AI2076" s="1" t="str">
        <f>""</f>
        <v/>
      </c>
      <c r="AJ2076" s="1" t="str">
        <f>""</f>
        <v/>
      </c>
      <c r="AK2076" s="1" t="str">
        <f>""</f>
        <v/>
      </c>
    </row>
    <row r="2077" spans="1:37">
      <c r="A2077" s="1">
        <v>280000</v>
      </c>
      <c r="B2077" s="1">
        <v>961100123</v>
      </c>
      <c r="C2077" s="1" t="str">
        <f>"تخليه -زابل -کيلومتر45جاده زابل -نهبندان -نرسيده به روستاي ميل نادر-موسسه نصر"</f>
        <v>تخليه -زابل -کيلومتر45جاده زابل -نهبندان -نرسيده به روستاي ميل نادر-موسسه نصر</v>
      </c>
      <c r="D2077" s="1">
        <v>13850</v>
      </c>
      <c r="E2077" s="1">
        <v>278280</v>
      </c>
      <c r="F2077" s="1">
        <v>96</v>
      </c>
      <c r="G2077" s="1">
        <v>1720</v>
      </c>
      <c r="H2077" s="1" t="str">
        <f>"96/11/19"</f>
        <v>96/11/19</v>
      </c>
      <c r="I2077" s="1" t="str">
        <f>"كيلوگرم"</f>
        <v>كيلوگرم</v>
      </c>
      <c r="J2077" s="1" t="str">
        <f>"0000000094"</f>
        <v>0000000094</v>
      </c>
      <c r="K2077" s="1" t="str">
        <f>"قير  PG70-10"</f>
        <v>قير  PG70-10</v>
      </c>
      <c r="L2077" s="1">
        <v>100</v>
      </c>
      <c r="M2077" s="1" t="str">
        <f>"مخازن قير اصفهان"</f>
        <v>مخازن قير اصفهان</v>
      </c>
      <c r="N2077" s="1">
        <v>8316</v>
      </c>
      <c r="O2077" s="1">
        <v>50038457</v>
      </c>
      <c r="P2077" s="1" t="str">
        <f>"  موسسه سازندگي نصر"</f>
        <v xml:space="preserve">  موسسه سازندگي نصر</v>
      </c>
      <c r="Q2077" s="1">
        <v>11</v>
      </c>
      <c r="R2077" s="1" t="str">
        <f>"فروش داخلي تهران - بورس"</f>
        <v>فروش داخلي تهران - بورس</v>
      </c>
      <c r="S2077" s="1" t="str">
        <f>"قرارداد فروش"</f>
        <v>قرارداد فروش</v>
      </c>
      <c r="T2077" s="1" t="str">
        <f>"ندارد"</f>
        <v>ندارد</v>
      </c>
      <c r="U2077" s="1" t="str">
        <f>"ميرحسيني چاپارحقيقت كرمان(4844008)"</f>
        <v>ميرحسيني چاپارحقيقت كرمان(4844008)</v>
      </c>
      <c r="V2077" s="1">
        <v>961100123</v>
      </c>
      <c r="W2077" s="1">
        <v>961100123</v>
      </c>
      <c r="X2077" s="1" t="str">
        <f>"1396546936"</f>
        <v>1396546936</v>
      </c>
      <c r="Y2077" s="1" t="str">
        <f>"96/11/18"</f>
        <v>96/11/18</v>
      </c>
      <c r="Z2077" s="1" t="str">
        <f>"240/61/65/21218/س"</f>
        <v>240/61/65/21218/س</v>
      </c>
      <c r="AA2077" s="1" t="str">
        <f>"راه سازي"</f>
        <v>راه سازي</v>
      </c>
      <c r="AB2077" s="1" t="str">
        <f>"96/11/02"</f>
        <v>96/11/02</v>
      </c>
      <c r="AC2077" s="1" t="str">
        <f>"استان سيستان بلوچستان"</f>
        <v>استان سيستان بلوچستان</v>
      </c>
      <c r="AD2077" s="1" t="str">
        <f>"96/11/18"</f>
        <v>96/11/18</v>
      </c>
      <c r="AE2077" s="1" t="str">
        <f>"اختتام"</f>
        <v>اختتام</v>
      </c>
      <c r="AF2077" s="1" t="str">
        <f>""</f>
        <v/>
      </c>
      <c r="AG2077" s="1" t="str">
        <f>""</f>
        <v/>
      </c>
      <c r="AH2077" s="1" t="str">
        <f>""</f>
        <v/>
      </c>
      <c r="AI2077" s="1" t="str">
        <f>""</f>
        <v/>
      </c>
      <c r="AJ2077" s="1" t="str">
        <f>""</f>
        <v/>
      </c>
      <c r="AK2077" s="1" t="str">
        <f>""</f>
        <v/>
      </c>
    </row>
    <row r="2078" spans="1:37">
      <c r="A2078" s="1">
        <v>315000</v>
      </c>
      <c r="B2078" s="1">
        <v>966200564</v>
      </c>
      <c r="C2078" s="1" t="str">
        <f>"تخليه -سيستان وبلوچستان -هامون شهرمحمدآباد-كيلومتر5روستاي شهرك مير-كارخانه آسفالت برادران طباطبائي"</f>
        <v>تخليه -سيستان وبلوچستان -هامون شهرمحمدآباد-كيلومتر5روستاي شهرك مير-كارخانه آسفالت برادران طباطبائي</v>
      </c>
      <c r="D2078" s="1">
        <v>13850</v>
      </c>
      <c r="E2078" s="1">
        <v>315000</v>
      </c>
      <c r="F2078" s="1">
        <v>96</v>
      </c>
      <c r="G2078" s="1">
        <v>0</v>
      </c>
      <c r="H2078" s="1" t="str">
        <f>"96/11/16"</f>
        <v>96/11/16</v>
      </c>
      <c r="I2078" s="1" t="str">
        <f>"كيلوگرم"</f>
        <v>كيلوگرم</v>
      </c>
      <c r="J2078" s="1" t="str">
        <f>"0000000094"</f>
        <v>0000000094</v>
      </c>
      <c r="K2078" s="1" t="str">
        <f>"قير  PG70-10"</f>
        <v>قير  PG70-10</v>
      </c>
      <c r="L2078" s="1">
        <v>100</v>
      </c>
      <c r="M2078" s="1" t="str">
        <f>"مخازن قير اصفهان"</f>
        <v>مخازن قير اصفهان</v>
      </c>
      <c r="N2078" s="1">
        <v>10421</v>
      </c>
      <c r="O2078" s="1">
        <v>50038398</v>
      </c>
      <c r="P2078" s="1" t="str">
        <f>"  تعاوني راه وساختمان  3136سيستان سازه زابل"</f>
        <v xml:space="preserve">  تعاوني راه وساختمان  3136سيستان سازه زابل</v>
      </c>
      <c r="Q2078" s="1">
        <v>62</v>
      </c>
      <c r="R2078" s="1" t="str">
        <f>"فروش داخلي - سازمان بنيادمسكن انقلاب اسلامي"</f>
        <v>فروش داخلي - سازمان بنيادمسكن انقلاب اسلامي</v>
      </c>
      <c r="S2078" s="1" t="str">
        <f>"قرارداد فروش"</f>
        <v>قرارداد فروش</v>
      </c>
      <c r="T2078" s="1" t="str">
        <f>"ندارد"</f>
        <v>ندارد</v>
      </c>
      <c r="U2078" s="1" t="str">
        <f>"قانعي محمدرضا(1011ج89)"</f>
        <v>قانعي محمدرضا(1011ج89)</v>
      </c>
      <c r="V2078" s="1">
        <v>966200564</v>
      </c>
      <c r="W2078" s="1">
        <v>966200564</v>
      </c>
      <c r="X2078" s="1" t="str">
        <f>"1396545591"</f>
        <v>1396545591</v>
      </c>
      <c r="Y2078" s="1" t="str">
        <f>"96/11/16"</f>
        <v>96/11/16</v>
      </c>
      <c r="Z2078" s="1" t="str">
        <f>"51331/د"</f>
        <v>51331/د</v>
      </c>
      <c r="AA2078" s="1" t="str">
        <f>"بنيادمسكن انقلاب اسلامي"</f>
        <v>بنيادمسكن انقلاب اسلامي</v>
      </c>
      <c r="AB2078" s="1" t="str">
        <f>"96/11/15"</f>
        <v>96/11/15</v>
      </c>
      <c r="AC2078" s="1" t="str">
        <f>"استان سيستان بلوچستان"</f>
        <v>استان سيستان بلوچستان</v>
      </c>
      <c r="AD2078" s="1" t="str">
        <f>"96/11/16"</f>
        <v>96/11/16</v>
      </c>
      <c r="AE2078" s="1" t="str">
        <f>"اختتام"</f>
        <v>اختتام</v>
      </c>
      <c r="AF2078" s="1" t="str">
        <f>""</f>
        <v/>
      </c>
      <c r="AG2078" s="1" t="str">
        <f>""</f>
        <v/>
      </c>
      <c r="AH2078" s="1" t="str">
        <f>""</f>
        <v/>
      </c>
      <c r="AI2078" s="1" t="str">
        <f>""</f>
        <v/>
      </c>
      <c r="AJ2078" s="1" t="str">
        <f>""</f>
        <v/>
      </c>
      <c r="AK2078" s="1" t="str">
        <f>""</f>
        <v/>
      </c>
    </row>
    <row r="2079" spans="1:37">
      <c r="A2079" s="1">
        <v>46000</v>
      </c>
      <c r="B2079" s="1">
        <v>966200333</v>
      </c>
      <c r="C2079" s="1" t="str">
        <f>"تخليه-ايلام-آبدانان-کيلومتر 5 جاده روستاي ماهوته"</f>
        <v>تخليه-ايلام-آبدانان-کيلومتر 5 جاده روستاي ماهوته</v>
      </c>
      <c r="D2079" s="1">
        <v>9663</v>
      </c>
      <c r="E2079" s="1">
        <v>44380</v>
      </c>
      <c r="F2079" s="1">
        <v>96</v>
      </c>
      <c r="G2079" s="1">
        <v>1620</v>
      </c>
      <c r="H2079" s="1" t="str">
        <f>"96/07/24"</f>
        <v>96/07/24</v>
      </c>
      <c r="I2079" s="1" t="str">
        <f>"كيلوگرم"</f>
        <v>كيلوگرم</v>
      </c>
      <c r="J2079" s="1" t="str">
        <f>"0000000094"</f>
        <v>0000000094</v>
      </c>
      <c r="K2079" s="1" t="str">
        <f>"قير  PG70-10"</f>
        <v>قير  PG70-10</v>
      </c>
      <c r="L2079" s="1">
        <v>100</v>
      </c>
      <c r="M2079" s="1" t="str">
        <f>"مخازن قير اصفهان"</f>
        <v>مخازن قير اصفهان</v>
      </c>
      <c r="N2079" s="1">
        <v>11478</v>
      </c>
      <c r="O2079" s="1">
        <v>50036763</v>
      </c>
      <c r="P2079" s="1" t="str">
        <f>"  پارس سازه آبدانان"</f>
        <v xml:space="preserve">  پارس سازه آبدانان</v>
      </c>
      <c r="Q2079" s="1">
        <v>62</v>
      </c>
      <c r="R2079" s="1" t="str">
        <f>"فروش داخلي - سازمان بنيادمسكن انقلاب اسلامي"</f>
        <v>فروش داخلي - سازمان بنيادمسكن انقلاب اسلامي</v>
      </c>
      <c r="S2079" s="1" t="str">
        <f>"قرارداد فروش"</f>
        <v>قرارداد فروش</v>
      </c>
      <c r="T2079" s="1" t="str">
        <f>"ندارد"</f>
        <v>ندارد</v>
      </c>
      <c r="U2079" s="1" t="str">
        <f>"عظيمي محمد(2842015)"</f>
        <v>عظيمي محمد(2842015)</v>
      </c>
      <c r="V2079" s="1">
        <v>966200333</v>
      </c>
      <c r="W2079" s="1">
        <v>966200333</v>
      </c>
      <c r="X2079" s="1" t="str">
        <f>"1396518916"</f>
        <v>1396518916</v>
      </c>
      <c r="Y2079" s="1" t="str">
        <f>"96/07/24"</f>
        <v>96/07/24</v>
      </c>
      <c r="Z2079" s="1" t="str">
        <f>"32893/د"</f>
        <v>32893/د</v>
      </c>
      <c r="AA2079" s="1" t="str">
        <f>"بنيادمسكن انقلاب اسلامي"</f>
        <v>بنيادمسكن انقلاب اسلامي</v>
      </c>
      <c r="AB2079" s="1" t="str">
        <f>"96/07/24"</f>
        <v>96/07/24</v>
      </c>
      <c r="AC2079" s="1" t="str">
        <f>"استان ايلام"</f>
        <v>استان ايلام</v>
      </c>
      <c r="AD2079" s="1" t="str">
        <f>"96/07/24"</f>
        <v>96/07/24</v>
      </c>
      <c r="AE2079" s="1" t="str">
        <f>"اختتام"</f>
        <v>اختتام</v>
      </c>
      <c r="AF2079" s="1" t="str">
        <f>""</f>
        <v/>
      </c>
      <c r="AG2079" s="1" t="str">
        <f>""</f>
        <v/>
      </c>
      <c r="AH2079" s="1" t="str">
        <f>""</f>
        <v/>
      </c>
      <c r="AI2079" s="1" t="str">
        <f>""</f>
        <v/>
      </c>
      <c r="AJ2079" s="1" t="str">
        <f>""</f>
        <v/>
      </c>
      <c r="AK2079" s="1" t="str">
        <f>""</f>
        <v/>
      </c>
    </row>
    <row r="2080" spans="1:37">
      <c r="A2080" s="1">
        <v>23000</v>
      </c>
      <c r="B2080" s="1">
        <v>961100001</v>
      </c>
      <c r="C2080" s="1" t="str">
        <f>"تخليه كردستان سنندج كيلومتر6جاده سنندج كرمانشاه مجتمع توليدي اييدر"</f>
        <v>تخليه كردستان سنندج كيلومتر6جاده سنندج كرمانشاه مجتمع توليدي اييدر</v>
      </c>
      <c r="D2080" s="1">
        <v>8198</v>
      </c>
      <c r="E2080" s="1">
        <v>21300</v>
      </c>
      <c r="F2080" s="1">
        <v>96</v>
      </c>
      <c r="G2080" s="1">
        <v>1700</v>
      </c>
      <c r="H2080" s="1" t="str">
        <f>"96/01/23"</f>
        <v>96/01/23</v>
      </c>
      <c r="I2080" s="1" t="str">
        <f>"كيلوگرم"</f>
        <v>كيلوگرم</v>
      </c>
      <c r="J2080" s="1" t="str">
        <f>"1000000002"</f>
        <v>1000000002</v>
      </c>
      <c r="K2080" s="1" t="str">
        <f>"قير 85/100 - فله"</f>
        <v>قير 85/100 - فله</v>
      </c>
      <c r="L2080" s="1">
        <v>100</v>
      </c>
      <c r="M2080" s="1" t="str">
        <f>"مخازن قير اصفهان"</f>
        <v>مخازن قير اصفهان</v>
      </c>
      <c r="N2080" s="1">
        <v>4009</v>
      </c>
      <c r="O2080" s="1">
        <v>50034575</v>
      </c>
      <c r="P2080" s="1" t="str">
        <f>"  سازمان عمران و بازآفريني فضاي شهري شهرداري سنندج (2849000)"</f>
        <v xml:space="preserve">  سازمان عمران و بازآفريني فضاي شهري شهرداري سنندج (2849000)</v>
      </c>
      <c r="Q2080" s="1">
        <v>11</v>
      </c>
      <c r="R2080" s="1" t="str">
        <f>"فروش داخلي تهران - بورس"</f>
        <v>فروش داخلي تهران - بورس</v>
      </c>
      <c r="S2080" s="1" t="str">
        <f>"قرارداد فروش"</f>
        <v>قرارداد فروش</v>
      </c>
      <c r="T2080" s="1" t="str">
        <f>"ندارد"</f>
        <v>ندارد</v>
      </c>
      <c r="U2080" s="1" t="str">
        <f>"سازمان عمران و بازآفريني فضاي شهري شهرداري سنندج (2849000)"</f>
        <v>سازمان عمران و بازآفريني فضاي شهري شهرداري سنندج (2849000)</v>
      </c>
      <c r="V2080" s="1">
        <v>961100001</v>
      </c>
      <c r="W2080" s="1">
        <v>961100001</v>
      </c>
      <c r="X2080" s="1" t="str">
        <f>"1396472557"</f>
        <v>1396472557</v>
      </c>
      <c r="Y2080" s="1" t="str">
        <f>"96/01/21"</f>
        <v>96/01/21</v>
      </c>
      <c r="Z2080" s="1" t="str">
        <f>"95-35300"</f>
        <v>95-35300</v>
      </c>
      <c r="AA2080" s="1" t="str">
        <f>"شهرداريها"</f>
        <v>شهرداريها</v>
      </c>
      <c r="AB2080" s="1" t="str">
        <f>"96/01/21"</f>
        <v>96/01/21</v>
      </c>
      <c r="AC2080" s="1" t="str">
        <f>"استان كردستان"</f>
        <v>استان كردستان</v>
      </c>
      <c r="AD2080" s="1" t="str">
        <f>"96/01/19"</f>
        <v>96/01/19</v>
      </c>
      <c r="AE2080" s="1" t="str">
        <f>"اختتام"</f>
        <v>اختتام</v>
      </c>
      <c r="AF2080" s="1" t="str">
        <f>""</f>
        <v/>
      </c>
      <c r="AG2080" s="1" t="str">
        <f>""</f>
        <v/>
      </c>
      <c r="AH2080" s="1" t="str">
        <f>""</f>
        <v/>
      </c>
      <c r="AI2080" s="1" t="str">
        <f>""</f>
        <v/>
      </c>
      <c r="AJ2080" s="1" t="str">
        <f>""</f>
        <v/>
      </c>
      <c r="AK2080" s="1" t="str">
        <f>""</f>
        <v/>
      </c>
    </row>
    <row r="2081" spans="1:37">
      <c r="A2081" s="1">
        <v>250000</v>
      </c>
      <c r="B2081" s="1">
        <v>961100078</v>
      </c>
      <c r="C2081" s="1" t="str">
        <f>"تخليه -چهارمحال وبختياري -پروژه شهركرد-سامان -تيران -شهرداري شهركرد"</f>
        <v>تخليه -چهارمحال وبختياري -پروژه شهركرد-سامان -تيران -شهرداري شهركرد</v>
      </c>
      <c r="D2081" s="1">
        <v>9113</v>
      </c>
      <c r="E2081" s="1">
        <v>250000</v>
      </c>
      <c r="F2081" s="1">
        <v>96</v>
      </c>
      <c r="G2081" s="1">
        <v>0</v>
      </c>
      <c r="H2081" s="1" t="str">
        <f>"96/07/22"</f>
        <v>96/07/22</v>
      </c>
      <c r="I2081" s="1" t="str">
        <f>"كيلوگرم"</f>
        <v>كيلوگرم</v>
      </c>
      <c r="J2081" s="1" t="str">
        <f>"1000000002"</f>
        <v>1000000002</v>
      </c>
      <c r="K2081" s="1" t="str">
        <f>"قير 85/100 - فله"</f>
        <v>قير 85/100 - فله</v>
      </c>
      <c r="L2081" s="1">
        <v>100</v>
      </c>
      <c r="M2081" s="1" t="str">
        <f>"مخازن قير اصفهان"</f>
        <v>مخازن قير اصفهان</v>
      </c>
      <c r="N2081" s="1">
        <v>7047</v>
      </c>
      <c r="O2081" s="1">
        <v>50036700</v>
      </c>
      <c r="P2081" s="1" t="str">
        <f>"  شهرداري شهركرد"</f>
        <v xml:space="preserve">  شهرداري شهركرد</v>
      </c>
      <c r="Q2081" s="1">
        <v>11</v>
      </c>
      <c r="R2081" s="1" t="str">
        <f>"فروش داخلي تهران - بورس"</f>
        <v>فروش داخلي تهران - بورس</v>
      </c>
      <c r="S2081" s="1" t="str">
        <f>"قرارداد فروش"</f>
        <v>قرارداد فروش</v>
      </c>
      <c r="T2081" s="1" t="str">
        <f>"ندارد"</f>
        <v>ندارد</v>
      </c>
      <c r="U2081" s="1" t="str">
        <f>"مظلوم فريبرز(1008ج89)"</f>
        <v>مظلوم فريبرز(1008ج89)</v>
      </c>
      <c r="V2081" s="1">
        <v>961100078</v>
      </c>
      <c r="W2081" s="1">
        <v>961100078</v>
      </c>
      <c r="X2081" s="1" t="str">
        <f>"1396517385"</f>
        <v>1396517385</v>
      </c>
      <c r="Y2081" s="1" t="str">
        <f>"96/07/20"</f>
        <v>96/07/20</v>
      </c>
      <c r="Z2081" s="1" t="str">
        <f>"96-36357"</f>
        <v>96-36357</v>
      </c>
      <c r="AA2081" s="1" t="str">
        <f>"شهرداريها"</f>
        <v>شهرداريها</v>
      </c>
      <c r="AB2081" s="1" t="str">
        <f>"96/07/19"</f>
        <v>96/07/19</v>
      </c>
      <c r="AC2081" s="1" t="str">
        <f>"استان چهارمحال بختياري"</f>
        <v>استان چهارمحال بختياري</v>
      </c>
      <c r="AD2081" s="1" t="str">
        <f>"96/07/17"</f>
        <v>96/07/17</v>
      </c>
      <c r="AE2081" s="1" t="str">
        <f>"اختتام"</f>
        <v>اختتام</v>
      </c>
      <c r="AF2081" s="1" t="str">
        <f>""</f>
        <v/>
      </c>
      <c r="AG2081" s="1" t="str">
        <f>""</f>
        <v/>
      </c>
      <c r="AH2081" s="1" t="str">
        <f>""</f>
        <v/>
      </c>
      <c r="AI2081" s="1" t="str">
        <f>""</f>
        <v/>
      </c>
      <c r="AJ2081" s="1" t="str">
        <f>""</f>
        <v/>
      </c>
      <c r="AK2081" s="1" t="str">
        <f>""</f>
        <v/>
      </c>
    </row>
    <row r="2082" spans="1:37">
      <c r="A2082" s="1">
        <v>250000</v>
      </c>
      <c r="B2082" s="1">
        <v>961100091</v>
      </c>
      <c r="C2082" s="1" t="str">
        <f>"تخليه -شهركرد-جاده دانشگاه آزادعراضي منصوريه -كارخانه آسفالت شهرداري شهركرد"</f>
        <v>تخليه -شهركرد-جاده دانشگاه آزادعراضي منصوريه -كارخانه آسفالت شهرداري شهركرد</v>
      </c>
      <c r="D2082" s="1">
        <v>9416</v>
      </c>
      <c r="E2082" s="1">
        <v>247760</v>
      </c>
      <c r="F2082" s="1">
        <v>96</v>
      </c>
      <c r="G2082" s="1">
        <v>2240</v>
      </c>
      <c r="H2082" s="1" t="str">
        <f>"96/08/16"</f>
        <v>96/08/16</v>
      </c>
      <c r="I2082" s="1" t="str">
        <f>"كيلوگرم"</f>
        <v>كيلوگرم</v>
      </c>
      <c r="J2082" s="1" t="str">
        <f>"1000000002"</f>
        <v>1000000002</v>
      </c>
      <c r="K2082" s="1" t="str">
        <f>"قير 85/100 - فله"</f>
        <v>قير 85/100 - فله</v>
      </c>
      <c r="L2082" s="1">
        <v>100</v>
      </c>
      <c r="M2082" s="1" t="str">
        <f>"مخازن قير اصفهان"</f>
        <v>مخازن قير اصفهان</v>
      </c>
      <c r="N2082" s="1">
        <v>7047</v>
      </c>
      <c r="O2082" s="1">
        <v>50037093</v>
      </c>
      <c r="P2082" s="1" t="str">
        <f>"  شهرداري شهركرد"</f>
        <v xml:space="preserve">  شهرداري شهركرد</v>
      </c>
      <c r="Q2082" s="1">
        <v>11</v>
      </c>
      <c r="R2082" s="1" t="str">
        <f>"فروش داخلي تهران - بورس"</f>
        <v>فروش داخلي تهران - بورس</v>
      </c>
      <c r="S2082" s="1" t="str">
        <f>"قرارداد فروش"</f>
        <v>قرارداد فروش</v>
      </c>
      <c r="T2082" s="1" t="str">
        <f>"ندارد"</f>
        <v>ندارد</v>
      </c>
      <c r="U2082" s="1" t="str">
        <f>"مظلوم فريبرز(1008ج89)"</f>
        <v>مظلوم فريبرز(1008ج89)</v>
      </c>
      <c r="V2082" s="1">
        <v>961100091</v>
      </c>
      <c r="W2082" s="1">
        <v>961100091</v>
      </c>
      <c r="X2082" s="1" t="str">
        <f>"1396523521"</f>
        <v>1396523521</v>
      </c>
      <c r="Y2082" s="1" t="str">
        <f>"96/08/16"</f>
        <v>96/08/16</v>
      </c>
      <c r="Z2082" s="1" t="str">
        <f>"96-36551"</f>
        <v>96-36551</v>
      </c>
      <c r="AA2082" s="1" t="str">
        <f>"شهرداريها"</f>
        <v>شهرداريها</v>
      </c>
      <c r="AB2082" s="1" t="str">
        <f>"96/08/15"</f>
        <v>96/08/15</v>
      </c>
      <c r="AC2082" s="1" t="str">
        <f>"استان چهارمحال بختياري"</f>
        <v>استان چهارمحال بختياري</v>
      </c>
      <c r="AD2082" s="1" t="str">
        <f>"96/08/13"</f>
        <v>96/08/13</v>
      </c>
      <c r="AE2082" s="1" t="str">
        <f>"اختتام"</f>
        <v>اختتام</v>
      </c>
      <c r="AF2082" s="1" t="str">
        <f>""</f>
        <v/>
      </c>
      <c r="AG2082" s="1" t="str">
        <f>""</f>
        <v/>
      </c>
      <c r="AH2082" s="1" t="str">
        <f>""</f>
        <v/>
      </c>
      <c r="AI2082" s="1" t="str">
        <f>""</f>
        <v/>
      </c>
      <c r="AJ2082" s="1" t="str">
        <f>""</f>
        <v/>
      </c>
      <c r="AK2082" s="1" t="str">
        <f>""</f>
        <v/>
      </c>
    </row>
    <row r="2083" spans="1:37">
      <c r="A2083" s="1">
        <v>51115</v>
      </c>
      <c r="B2083" s="1">
        <v>962000365</v>
      </c>
      <c r="C2083" s="1" t="str">
        <f>"تخليه -چهارمحال وبختياري -شهرستان سامان -جنب شهرك صنعتي 2-شركت سامان ساخت"</f>
        <v>تخليه -چهارمحال وبختياري -شهرستان سامان -جنب شهرك صنعتي 2-شركت سامان ساخت</v>
      </c>
      <c r="D2083" s="1">
        <v>12820</v>
      </c>
      <c r="E2083" s="1">
        <v>51115</v>
      </c>
      <c r="F2083" s="1">
        <v>96</v>
      </c>
      <c r="G2083" s="1">
        <v>0</v>
      </c>
      <c r="H2083" s="1" t="str">
        <f>"96/09/19"</f>
        <v>96/09/19</v>
      </c>
      <c r="I2083" s="1" t="str">
        <f>"كيلوگرم"</f>
        <v>كيلوگرم</v>
      </c>
      <c r="J2083" s="1" t="str">
        <f>"1000000002"</f>
        <v>1000000002</v>
      </c>
      <c r="K2083" s="1" t="str">
        <f>"قير 85/100 - فله"</f>
        <v>قير 85/100 - فله</v>
      </c>
      <c r="L2083" s="1">
        <v>100</v>
      </c>
      <c r="M2083" s="1" t="str">
        <f>"مخازن قير اصفهان"</f>
        <v>مخازن قير اصفهان</v>
      </c>
      <c r="N2083" s="1">
        <v>9668</v>
      </c>
      <c r="O2083" s="1">
        <v>50037661</v>
      </c>
      <c r="P2083" s="1" t="str">
        <f>"  شهرداري بن"</f>
        <v xml:space="preserve">  شهرداري بن</v>
      </c>
      <c r="Q2083" s="1">
        <v>20</v>
      </c>
      <c r="R2083" s="1" t="str">
        <f>"فروش داخلي - سازمان شهرداري ها و دهياري هاي كشور"</f>
        <v>فروش داخلي - سازمان شهرداري ها و دهياري هاي كشور</v>
      </c>
      <c r="S2083" s="1" t="str">
        <f>"قرارداد فروش"</f>
        <v>قرارداد فروش</v>
      </c>
      <c r="T2083" s="1" t="str">
        <f>"ندارد"</f>
        <v>ندارد</v>
      </c>
      <c r="U2083" s="1" t="str">
        <f>"تعاوني جم گستر (1001 ج 89)"</f>
        <v>تعاوني جم گستر (1001 ج 89)</v>
      </c>
      <c r="V2083" s="1">
        <v>962000365</v>
      </c>
      <c r="W2083" s="1">
        <v>962000365</v>
      </c>
      <c r="X2083" s="1" t="str">
        <f>"1396529715"</f>
        <v>1396529715</v>
      </c>
      <c r="Y2083" s="1" t="str">
        <f>"96/09/18"</f>
        <v>96/09/18</v>
      </c>
      <c r="Z2083" s="1" t="str">
        <f>"38484مرحله دوم"</f>
        <v>38484مرحله دوم</v>
      </c>
      <c r="AA2083" s="1" t="str">
        <f>"شهرداريها"</f>
        <v>شهرداريها</v>
      </c>
      <c r="AB2083" s="1" t="str">
        <f>"96/09/11"</f>
        <v>96/09/11</v>
      </c>
      <c r="AC2083" s="1" t="str">
        <f>"استان چهارمحال بختياري"</f>
        <v>استان چهارمحال بختياري</v>
      </c>
      <c r="AD2083" s="1" t="str">
        <f>"96/09/13"</f>
        <v>96/09/13</v>
      </c>
      <c r="AE2083" s="1" t="str">
        <f>"اختتام"</f>
        <v>اختتام</v>
      </c>
      <c r="AF2083" s="1" t="str">
        <f>""</f>
        <v/>
      </c>
      <c r="AG2083" s="1" t="str">
        <f>""</f>
        <v/>
      </c>
      <c r="AH2083" s="1" t="str">
        <f>""</f>
        <v/>
      </c>
      <c r="AI2083" s="1" t="str">
        <f>""</f>
        <v/>
      </c>
      <c r="AJ2083" s="1" t="str">
        <f>""</f>
        <v/>
      </c>
      <c r="AK2083" s="1" t="str">
        <f>""</f>
        <v/>
      </c>
    </row>
    <row r="2084" spans="1:37">
      <c r="A2084" s="1">
        <v>42798</v>
      </c>
      <c r="B2084" s="1">
        <v>962000372</v>
      </c>
      <c r="C2084" s="1" t="str">
        <f>"تخليه - چهارمحال-شهرکرد-هفشجان-نوآباد-کارخانه آسفالت سازمان همياري شهرداريها"</f>
        <v>تخليه - چهارمحال-شهرکرد-هفشجان-نوآباد-کارخانه آسفالت سازمان همياري شهرداريها</v>
      </c>
      <c r="D2084" s="1">
        <v>12820</v>
      </c>
      <c r="E2084" s="1">
        <v>42798</v>
      </c>
      <c r="F2084" s="1">
        <v>96</v>
      </c>
      <c r="G2084" s="1">
        <v>0</v>
      </c>
      <c r="H2084" s="1" t="str">
        <f>"96/09/19"</f>
        <v>96/09/19</v>
      </c>
      <c r="I2084" s="1" t="str">
        <f>"كيلوگرم"</f>
        <v>كيلوگرم</v>
      </c>
      <c r="J2084" s="1" t="str">
        <f>"1000000002"</f>
        <v>1000000002</v>
      </c>
      <c r="K2084" s="1" t="str">
        <f>"قير 85/100 - فله"</f>
        <v>قير 85/100 - فله</v>
      </c>
      <c r="L2084" s="1">
        <v>100</v>
      </c>
      <c r="M2084" s="1" t="str">
        <f>"مخازن قير اصفهان"</f>
        <v>مخازن قير اصفهان</v>
      </c>
      <c r="N2084" s="1">
        <v>10718</v>
      </c>
      <c r="O2084" s="1">
        <v>50037669</v>
      </c>
      <c r="P2084" s="1" t="str">
        <f>"  شهرداري نافچ"</f>
        <v xml:space="preserve">  شهرداري نافچ</v>
      </c>
      <c r="Q2084" s="1">
        <v>20</v>
      </c>
      <c r="R2084" s="1" t="str">
        <f>"فروش داخلي - سازمان شهرداري ها و دهياري هاي كشور"</f>
        <v>فروش داخلي - سازمان شهرداري ها و دهياري هاي كشور</v>
      </c>
      <c r="S2084" s="1" t="str">
        <f>"قرارداد فروش"</f>
        <v>قرارداد فروش</v>
      </c>
      <c r="T2084" s="1" t="str">
        <f>"ندارد"</f>
        <v>ندارد</v>
      </c>
      <c r="U2084" s="1" t="str">
        <f>"تعاوني جم گستر (1001 ج 89)"</f>
        <v>تعاوني جم گستر (1001 ج 89)</v>
      </c>
      <c r="V2084" s="1">
        <v>962000372</v>
      </c>
      <c r="W2084" s="1">
        <v>962000372</v>
      </c>
      <c r="X2084" s="1" t="str">
        <f>"1396529715"</f>
        <v>1396529715</v>
      </c>
      <c r="Y2084" s="1" t="str">
        <f>"96/09/18"</f>
        <v>96/09/18</v>
      </c>
      <c r="Z2084" s="1" t="str">
        <f>"38500مرحله دوم"</f>
        <v>38500مرحله دوم</v>
      </c>
      <c r="AA2084" s="1" t="str">
        <f>"شهرداريها"</f>
        <v>شهرداريها</v>
      </c>
      <c r="AB2084" s="1" t="str">
        <f>"96/09/11"</f>
        <v>96/09/11</v>
      </c>
      <c r="AC2084" s="1" t="str">
        <f>"استان چهارمحال بختياري"</f>
        <v>استان چهارمحال بختياري</v>
      </c>
      <c r="AD2084" s="1" t="str">
        <f>"96/09/13"</f>
        <v>96/09/13</v>
      </c>
      <c r="AE2084" s="1" t="str">
        <f>"تاييدشده"</f>
        <v>تاييدشده</v>
      </c>
      <c r="AF2084" s="1" t="str">
        <f>""</f>
        <v/>
      </c>
      <c r="AG2084" s="1" t="str">
        <f>""</f>
        <v/>
      </c>
      <c r="AH2084" s="1" t="str">
        <f>""</f>
        <v/>
      </c>
      <c r="AI2084" s="1" t="str">
        <f>""</f>
        <v/>
      </c>
      <c r="AJ2084" s="1" t="str">
        <f>""</f>
        <v/>
      </c>
      <c r="AK2084" s="1" t="str">
        <f>""</f>
        <v/>
      </c>
    </row>
    <row r="2085" spans="1:37">
      <c r="A2085" s="1">
        <v>56541</v>
      </c>
      <c r="B2085" s="1">
        <v>962000378</v>
      </c>
      <c r="C2085" s="1" t="str">
        <f>"تخليه - چهارمحال -سه راهي فارسان-کارخانه آسفالت احمديه چليچه"</f>
        <v>تخليه - چهارمحال -سه راهي فارسان-کارخانه آسفالت احمديه چليچه</v>
      </c>
      <c r="D2085" s="1">
        <v>12820</v>
      </c>
      <c r="E2085" s="1">
        <v>56541</v>
      </c>
      <c r="F2085" s="1">
        <v>96</v>
      </c>
      <c r="G2085" s="1">
        <v>0</v>
      </c>
      <c r="H2085" s="1" t="str">
        <f>"96/09/19"</f>
        <v>96/09/19</v>
      </c>
      <c r="I2085" s="1" t="str">
        <f>"كيلوگرم"</f>
        <v>كيلوگرم</v>
      </c>
      <c r="J2085" s="1" t="str">
        <f>"1000000002"</f>
        <v>1000000002</v>
      </c>
      <c r="K2085" s="1" t="str">
        <f>"قير 85/100 - فله"</f>
        <v>قير 85/100 - فله</v>
      </c>
      <c r="L2085" s="1">
        <v>100</v>
      </c>
      <c r="M2085" s="1" t="str">
        <f>"مخازن قير اصفهان"</f>
        <v>مخازن قير اصفهان</v>
      </c>
      <c r="N2085" s="1">
        <v>10854</v>
      </c>
      <c r="O2085" s="1">
        <v>50037675</v>
      </c>
      <c r="P2085" s="1" t="str">
        <f>"  شهرداري جونقان"</f>
        <v xml:space="preserve">  شهرداري جونقان</v>
      </c>
      <c r="Q2085" s="1">
        <v>20</v>
      </c>
      <c r="R2085" s="1" t="str">
        <f>"فروش داخلي - سازمان شهرداري ها و دهياري هاي كشور"</f>
        <v>فروش داخلي - سازمان شهرداري ها و دهياري هاي كشور</v>
      </c>
      <c r="S2085" s="1" t="str">
        <f>"قرارداد فروش"</f>
        <v>قرارداد فروش</v>
      </c>
      <c r="T2085" s="1" t="str">
        <f>"ندارد"</f>
        <v>ندارد</v>
      </c>
      <c r="U2085" s="1" t="str">
        <f>"تعاوني جم گستر (1001 ج 89)"</f>
        <v>تعاوني جم گستر (1001 ج 89)</v>
      </c>
      <c r="V2085" s="1">
        <v>962000378</v>
      </c>
      <c r="W2085" s="1">
        <v>962000378</v>
      </c>
      <c r="X2085" s="1" t="str">
        <f>"1396529715"</f>
        <v>1396529715</v>
      </c>
      <c r="Y2085" s="1" t="str">
        <f>"96/09/19"</f>
        <v>96/09/19</v>
      </c>
      <c r="Z2085" s="1" t="str">
        <f>"38536مرحله دوم"</f>
        <v>38536مرحله دوم</v>
      </c>
      <c r="AA2085" s="1" t="str">
        <f>"شهرداريها"</f>
        <v>شهرداريها</v>
      </c>
      <c r="AB2085" s="1" t="str">
        <f>"96/09/11"</f>
        <v>96/09/11</v>
      </c>
      <c r="AC2085" s="1" t="str">
        <f>"استان چهارمحال بختياري"</f>
        <v>استان چهارمحال بختياري</v>
      </c>
      <c r="AD2085" s="1" t="str">
        <f>"96/09/13"</f>
        <v>96/09/13</v>
      </c>
      <c r="AE2085" s="1" t="str">
        <f>"اختتام"</f>
        <v>اختتام</v>
      </c>
      <c r="AF2085" s="1" t="str">
        <f>""</f>
        <v/>
      </c>
      <c r="AG2085" s="1" t="str">
        <f>""</f>
        <v/>
      </c>
      <c r="AH2085" s="1" t="str">
        <f>""</f>
        <v/>
      </c>
      <c r="AI2085" s="1" t="str">
        <f>""</f>
        <v/>
      </c>
      <c r="AJ2085" s="1" t="str">
        <f>""</f>
        <v/>
      </c>
      <c r="AK2085" s="1" t="str">
        <f>""</f>
        <v/>
      </c>
    </row>
    <row r="2086" spans="1:37">
      <c r="A2086" s="1">
        <v>51883</v>
      </c>
      <c r="B2086" s="1">
        <v>962000390</v>
      </c>
      <c r="C2086" s="1" t="str">
        <f>"تخليه چهارمحال وبختياري جاده لردگان خوزستان نرسيده به سه راهي ارمندشركت لردگان آسفالت"</f>
        <v>تخليه چهارمحال وبختياري جاده لردگان خوزستان نرسيده به سه راهي ارمندشركت لردگان آسفالت</v>
      </c>
      <c r="D2086" s="1">
        <v>12820</v>
      </c>
      <c r="E2086" s="1">
        <v>51883</v>
      </c>
      <c r="F2086" s="1">
        <v>96</v>
      </c>
      <c r="G2086" s="1">
        <v>0</v>
      </c>
      <c r="H2086" s="1" t="str">
        <f>"96/09/19"</f>
        <v>96/09/19</v>
      </c>
      <c r="I2086" s="1" t="str">
        <f>"كيلوگرم"</f>
        <v>كيلوگرم</v>
      </c>
      <c r="J2086" s="1" t="str">
        <f>"1000000002"</f>
        <v>1000000002</v>
      </c>
      <c r="K2086" s="1" t="str">
        <f>"قير 85/100 - فله"</f>
        <v>قير 85/100 - فله</v>
      </c>
      <c r="L2086" s="1">
        <v>100</v>
      </c>
      <c r="M2086" s="1" t="str">
        <f>"مخازن قير اصفهان"</f>
        <v>مخازن قير اصفهان</v>
      </c>
      <c r="N2086" s="1">
        <v>10857</v>
      </c>
      <c r="O2086" s="1">
        <v>50037687</v>
      </c>
      <c r="P2086" s="1" t="str">
        <f>"  شهرداري سردشت چهارمحال"</f>
        <v xml:space="preserve">  شهرداري سردشت چهارمحال</v>
      </c>
      <c r="Q2086" s="1">
        <v>20</v>
      </c>
      <c r="R2086" s="1" t="str">
        <f>"فروش داخلي - سازمان شهرداري ها و دهياري هاي كشور"</f>
        <v>فروش داخلي - سازمان شهرداري ها و دهياري هاي كشور</v>
      </c>
      <c r="S2086" s="1" t="str">
        <f>"قرارداد فروش"</f>
        <v>قرارداد فروش</v>
      </c>
      <c r="T2086" s="1" t="str">
        <f>"ندارد"</f>
        <v>ندارد</v>
      </c>
      <c r="U2086" s="1" t="str">
        <f>"تعاوني جم گستر (1001 ج 89)"</f>
        <v>تعاوني جم گستر (1001 ج 89)</v>
      </c>
      <c r="V2086" s="1">
        <v>962000390</v>
      </c>
      <c r="W2086" s="1">
        <v>962000390</v>
      </c>
      <c r="X2086" s="1" t="str">
        <f>"1396529715"</f>
        <v>1396529715</v>
      </c>
      <c r="Y2086" s="1" t="str">
        <f>"96/09/19"</f>
        <v>96/09/19</v>
      </c>
      <c r="Z2086" s="1" t="str">
        <f>"38509مرحله دوم"</f>
        <v>38509مرحله دوم</v>
      </c>
      <c r="AA2086" s="1" t="str">
        <f>"شهرداريها"</f>
        <v>شهرداريها</v>
      </c>
      <c r="AB2086" s="1" t="str">
        <f>"96/09/11"</f>
        <v>96/09/11</v>
      </c>
      <c r="AC2086" s="1" t="str">
        <f>"استان چهارمحال بختياري"</f>
        <v>استان چهارمحال بختياري</v>
      </c>
      <c r="AD2086" s="1" t="str">
        <f>"96/09/13"</f>
        <v>96/09/13</v>
      </c>
      <c r="AE2086" s="1" t="str">
        <f>"اختتام"</f>
        <v>اختتام</v>
      </c>
      <c r="AF2086" s="1" t="str">
        <f>""</f>
        <v/>
      </c>
      <c r="AG2086" s="1" t="str">
        <f>""</f>
        <v/>
      </c>
      <c r="AH2086" s="1" t="str">
        <f>""</f>
        <v/>
      </c>
      <c r="AI2086" s="1" t="str">
        <f>""</f>
        <v/>
      </c>
      <c r="AJ2086" s="1" t="str">
        <f>""</f>
        <v/>
      </c>
      <c r="AK2086" s="1" t="str">
        <f>""</f>
        <v/>
      </c>
    </row>
    <row r="2087" spans="1:37">
      <c r="A2087" s="1">
        <v>35000</v>
      </c>
      <c r="B2087" s="1">
        <v>966200393</v>
      </c>
      <c r="C2087" s="1" t="str">
        <f>"تخليه-چهارمحال-اردل-جنب تلمبه خانه شهيد زارع-کارخانه آسفالت شرکت آزمون فلز پارس"</f>
        <v>تخليه-چهارمحال-اردل-جنب تلمبه خانه شهيد زارع-کارخانه آسفالت شرکت آزمون فلز پارس</v>
      </c>
      <c r="D2087" s="1">
        <v>12820</v>
      </c>
      <c r="E2087" s="1">
        <v>34920</v>
      </c>
      <c r="F2087" s="1">
        <v>96</v>
      </c>
      <c r="G2087" s="1">
        <v>80</v>
      </c>
      <c r="H2087" s="1" t="str">
        <f>"96/09/08"</f>
        <v>96/09/08</v>
      </c>
      <c r="I2087" s="1" t="str">
        <f>"كيلوگرم"</f>
        <v>كيلوگرم</v>
      </c>
      <c r="J2087" s="1" t="str">
        <f>"1000000002"</f>
        <v>1000000002</v>
      </c>
      <c r="K2087" s="1" t="str">
        <f>"قير 85/100 - فله"</f>
        <v>قير 85/100 - فله</v>
      </c>
      <c r="L2087" s="1">
        <v>100</v>
      </c>
      <c r="M2087" s="1" t="str">
        <f>"مخازن قير اصفهان"</f>
        <v>مخازن قير اصفهان</v>
      </c>
      <c r="N2087" s="1">
        <v>11186</v>
      </c>
      <c r="O2087" s="1">
        <v>50037347</v>
      </c>
      <c r="P2087" s="1" t="str">
        <f>"  نبرد بتن فارسان"</f>
        <v xml:space="preserve">  نبرد بتن فارسان</v>
      </c>
      <c r="Q2087" s="1">
        <v>62</v>
      </c>
      <c r="R2087" s="1" t="str">
        <f>"فروش داخلي - سازمان بنيادمسكن انقلاب اسلامي"</f>
        <v>فروش داخلي - سازمان بنيادمسكن انقلاب اسلامي</v>
      </c>
      <c r="S2087" s="1" t="str">
        <f>"قرارداد فروش"</f>
        <v>قرارداد فروش</v>
      </c>
      <c r="T2087" s="1" t="str">
        <f>"ندارد"</f>
        <v>ندارد</v>
      </c>
      <c r="U2087" s="1" t="str">
        <f>"قره باغي مجيد(1871065)"</f>
        <v>قره باغي مجيد(1871065)</v>
      </c>
      <c r="V2087" s="1">
        <v>966200393</v>
      </c>
      <c r="W2087" s="1">
        <v>966200393</v>
      </c>
      <c r="X2087" s="1" t="str">
        <f>"1396529173"</f>
        <v>1396529173</v>
      </c>
      <c r="Y2087" s="1" t="str">
        <f>"96/09/08"</f>
        <v>96/09/08</v>
      </c>
      <c r="Z2087" s="1" t="str">
        <f>"37675/د"</f>
        <v>37675/د</v>
      </c>
      <c r="AA2087" s="1" t="str">
        <f>"بنيادمسكن انقلاب اسلامي"</f>
        <v>بنيادمسكن انقلاب اسلامي</v>
      </c>
      <c r="AB2087" s="1" t="str">
        <f>"96/08/22"</f>
        <v>96/08/22</v>
      </c>
      <c r="AC2087" s="1" t="str">
        <f>"استان چهارمحال بختياري"</f>
        <v>استان چهارمحال بختياري</v>
      </c>
      <c r="AD2087" s="1" t="str">
        <f>"96/09/08"</f>
        <v>96/09/08</v>
      </c>
      <c r="AE2087" s="1" t="str">
        <f>"اختتام"</f>
        <v>اختتام</v>
      </c>
      <c r="AF2087" s="1" t="str">
        <f>""</f>
        <v/>
      </c>
      <c r="AG2087" s="1" t="str">
        <f>""</f>
        <v/>
      </c>
      <c r="AH2087" s="1" t="str">
        <f>""</f>
        <v/>
      </c>
      <c r="AI2087" s="1" t="str">
        <f>""</f>
        <v/>
      </c>
      <c r="AJ2087" s="1" t="str">
        <f>""</f>
        <v/>
      </c>
      <c r="AK2087" s="1" t="str">
        <f>""</f>
        <v/>
      </c>
    </row>
    <row r="2088" spans="1:37">
      <c r="A2088" s="1">
        <v>50000</v>
      </c>
      <c r="B2088" s="1">
        <v>966200191</v>
      </c>
      <c r="C2088" s="1" t="str">
        <f>"تخليه -کيلومتر 45 جاده زنجان بيجار بعداز کارخانه سيمان خمسه -کارخانه آسفالت کاچار گستر غرب"</f>
        <v>تخليه -کيلومتر 45 جاده زنجان بيجار بعداز کارخانه سيمان خمسه -کارخانه آسفالت کاچار گستر غرب</v>
      </c>
      <c r="D2088" s="1">
        <v>8704</v>
      </c>
      <c r="E2088" s="1">
        <v>50000</v>
      </c>
      <c r="F2088" s="1">
        <v>96</v>
      </c>
      <c r="G2088" s="1">
        <v>0</v>
      </c>
      <c r="H2088" s="1" t="str">
        <f>"96/05/25"</f>
        <v>96/05/25</v>
      </c>
      <c r="I2088" s="1" t="str">
        <f>"كيلوگرم"</f>
        <v>كيلوگرم</v>
      </c>
      <c r="J2088" s="1" t="str">
        <f>"1000000002"</f>
        <v>1000000002</v>
      </c>
      <c r="K2088" s="1" t="str">
        <f>"قير 85/100 - فله"</f>
        <v>قير 85/100 - فله</v>
      </c>
      <c r="L2088" s="1">
        <v>100</v>
      </c>
      <c r="M2088" s="1" t="str">
        <f>"مخازن قير اصفهان"</f>
        <v>مخازن قير اصفهان</v>
      </c>
      <c r="N2088" s="1">
        <v>11237</v>
      </c>
      <c r="O2088" s="1">
        <v>50035680</v>
      </c>
      <c r="P2088" s="1" t="str">
        <f>"  بنياد مسکن انقلاب اسلامي زنجان"</f>
        <v xml:space="preserve">  بنياد مسکن انقلاب اسلامي زنجان</v>
      </c>
      <c r="Q2088" s="1">
        <v>62</v>
      </c>
      <c r="R2088" s="1" t="str">
        <f>"فروش داخلي - سازمان بنيادمسكن انقلاب اسلامي"</f>
        <v>فروش داخلي - سازمان بنيادمسكن انقلاب اسلامي</v>
      </c>
      <c r="S2088" s="1" t="str">
        <f>"قرارداد فروش"</f>
        <v>قرارداد فروش</v>
      </c>
      <c r="T2088" s="1" t="str">
        <f>"ندارد"</f>
        <v>ندارد</v>
      </c>
      <c r="U2088" s="1" t="str">
        <f>"فتاح زاده سيداحمد(3843011)"</f>
        <v>فتاح زاده سيداحمد(3843011)</v>
      </c>
      <c r="V2088" s="1">
        <v>966200191</v>
      </c>
      <c r="W2088" s="1">
        <v>966200191</v>
      </c>
      <c r="X2088" s="1" t="str">
        <f>"1396506172"</f>
        <v>1396506172</v>
      </c>
      <c r="Y2088" s="1" t="str">
        <f>"96/05/25"</f>
        <v>96/05/25</v>
      </c>
      <c r="Z2088" s="1" t="str">
        <f>"22060/د"</f>
        <v>22060/د</v>
      </c>
      <c r="AA2088" s="1" t="str">
        <f>"بنيادمسكن انقلاب اسلامي"</f>
        <v>بنيادمسكن انقلاب اسلامي</v>
      </c>
      <c r="AB2088" s="1" t="str">
        <f>"96/05/24"</f>
        <v>96/05/24</v>
      </c>
      <c r="AC2088" s="1" t="str">
        <f>"استان زنجان"</f>
        <v>استان زنجان</v>
      </c>
      <c r="AD2088" s="1" t="str">
        <f>"96/05/25"</f>
        <v>96/05/25</v>
      </c>
      <c r="AE2088" s="1" t="str">
        <f>"اختتام"</f>
        <v>اختتام</v>
      </c>
      <c r="AF2088" s="1" t="str">
        <f>""</f>
        <v/>
      </c>
      <c r="AG2088" s="1" t="str">
        <f>""</f>
        <v/>
      </c>
      <c r="AH2088" s="1" t="str">
        <f>""</f>
        <v/>
      </c>
      <c r="AI2088" s="1" t="str">
        <f>""</f>
        <v/>
      </c>
      <c r="AJ2088" s="1" t="str">
        <f>""</f>
        <v/>
      </c>
      <c r="AK2088" s="1" t="str">
        <f>""</f>
        <v/>
      </c>
    </row>
    <row r="2089" spans="1:37">
      <c r="A2089" s="1">
        <v>630000</v>
      </c>
      <c r="B2089" s="1">
        <v>966200367</v>
      </c>
      <c r="C2089" s="1" t="str">
        <f>"تخليه - زنجان- کيلومتر 10 جاده دندي شرکت نگين گستران راه زنديگان"</f>
        <v>تخليه - زنجان- کيلومتر 10 جاده دندي شرکت نگين گستران راه زنديگان</v>
      </c>
      <c r="D2089" s="1">
        <v>9416</v>
      </c>
      <c r="E2089" s="1">
        <v>622540</v>
      </c>
      <c r="F2089" s="1">
        <v>96</v>
      </c>
      <c r="G2089" s="1">
        <v>7460</v>
      </c>
      <c r="H2089" s="1" t="str">
        <f>"96/08/14"</f>
        <v>96/08/14</v>
      </c>
      <c r="I2089" s="1" t="str">
        <f>"كيلوگرم"</f>
        <v>كيلوگرم</v>
      </c>
      <c r="J2089" s="1" t="str">
        <f>"1000000002"</f>
        <v>1000000002</v>
      </c>
      <c r="K2089" s="1" t="str">
        <f>"قير 85/100 - فله"</f>
        <v>قير 85/100 - فله</v>
      </c>
      <c r="L2089" s="1">
        <v>100</v>
      </c>
      <c r="M2089" s="1" t="str">
        <f>"مخازن قير اصفهان"</f>
        <v>مخازن قير اصفهان</v>
      </c>
      <c r="N2089" s="1">
        <v>11237</v>
      </c>
      <c r="O2089" s="1">
        <v>50037051</v>
      </c>
      <c r="P2089" s="1" t="str">
        <f>"  بنياد مسکن انقلاب اسلامي زنجان"</f>
        <v xml:space="preserve">  بنياد مسکن انقلاب اسلامي زنجان</v>
      </c>
      <c r="Q2089" s="1">
        <v>62</v>
      </c>
      <c r="R2089" s="1" t="str">
        <f>"فروش داخلي - سازمان بنيادمسكن انقلاب اسلامي"</f>
        <v>فروش داخلي - سازمان بنيادمسكن انقلاب اسلامي</v>
      </c>
      <c r="S2089" s="1" t="str">
        <f>"قرارداد فروش"</f>
        <v>قرارداد فروش</v>
      </c>
      <c r="T2089" s="1" t="str">
        <f>"ندارد"</f>
        <v>ندارد</v>
      </c>
      <c r="U2089" s="1" t="str">
        <f>"آخوندي احمد(1841051)"</f>
        <v>آخوندي احمد(1841051)</v>
      </c>
      <c r="V2089" s="1">
        <v>966200367</v>
      </c>
      <c r="W2089" s="1">
        <v>966200367</v>
      </c>
      <c r="X2089" s="1" t="str">
        <f>"1396523699"</f>
        <v>1396523699</v>
      </c>
      <c r="Y2089" s="1" t="str">
        <f>"96/08/14"</f>
        <v>96/08/14</v>
      </c>
      <c r="Z2089" s="1" t="str">
        <f>"36099/د"</f>
        <v>36099/د</v>
      </c>
      <c r="AA2089" s="1" t="str">
        <f>"بنيادمسكن انقلاب اسلامي"</f>
        <v>بنيادمسكن انقلاب اسلامي</v>
      </c>
      <c r="AB2089" s="1" t="str">
        <f>"96/08/13"</f>
        <v>96/08/13</v>
      </c>
      <c r="AC2089" s="1" t="str">
        <f>"استان زنجان"</f>
        <v>استان زنجان</v>
      </c>
      <c r="AD2089" s="1" t="str">
        <f>"96/08/14"</f>
        <v>96/08/14</v>
      </c>
      <c r="AE2089" s="1" t="str">
        <f>"اختتام"</f>
        <v>اختتام</v>
      </c>
      <c r="AF2089" s="1" t="str">
        <f>""</f>
        <v/>
      </c>
      <c r="AG2089" s="1" t="str">
        <f>""</f>
        <v/>
      </c>
      <c r="AH2089" s="1" t="str">
        <f>""</f>
        <v/>
      </c>
      <c r="AI2089" s="1" t="str">
        <f>""</f>
        <v/>
      </c>
      <c r="AJ2089" s="1" t="str">
        <f>""</f>
        <v/>
      </c>
      <c r="AK2089" s="1" t="str">
        <f>""</f>
        <v/>
      </c>
    </row>
    <row r="2090" spans="1:37">
      <c r="A2090" s="1">
        <v>24000</v>
      </c>
      <c r="B2090" s="1">
        <v>961100092</v>
      </c>
      <c r="C2090" s="1" t="str">
        <f>"تخليه -زنجان -كيلومتر10جاده ترانزيت تبريز-زنجان"</f>
        <v>تخليه -زنجان -كيلومتر10جاده ترانزيت تبريز-زنجان</v>
      </c>
      <c r="D2090" s="1">
        <v>13257</v>
      </c>
      <c r="E2090" s="1">
        <v>23360</v>
      </c>
      <c r="F2090" s="1">
        <v>96</v>
      </c>
      <c r="G2090" s="1">
        <v>640</v>
      </c>
      <c r="H2090" s="1" t="str">
        <f>"96/08/16"</f>
        <v>96/08/16</v>
      </c>
      <c r="I2090" s="1" t="str">
        <f>"كيلوگرم"</f>
        <v>كيلوگرم</v>
      </c>
      <c r="J2090" s="1" t="str">
        <f>"1000000003"</f>
        <v>1000000003</v>
      </c>
      <c r="K2090" s="1" t="str">
        <f>"قير MC250"</f>
        <v>قير MC250</v>
      </c>
      <c r="L2090" s="1">
        <v>100</v>
      </c>
      <c r="M2090" s="1" t="str">
        <f>"مخازن قير اصفهان"</f>
        <v>مخازن قير اصفهان</v>
      </c>
      <c r="N2090" s="1">
        <v>4002</v>
      </c>
      <c r="O2090" s="1">
        <v>50037096</v>
      </c>
      <c r="P2090" s="1" t="str">
        <f>"  زنجان رهساز"</f>
        <v xml:space="preserve">  زنجان رهساز</v>
      </c>
      <c r="Q2090" s="1">
        <v>11</v>
      </c>
      <c r="R2090" s="1" t="str">
        <f>"فروش داخلي تهران - بورس"</f>
        <v>فروش داخلي تهران - بورس</v>
      </c>
      <c r="S2090" s="1" t="str">
        <f>"قرارداد فروش"</f>
        <v>قرارداد فروش</v>
      </c>
      <c r="T2090" s="1" t="str">
        <f>"ندارد"</f>
        <v>ندارد</v>
      </c>
      <c r="U2090" s="1" t="str">
        <f>"فتاح زاده سيداحمد(3843011)"</f>
        <v>فتاح زاده سيداحمد(3843011)</v>
      </c>
      <c r="V2090" s="1">
        <v>961100092</v>
      </c>
      <c r="W2090" s="1">
        <v>961100092</v>
      </c>
      <c r="X2090" s="1" t="str">
        <f>"1396523523"</f>
        <v>1396523523</v>
      </c>
      <c r="Y2090" s="1" t="str">
        <f>"96/08/16"</f>
        <v>96/08/16</v>
      </c>
      <c r="Z2090" s="1" t="str">
        <f>"96-36555"</f>
        <v>96-36555</v>
      </c>
      <c r="AA2090" s="1" t="str">
        <f>"آسفالت سازان"</f>
        <v>آسفالت سازان</v>
      </c>
      <c r="AB2090" s="1" t="str">
        <f>"96/08/16"</f>
        <v>96/08/16</v>
      </c>
      <c r="AC2090" s="1" t="str">
        <f>"استان زنجان"</f>
        <v>استان زنجان</v>
      </c>
      <c r="AD2090" s="1" t="str">
        <f>"96/08/13"</f>
        <v>96/08/13</v>
      </c>
      <c r="AE2090" s="1" t="str">
        <f>"اختتام"</f>
        <v>اختتام</v>
      </c>
      <c r="AF2090" s="1" t="str">
        <f>""</f>
        <v/>
      </c>
      <c r="AG2090" s="1" t="str">
        <f>""</f>
        <v/>
      </c>
      <c r="AH2090" s="1" t="str">
        <f>""</f>
        <v/>
      </c>
      <c r="AI2090" s="1" t="str">
        <f>""</f>
        <v/>
      </c>
      <c r="AJ2090" s="1" t="str">
        <f>""</f>
        <v/>
      </c>
      <c r="AK2090" s="1" t="str">
        <f>""</f>
        <v/>
      </c>
    </row>
    <row r="2091" spans="1:37">
      <c r="A2091" s="1">
        <v>50000</v>
      </c>
      <c r="B2091" s="1">
        <v>961100011</v>
      </c>
      <c r="C2091" s="1" t="str">
        <f>"تخليه - يزد-تفت-1000متربالاتر از پل راه مابين روستاي چمو مباکه-جاده شرکت همياري شهرداري-کيلومتر 5 شرکت ناورود"</f>
        <v>تخليه - يزد-تفت-1000متربالاتر از پل راه مابين روستاي چمو مباکه-جاده شرکت همياري شهرداري-کيلومتر 5 شرکت ناورود</v>
      </c>
      <c r="D2091" s="1">
        <v>12482</v>
      </c>
      <c r="E2091" s="1">
        <v>49340</v>
      </c>
      <c r="F2091" s="1">
        <v>96</v>
      </c>
      <c r="G2091" s="1">
        <v>660</v>
      </c>
      <c r="H2091" s="1" t="str">
        <f>"96/02/12"</f>
        <v>96/02/12</v>
      </c>
      <c r="I2091" s="1" t="str">
        <f>"كيلوگرم"</f>
        <v>كيلوگرم</v>
      </c>
      <c r="J2091" s="1" t="str">
        <f>"1000000003"</f>
        <v>1000000003</v>
      </c>
      <c r="K2091" s="1" t="str">
        <f>"قير MC250"</f>
        <v>قير MC250</v>
      </c>
      <c r="L2091" s="1">
        <v>100</v>
      </c>
      <c r="M2091" s="1" t="str">
        <f>"مخازن قير اصفهان"</f>
        <v>مخازن قير اصفهان</v>
      </c>
      <c r="N2091" s="1">
        <v>4062</v>
      </c>
      <c r="O2091" s="1">
        <v>50034741</v>
      </c>
      <c r="P2091" s="1" t="str">
        <f>"  ناورود"</f>
        <v xml:space="preserve">  ناورود</v>
      </c>
      <c r="Q2091" s="1">
        <v>11</v>
      </c>
      <c r="R2091" s="1" t="str">
        <f>"فروش داخلي تهران - بورس"</f>
        <v>فروش داخلي تهران - بورس</v>
      </c>
      <c r="S2091" s="1" t="str">
        <f>"قرارداد فروش"</f>
        <v>قرارداد فروش</v>
      </c>
      <c r="T2091" s="1" t="str">
        <f>"ندارد"</f>
        <v>ندارد</v>
      </c>
      <c r="U2091" s="1" t="str">
        <f>"فتاح زاده سيداحمد(3843011)"</f>
        <v>فتاح زاده سيداحمد(3843011)</v>
      </c>
      <c r="V2091" s="1">
        <v>961100011</v>
      </c>
      <c r="W2091" s="1">
        <v>961100011</v>
      </c>
      <c r="X2091" s="1" t="str">
        <f>"1396477828"</f>
        <v>1396477828</v>
      </c>
      <c r="Y2091" s="1" t="str">
        <f>"96/02/11"</f>
        <v>96/02/11</v>
      </c>
      <c r="Z2091" s="1" t="str">
        <f>"96-203-1045"</f>
        <v>96-203-1045</v>
      </c>
      <c r="AA2091" s="1" t="str">
        <f>"راه سازي"</f>
        <v>راه سازي</v>
      </c>
      <c r="AB2091" s="1" t="str">
        <f>"96/02/06"</f>
        <v>96/02/06</v>
      </c>
      <c r="AC2091" s="1" t="str">
        <f>"استان يزد"</f>
        <v>استان يزد</v>
      </c>
      <c r="AD2091" s="1" t="str">
        <f>"96/02/11"</f>
        <v>96/02/11</v>
      </c>
      <c r="AE2091" s="1" t="str">
        <f>"اختتام"</f>
        <v>اختتام</v>
      </c>
      <c r="AF2091" s="1" t="str">
        <f>""</f>
        <v/>
      </c>
      <c r="AG2091" s="1" t="str">
        <f>""</f>
        <v/>
      </c>
      <c r="AH2091" s="1" t="str">
        <f>""</f>
        <v/>
      </c>
      <c r="AI2091" s="1" t="str">
        <f>""</f>
        <v/>
      </c>
      <c r="AJ2091" s="1" t="str">
        <f>""</f>
        <v/>
      </c>
      <c r="AK2091" s="1" t="str">
        <f>""</f>
        <v/>
      </c>
    </row>
    <row r="2092" spans="1:37">
      <c r="A2092" s="1">
        <v>25000</v>
      </c>
      <c r="B2092" s="1">
        <v>961100080</v>
      </c>
      <c r="C2092" s="1" t="str">
        <f>"يزد-تفت -كيلومتر5-شركت ناورود"</f>
        <v>يزد-تفت -كيلومتر5-شركت ناورود</v>
      </c>
      <c r="D2092" s="1">
        <v>12777</v>
      </c>
      <c r="E2092" s="1">
        <v>24260</v>
      </c>
      <c r="F2092" s="1">
        <v>96</v>
      </c>
      <c r="G2092" s="1">
        <v>740</v>
      </c>
      <c r="H2092" s="1" t="str">
        <f>"96/07/23"</f>
        <v>96/07/23</v>
      </c>
      <c r="I2092" s="1" t="str">
        <f>"كيلوگرم"</f>
        <v>كيلوگرم</v>
      </c>
      <c r="J2092" s="1" t="str">
        <f>"1000000003"</f>
        <v>1000000003</v>
      </c>
      <c r="K2092" s="1" t="str">
        <f>"قير MC250"</f>
        <v>قير MC250</v>
      </c>
      <c r="L2092" s="1">
        <v>100</v>
      </c>
      <c r="M2092" s="1" t="str">
        <f>"مخازن قير اصفهان"</f>
        <v>مخازن قير اصفهان</v>
      </c>
      <c r="N2092" s="1">
        <v>4062</v>
      </c>
      <c r="O2092" s="1">
        <v>50036716</v>
      </c>
      <c r="P2092" s="1" t="str">
        <f>"  ناورود"</f>
        <v xml:space="preserve">  ناورود</v>
      </c>
      <c r="Q2092" s="1">
        <v>11</v>
      </c>
      <c r="R2092" s="1" t="str">
        <f>"فروش داخلي تهران - بورس"</f>
        <v>فروش داخلي تهران - بورس</v>
      </c>
      <c r="S2092" s="1" t="str">
        <f>"قرارداد فروش"</f>
        <v>قرارداد فروش</v>
      </c>
      <c r="T2092" s="1" t="str">
        <f>"ندارد"</f>
        <v>ندارد</v>
      </c>
      <c r="U2092" s="1" t="str">
        <f>"فتاح زاده سيداحمد(3843011)"</f>
        <v>فتاح زاده سيداحمد(3843011)</v>
      </c>
      <c r="V2092" s="1">
        <v>961100080</v>
      </c>
      <c r="W2092" s="1">
        <v>961100080</v>
      </c>
      <c r="X2092" s="1" t="str">
        <f>"1396518611"</f>
        <v>1396518611</v>
      </c>
      <c r="Y2092" s="1" t="str">
        <f>"96/07/22"</f>
        <v>96/07/22</v>
      </c>
      <c r="Z2092" s="1" t="str">
        <f>"96-203-1484"</f>
        <v>96-203-1484</v>
      </c>
      <c r="AA2092" s="1" t="str">
        <f>"راه سازي"</f>
        <v>راه سازي</v>
      </c>
      <c r="AB2092" s="1" t="str">
        <f>"96/07/17"</f>
        <v>96/07/17</v>
      </c>
      <c r="AC2092" s="1" t="str">
        <f>"استان يزد"</f>
        <v>استان يزد</v>
      </c>
      <c r="AD2092" s="1" t="str">
        <f>"96/07/22"</f>
        <v>96/07/22</v>
      </c>
      <c r="AE2092" s="1" t="str">
        <f>"اختتام"</f>
        <v>اختتام</v>
      </c>
      <c r="AF2092" s="1" t="str">
        <f>""</f>
        <v/>
      </c>
      <c r="AG2092" s="1" t="str">
        <f>""</f>
        <v/>
      </c>
      <c r="AH2092" s="1" t="str">
        <f>""</f>
        <v/>
      </c>
      <c r="AI2092" s="1" t="str">
        <f>""</f>
        <v/>
      </c>
      <c r="AJ2092" s="1" t="str">
        <f>""</f>
        <v/>
      </c>
      <c r="AK2092" s="1" t="str">
        <f>""</f>
        <v/>
      </c>
    </row>
    <row r="2093" spans="1:37">
      <c r="A2093" s="1">
        <v>46000</v>
      </c>
      <c r="B2093" s="1">
        <v>961100124</v>
      </c>
      <c r="C2093" s="1" t="str">
        <f>"تخليه -زابل -کيلومتر45جاده زابل -نهبندان -نرسيده به روستاي ميل نادر-موسسه نصر"</f>
        <v>تخليه -زابل -کيلومتر45جاده زابل -نهبندان -نرسيده به روستاي ميل نادر-موسسه نصر</v>
      </c>
      <c r="D2093" s="1">
        <v>16500</v>
      </c>
      <c r="E2093" s="1">
        <v>42940</v>
      </c>
      <c r="F2093" s="1">
        <v>96</v>
      </c>
      <c r="G2093" s="1">
        <v>3060</v>
      </c>
      <c r="H2093" s="1" t="str">
        <f>"96/11/21"</f>
        <v>96/11/21</v>
      </c>
      <c r="I2093" s="1" t="str">
        <f>"كيلوگرم"</f>
        <v>كيلوگرم</v>
      </c>
      <c r="J2093" s="1" t="str">
        <f>"1000000003"</f>
        <v>1000000003</v>
      </c>
      <c r="K2093" s="1" t="str">
        <f>"قير MC250"</f>
        <v>قير MC250</v>
      </c>
      <c r="L2093" s="1">
        <v>100</v>
      </c>
      <c r="M2093" s="1" t="str">
        <f>"مخازن قير اصفهان"</f>
        <v>مخازن قير اصفهان</v>
      </c>
      <c r="N2093" s="1">
        <v>8316</v>
      </c>
      <c r="O2093" s="1">
        <v>50038462</v>
      </c>
      <c r="P2093" s="1" t="str">
        <f>"  موسسه سازندگي نصر"</f>
        <v xml:space="preserve">  موسسه سازندگي نصر</v>
      </c>
      <c r="Q2093" s="1">
        <v>11</v>
      </c>
      <c r="R2093" s="1" t="str">
        <f>"فروش داخلي تهران - بورس"</f>
        <v>فروش داخلي تهران - بورس</v>
      </c>
      <c r="S2093" s="1" t="str">
        <f>"قرارداد فروش"</f>
        <v>قرارداد فروش</v>
      </c>
      <c r="T2093" s="1" t="str">
        <f>"ندارد"</f>
        <v>ندارد</v>
      </c>
      <c r="U2093" s="1" t="str">
        <f>"ميرحسيني چاپارحقيقت كرمان(4844008)"</f>
        <v>ميرحسيني چاپارحقيقت كرمان(4844008)</v>
      </c>
      <c r="V2093" s="1">
        <v>961100124</v>
      </c>
      <c r="W2093" s="1">
        <v>961100124</v>
      </c>
      <c r="X2093" s="1" t="str">
        <f>"1396547037"</f>
        <v>1396547037</v>
      </c>
      <c r="Y2093" s="1" t="str">
        <f>"96/11/21"</f>
        <v>96/11/21</v>
      </c>
      <c r="Z2093" s="1" t="str">
        <f>"240/61/65/21218/س"</f>
        <v>240/61/65/21218/س</v>
      </c>
      <c r="AA2093" s="1" t="str">
        <f>"راه سازي"</f>
        <v>راه سازي</v>
      </c>
      <c r="AB2093" s="1" t="str">
        <f>"96/11/02"</f>
        <v>96/11/02</v>
      </c>
      <c r="AC2093" s="1" t="str">
        <f>"استان سيستان بلوچستان"</f>
        <v>استان سيستان بلوچستان</v>
      </c>
      <c r="AD2093" s="1" t="str">
        <f>"96/11/21"</f>
        <v>96/11/21</v>
      </c>
      <c r="AE2093" s="1" t="str">
        <f>"اختتام"</f>
        <v>اختتام</v>
      </c>
      <c r="AF2093" s="1" t="str">
        <f>""</f>
        <v/>
      </c>
      <c r="AG2093" s="1" t="str">
        <f>""</f>
        <v/>
      </c>
      <c r="AH2093" s="1" t="str">
        <f>""</f>
        <v/>
      </c>
      <c r="AI2093" s="1" t="str">
        <f>""</f>
        <v/>
      </c>
      <c r="AJ2093" s="1" t="str">
        <f>""</f>
        <v/>
      </c>
      <c r="AK2093" s="1" t="str">
        <f>""</f>
        <v/>
      </c>
    </row>
    <row r="2094" spans="1:37">
      <c r="A2094" s="1">
        <v>100000</v>
      </c>
      <c r="B2094" s="1">
        <v>966200214</v>
      </c>
      <c r="C2094" s="1" t="str">
        <f>"تخليه-سيستان و بلوچستان-سيب سوران-روستاي سيب"</f>
        <v>تخليه-سيستان و بلوچستان-سيب سوران-روستاي سيب</v>
      </c>
      <c r="D2094" s="1">
        <v>12370</v>
      </c>
      <c r="E2094" s="1">
        <v>99180</v>
      </c>
      <c r="F2094" s="1">
        <v>96</v>
      </c>
      <c r="G2094" s="1">
        <v>820</v>
      </c>
      <c r="H2094" s="1" t="str">
        <f>"96/06/07"</f>
        <v>96/06/07</v>
      </c>
      <c r="I2094" s="1" t="str">
        <f>"كيلوگرم"</f>
        <v>كيلوگرم</v>
      </c>
      <c r="J2094" s="1" t="str">
        <f>"1000000003"</f>
        <v>1000000003</v>
      </c>
      <c r="K2094" s="1" t="str">
        <f>"قير MC250"</f>
        <v>قير MC250</v>
      </c>
      <c r="L2094" s="1">
        <v>100</v>
      </c>
      <c r="M2094" s="1" t="str">
        <f>"مخازن قير اصفهان"</f>
        <v>مخازن قير اصفهان</v>
      </c>
      <c r="N2094" s="1">
        <v>9492</v>
      </c>
      <c r="O2094" s="1">
        <v>50035845</v>
      </c>
      <c r="P2094" s="1" t="str">
        <f>"  سيستان بتن"</f>
        <v xml:space="preserve">  سيستان بتن</v>
      </c>
      <c r="Q2094" s="1">
        <v>62</v>
      </c>
      <c r="R2094" s="1" t="str">
        <f>"فروش داخلي - سازمان بنيادمسكن انقلاب اسلامي"</f>
        <v>فروش داخلي - سازمان بنيادمسكن انقلاب اسلامي</v>
      </c>
      <c r="S2094" s="1" t="str">
        <f>"قرارداد فروش"</f>
        <v>قرارداد فروش</v>
      </c>
      <c r="T2094" s="1" t="str">
        <f>"ندارد"</f>
        <v>ندارد</v>
      </c>
      <c r="U2094" s="1" t="str">
        <f>"قانعي محمدرضا(1011ج89)"</f>
        <v>قانعي محمدرضا(1011ج89)</v>
      </c>
      <c r="V2094" s="1">
        <v>966200214</v>
      </c>
      <c r="W2094" s="1">
        <v>966200214</v>
      </c>
      <c r="X2094" s="1" t="str">
        <f>"1396508617"</f>
        <v>1396508617</v>
      </c>
      <c r="Y2094" s="1" t="str">
        <f>"96/06/07"</f>
        <v>96/06/07</v>
      </c>
      <c r="Z2094" s="1" t="str">
        <f>"24106/د"</f>
        <v>24106/د</v>
      </c>
      <c r="AA2094" s="1" t="str">
        <f>"بنيادمسكن انقلاب اسلامي"</f>
        <v>بنيادمسكن انقلاب اسلامي</v>
      </c>
      <c r="AB2094" s="1" t="str">
        <f>"96/06/04"</f>
        <v>96/06/04</v>
      </c>
      <c r="AC2094" s="1" t="str">
        <f>"استان سيستان بلوچستان"</f>
        <v>استان سيستان بلوچستان</v>
      </c>
      <c r="AD2094" s="1" t="str">
        <f>"96/06/07"</f>
        <v>96/06/07</v>
      </c>
      <c r="AE2094" s="1" t="str">
        <f>"اختتام"</f>
        <v>اختتام</v>
      </c>
      <c r="AF2094" s="1" t="str">
        <f>""</f>
        <v/>
      </c>
      <c r="AG2094" s="1" t="str">
        <f>""</f>
        <v/>
      </c>
      <c r="AH2094" s="1" t="str">
        <f>""</f>
        <v/>
      </c>
      <c r="AI2094" s="1" t="str">
        <f>""</f>
        <v/>
      </c>
      <c r="AJ2094" s="1" t="str">
        <f>""</f>
        <v/>
      </c>
      <c r="AK2094" s="1" t="str">
        <f>""</f>
        <v/>
      </c>
    </row>
    <row r="2095" spans="1:37">
      <c r="A2095" s="1">
        <v>86029</v>
      </c>
      <c r="B2095" s="1">
        <v>962000144</v>
      </c>
      <c r="C2095" s="1" t="str">
        <f>"تخليه خراسان جنوبي شهرعشق آبادابتداي ورودي بلوارامام علي (ع )"</f>
        <v>تخليه خراسان جنوبي شهرعشق آبادابتداي ورودي بلوارامام علي (ع )</v>
      </c>
      <c r="D2095" s="1">
        <v>12777</v>
      </c>
      <c r="E2095" s="1">
        <v>86029</v>
      </c>
      <c r="F2095" s="1">
        <v>96</v>
      </c>
      <c r="G2095" s="1">
        <v>0</v>
      </c>
      <c r="H2095" s="1" t="str">
        <f>"96/07/03"</f>
        <v>96/07/03</v>
      </c>
      <c r="I2095" s="1" t="str">
        <f>"كيلوگرم"</f>
        <v>كيلوگرم</v>
      </c>
      <c r="J2095" s="1" t="str">
        <f>"1000000003"</f>
        <v>1000000003</v>
      </c>
      <c r="K2095" s="1" t="str">
        <f>"قير MC250"</f>
        <v>قير MC250</v>
      </c>
      <c r="L2095" s="1">
        <v>100</v>
      </c>
      <c r="M2095" s="1" t="str">
        <f>"مخازن قير اصفهان"</f>
        <v>مخازن قير اصفهان</v>
      </c>
      <c r="N2095" s="1">
        <v>9795</v>
      </c>
      <c r="O2095" s="1">
        <v>50036337</v>
      </c>
      <c r="P2095" s="1" t="str">
        <f>"  شهرداري عشق آباد"</f>
        <v xml:space="preserve">  شهرداري عشق آباد</v>
      </c>
      <c r="Q2095" s="1">
        <v>20</v>
      </c>
      <c r="R2095" s="1" t="str">
        <f>"فروش داخلي - سازمان شهرداري ها و دهياري هاي كشور"</f>
        <v>فروش داخلي - سازمان شهرداري ها و دهياري هاي كشور</v>
      </c>
      <c r="S2095" s="1" t="str">
        <f>"قرارداد فروش"</f>
        <v>قرارداد فروش</v>
      </c>
      <c r="T2095" s="1" t="str">
        <f>"ندارد"</f>
        <v>ندارد</v>
      </c>
      <c r="U2095" s="1" t="str">
        <f>"تعاوني جم گستر (1001 ج 89)"</f>
        <v>تعاوني جم گستر (1001 ج 89)</v>
      </c>
      <c r="V2095" s="1">
        <v>962000144</v>
      </c>
      <c r="W2095" s="1">
        <v>962000144</v>
      </c>
      <c r="X2095" s="1" t="str">
        <f>"1396514469"</f>
        <v>1396514469</v>
      </c>
      <c r="Y2095" s="1" t="str">
        <f>"96/07/03"</f>
        <v>96/07/03</v>
      </c>
      <c r="Z2095" s="1" t="str">
        <f>"26719مرحله اول"</f>
        <v>26719مرحله اول</v>
      </c>
      <c r="AA2095" s="1" t="str">
        <f>"شهرداريها"</f>
        <v>شهرداريها</v>
      </c>
      <c r="AB2095" s="1" t="str">
        <f>"96/06/29"</f>
        <v>96/06/29</v>
      </c>
      <c r="AC2095" s="1" t="str">
        <f>"خراسان جنوبي"</f>
        <v>خراسان جنوبي</v>
      </c>
      <c r="AD2095" s="1" t="str">
        <f>"96/07/03"</f>
        <v>96/07/03</v>
      </c>
      <c r="AE2095" s="1" t="str">
        <f>"اختتام"</f>
        <v>اختتام</v>
      </c>
      <c r="AF2095" s="1" t="str">
        <f>""</f>
        <v/>
      </c>
      <c r="AG2095" s="1" t="str">
        <f>""</f>
        <v/>
      </c>
      <c r="AH2095" s="1" t="str">
        <f>""</f>
        <v/>
      </c>
      <c r="AI2095" s="1" t="str">
        <f>""</f>
        <v/>
      </c>
      <c r="AJ2095" s="1" t="str">
        <f>""</f>
        <v/>
      </c>
      <c r="AK2095" s="1" t="str">
        <f>""</f>
        <v/>
      </c>
    </row>
    <row r="2096" spans="1:37">
      <c r="A2096" s="1">
        <v>15000</v>
      </c>
      <c r="B2096" s="1">
        <v>966200424</v>
      </c>
      <c r="C2096" s="1" t="str">
        <f>"تخليه اصفهان كاشان كارخانه آسفالت شهرداري كاشان"</f>
        <v>تخليه اصفهان كاشان كارخانه آسفالت شهرداري كاشان</v>
      </c>
      <c r="D2096" s="1">
        <v>15947</v>
      </c>
      <c r="E2096" s="1">
        <v>14680</v>
      </c>
      <c r="F2096" s="1">
        <v>96</v>
      </c>
      <c r="G2096" s="1">
        <v>320</v>
      </c>
      <c r="H2096" s="1" t="str">
        <f>"96/09/18"</f>
        <v>96/09/18</v>
      </c>
      <c r="I2096" s="1" t="str">
        <f>"كيلوگرم"</f>
        <v>كيلوگرم</v>
      </c>
      <c r="J2096" s="1" t="str">
        <f>"1000000003"</f>
        <v>1000000003</v>
      </c>
      <c r="K2096" s="1" t="str">
        <f>"قير MC250"</f>
        <v>قير MC250</v>
      </c>
      <c r="L2096" s="1">
        <v>100</v>
      </c>
      <c r="M2096" s="1" t="str">
        <f>"مخازن قير اصفهان"</f>
        <v>مخازن قير اصفهان</v>
      </c>
      <c r="N2096" s="1">
        <v>10536</v>
      </c>
      <c r="O2096" s="1">
        <v>50037551</v>
      </c>
      <c r="P2096" s="1" t="str">
        <f>"  آبجيل صنعت"</f>
        <v xml:space="preserve">  آبجيل صنعت</v>
      </c>
      <c r="Q2096" s="1">
        <v>62</v>
      </c>
      <c r="R2096" s="1" t="str">
        <f>"فروش داخلي - سازمان بنيادمسكن انقلاب اسلامي"</f>
        <v>فروش داخلي - سازمان بنيادمسكن انقلاب اسلامي</v>
      </c>
      <c r="S2096" s="1" t="str">
        <f>"قرارداد فروش"</f>
        <v>قرارداد فروش</v>
      </c>
      <c r="T2096" s="1" t="str">
        <f>"ندارد"</f>
        <v>ندارد</v>
      </c>
      <c r="U2096" s="1" t="str">
        <f>"سيفي پور گودرز(1019ج89)"</f>
        <v>سيفي پور گودرز(1019ج89)</v>
      </c>
      <c r="V2096" s="1">
        <v>966200424</v>
      </c>
      <c r="W2096" s="1">
        <v>966200424</v>
      </c>
      <c r="X2096" s="1" t="str">
        <f>"1396531058"</f>
        <v>1396531058</v>
      </c>
      <c r="Y2096" s="1" t="str">
        <f>"96/09/18"</f>
        <v>96/09/18</v>
      </c>
      <c r="Z2096" s="1" t="str">
        <f>"40627/د"</f>
        <v>40627/د</v>
      </c>
      <c r="AA2096" s="1" t="str">
        <f>"بنيادمسكن انقلاب اسلامي"</f>
        <v>بنيادمسكن انقلاب اسلامي</v>
      </c>
      <c r="AB2096" s="1" t="str">
        <f>"96/09/14"</f>
        <v>96/09/14</v>
      </c>
      <c r="AC2096" s="1" t="str">
        <f>"استان اصفهان"</f>
        <v>استان اصفهان</v>
      </c>
      <c r="AD2096" s="1" t="str">
        <f>"96/09/18"</f>
        <v>96/09/18</v>
      </c>
      <c r="AE2096" s="1" t="str">
        <f>"اختتام"</f>
        <v>اختتام</v>
      </c>
      <c r="AF2096" s="1" t="str">
        <f>""</f>
        <v/>
      </c>
      <c r="AG2096" s="1" t="str">
        <f>""</f>
        <v/>
      </c>
      <c r="AH2096" s="1" t="str">
        <f>""</f>
        <v/>
      </c>
      <c r="AI2096" s="1" t="str">
        <f>""</f>
        <v/>
      </c>
      <c r="AJ2096" s="1" t="str">
        <f>""</f>
        <v/>
      </c>
      <c r="AK2096" s="1" t="str">
        <f>""</f>
        <v/>
      </c>
    </row>
    <row r="2097" spans="1:37">
      <c r="A2097" s="1">
        <v>30000</v>
      </c>
      <c r="B2097" s="1">
        <v>966200153</v>
      </c>
      <c r="C2097" s="1" t="str">
        <f>"تخليه-نجف آباد-جاده فولادشهر-جوزدان-کارخانه آسفالت بنياد مسکن نجف آباد"</f>
        <v>تخليه-نجف آباد-جاده فولادشهر-جوزدان-کارخانه آسفالت بنياد مسکن نجف آباد</v>
      </c>
      <c r="D2097" s="1">
        <v>12222</v>
      </c>
      <c r="E2097" s="1">
        <v>29460</v>
      </c>
      <c r="F2097" s="1">
        <v>96</v>
      </c>
      <c r="G2097" s="1">
        <v>540</v>
      </c>
      <c r="H2097" s="1" t="str">
        <f>"96/05/08"</f>
        <v>96/05/08</v>
      </c>
      <c r="I2097" s="1" t="str">
        <f>"كيلوگرم"</f>
        <v>كيلوگرم</v>
      </c>
      <c r="J2097" s="1" t="str">
        <f>"1000000003"</f>
        <v>1000000003</v>
      </c>
      <c r="K2097" s="1" t="str">
        <f>"قير MC250"</f>
        <v>قير MC250</v>
      </c>
      <c r="L2097" s="1">
        <v>100</v>
      </c>
      <c r="M2097" s="1" t="str">
        <f>"مخازن قير اصفهان"</f>
        <v>مخازن قير اصفهان</v>
      </c>
      <c r="N2097" s="1">
        <v>11001</v>
      </c>
      <c r="O2097" s="1">
        <v>50035389</v>
      </c>
      <c r="P2097" s="1" t="str">
        <f>"  بنياد مسکن انقلاب اسلامي نجف آباد"</f>
        <v xml:space="preserve">  بنياد مسکن انقلاب اسلامي نجف آباد</v>
      </c>
      <c r="Q2097" s="1">
        <v>62</v>
      </c>
      <c r="R2097" s="1" t="str">
        <f>"فروش داخلي - سازمان بنيادمسكن انقلاب اسلامي"</f>
        <v>فروش داخلي - سازمان بنيادمسكن انقلاب اسلامي</v>
      </c>
      <c r="S2097" s="1" t="str">
        <f>"قرارداد فروش"</f>
        <v>قرارداد فروش</v>
      </c>
      <c r="T2097" s="1" t="str">
        <f>"ندارد"</f>
        <v>ندارد</v>
      </c>
      <c r="U2097" s="1" t="str">
        <f>"سيفي پور عبدالمجيد(1009ج89)"</f>
        <v>سيفي پور عبدالمجيد(1009ج89)</v>
      </c>
      <c r="V2097" s="1">
        <v>966200153</v>
      </c>
      <c r="W2097" s="1">
        <v>966200153</v>
      </c>
      <c r="X2097" s="1" t="str">
        <f>"1396500985"</f>
        <v>1396500985</v>
      </c>
      <c r="Y2097" s="1" t="str">
        <f>"96/05/08"</f>
        <v>96/05/08</v>
      </c>
      <c r="Z2097" s="1" t="str">
        <f>"18658/د"</f>
        <v>18658/د</v>
      </c>
      <c r="AA2097" s="1" t="str">
        <f>"بنيادمسكن انقلاب اسلامي"</f>
        <v>بنيادمسكن انقلاب اسلامي</v>
      </c>
      <c r="AB2097" s="1" t="str">
        <f>"96/05/07"</f>
        <v>96/05/07</v>
      </c>
      <c r="AC2097" s="1" t="str">
        <f>"استان اصفهان"</f>
        <v>استان اصفهان</v>
      </c>
      <c r="AD2097" s="1" t="str">
        <f>"96/05/08"</f>
        <v>96/05/08</v>
      </c>
      <c r="AE2097" s="1" t="str">
        <f>"اختتام"</f>
        <v>اختتام</v>
      </c>
      <c r="AF2097" s="1" t="str">
        <f>""</f>
        <v/>
      </c>
      <c r="AG2097" s="1" t="str">
        <f>""</f>
        <v/>
      </c>
      <c r="AH2097" s="1" t="str">
        <f>""</f>
        <v/>
      </c>
      <c r="AI2097" s="1" t="str">
        <f>""</f>
        <v/>
      </c>
      <c r="AJ2097" s="1" t="str">
        <f>""</f>
        <v/>
      </c>
      <c r="AK2097" s="1" t="str">
        <f>""</f>
        <v/>
      </c>
    </row>
    <row r="2098" spans="1:37">
      <c r="A2098" s="1">
        <v>30000</v>
      </c>
      <c r="B2098" s="1">
        <v>966200117</v>
      </c>
      <c r="C2098" s="1" t="str">
        <f>"تخليه - کهگيلويه و بويراحمد - ياسوج-کيلومتر 25 جاده اصفهان-ياسوج-کارخانه آسفالت ارسلان شکوهي"</f>
        <v>تخليه - کهگيلويه و بويراحمد - ياسوج-کيلومتر 25 جاده اصفهان-ياسوج-کارخانه آسفالت ارسلان شکوهي</v>
      </c>
      <c r="D2098" s="1">
        <v>12222</v>
      </c>
      <c r="E2098" s="1">
        <v>29500</v>
      </c>
      <c r="F2098" s="1">
        <v>96</v>
      </c>
      <c r="G2098" s="1">
        <v>500</v>
      </c>
      <c r="H2098" s="1" t="str">
        <f>"96/03/23"</f>
        <v>96/03/23</v>
      </c>
      <c r="I2098" s="1" t="str">
        <f>"كيلوگرم"</f>
        <v>كيلوگرم</v>
      </c>
      <c r="J2098" s="1" t="str">
        <f>"1000000003"</f>
        <v>1000000003</v>
      </c>
      <c r="K2098" s="1" t="str">
        <f>"قير MC250"</f>
        <v>قير MC250</v>
      </c>
      <c r="L2098" s="1">
        <v>100</v>
      </c>
      <c r="M2098" s="1" t="str">
        <f>"مخازن قير اصفهان"</f>
        <v>مخازن قير اصفهان</v>
      </c>
      <c r="N2098" s="1">
        <v>11009</v>
      </c>
      <c r="O2098" s="1">
        <v>50035001</v>
      </c>
      <c r="P2098" s="1" t="str">
        <f>"  راه و ساختماني کيهان  محور شيراز"</f>
        <v xml:space="preserve">  راه و ساختماني کيهان  محور شيراز</v>
      </c>
      <c r="Q2098" s="1">
        <v>62</v>
      </c>
      <c r="R2098" s="1" t="str">
        <f>"فروش داخلي - سازمان بنيادمسكن انقلاب اسلامي"</f>
        <v>فروش داخلي - سازمان بنيادمسكن انقلاب اسلامي</v>
      </c>
      <c r="S2098" s="1" t="str">
        <f>"قرارداد فروش"</f>
        <v>قرارداد فروش</v>
      </c>
      <c r="T2098" s="1" t="str">
        <f>"ندارد"</f>
        <v>ندارد</v>
      </c>
      <c r="U2098" s="1" t="str">
        <f>"ريسماني حسن(1007ج89)"</f>
        <v>ريسماني حسن(1007ج89)</v>
      </c>
      <c r="V2098" s="1">
        <v>966200117</v>
      </c>
      <c r="W2098" s="1">
        <v>966200117</v>
      </c>
      <c r="X2098" s="1" t="str">
        <f>"1396487418"</f>
        <v>1396487418</v>
      </c>
      <c r="Y2098" s="1" t="str">
        <f>"96/03/23"</f>
        <v>96/03/23</v>
      </c>
      <c r="Z2098" s="1" t="str">
        <f>"11012/د"</f>
        <v>11012/د</v>
      </c>
      <c r="AA2098" s="1" t="str">
        <f>"بنيادمسكن انقلاب اسلامي"</f>
        <v>بنيادمسكن انقلاب اسلامي</v>
      </c>
      <c r="AB2098" s="1" t="str">
        <f>"96/03/22"</f>
        <v>96/03/22</v>
      </c>
      <c r="AC2098" s="1" t="str">
        <f>"استان اصفهان"</f>
        <v>استان اصفهان</v>
      </c>
      <c r="AD2098" s="1" t="str">
        <f>"96/03/23"</f>
        <v>96/03/23</v>
      </c>
      <c r="AE2098" s="1" t="str">
        <f>"اختتام"</f>
        <v>اختتام</v>
      </c>
      <c r="AF2098" s="1" t="str">
        <f>""</f>
        <v/>
      </c>
      <c r="AG2098" s="1" t="str">
        <f>""</f>
        <v/>
      </c>
      <c r="AH2098" s="1" t="str">
        <f>""</f>
        <v/>
      </c>
      <c r="AI2098" s="1" t="str">
        <f>""</f>
        <v/>
      </c>
      <c r="AJ2098" s="1" t="str">
        <f>""</f>
        <v/>
      </c>
      <c r="AK2098" s="1" t="str">
        <f>""</f>
        <v/>
      </c>
    </row>
    <row r="2099" spans="1:37">
      <c r="A2099" s="1">
        <v>61000</v>
      </c>
      <c r="B2099" s="1">
        <v>966200194</v>
      </c>
      <c r="C2099" s="1" t="str">
        <f>"تخليه - سيستان و بلو چستان-سراوان-کيلومتر15 جاده سراوان-کهک-کارگاه شن و ماسه دهواري"</f>
        <v>تخليه - سيستان و بلو چستان-سراوان-کيلومتر15 جاده سراوان-کهک-کارگاه شن و ماسه دهواري</v>
      </c>
      <c r="D2099" s="1">
        <v>12222</v>
      </c>
      <c r="E2099" s="1">
        <v>61000</v>
      </c>
      <c r="F2099" s="1">
        <v>96</v>
      </c>
      <c r="G2099" s="1">
        <v>0</v>
      </c>
      <c r="H2099" s="1" t="str">
        <f>"96/05/25"</f>
        <v>96/05/25</v>
      </c>
      <c r="I2099" s="1" t="str">
        <f>"كيلوگرم"</f>
        <v>كيلوگرم</v>
      </c>
      <c r="J2099" s="1" t="str">
        <f>"1000000003"</f>
        <v>1000000003</v>
      </c>
      <c r="K2099" s="1" t="str">
        <f>"قير MC250"</f>
        <v>قير MC250</v>
      </c>
      <c r="L2099" s="1">
        <v>100</v>
      </c>
      <c r="M2099" s="1" t="str">
        <f>"مخازن قير اصفهان"</f>
        <v>مخازن قير اصفهان</v>
      </c>
      <c r="N2099" s="1">
        <v>11070</v>
      </c>
      <c r="O2099" s="1">
        <v>50035684</v>
      </c>
      <c r="P2099" s="1" t="str">
        <f>"  شايان نقشه جنوب"</f>
        <v xml:space="preserve">  شايان نقشه جنوب</v>
      </c>
      <c r="Q2099" s="1">
        <v>62</v>
      </c>
      <c r="R2099" s="1" t="str">
        <f>"فروش داخلي - سازمان بنيادمسكن انقلاب اسلامي"</f>
        <v>فروش داخلي - سازمان بنيادمسكن انقلاب اسلامي</v>
      </c>
      <c r="S2099" s="1" t="str">
        <f>"قرارداد فروش"</f>
        <v>قرارداد فروش</v>
      </c>
      <c r="T2099" s="1" t="str">
        <f>"ندارد"</f>
        <v>ندارد</v>
      </c>
      <c r="U2099" s="1" t="str">
        <f>"بهرام زنگنه (1038 ج 93)"</f>
        <v>بهرام زنگنه (1038 ج 93)</v>
      </c>
      <c r="V2099" s="1">
        <v>966200194</v>
      </c>
      <c r="W2099" s="1">
        <v>966200194</v>
      </c>
      <c r="X2099" s="1" t="str">
        <f>"1396506152"</f>
        <v>1396506152</v>
      </c>
      <c r="Y2099" s="1" t="str">
        <f>"96/05/25"</f>
        <v>96/05/25</v>
      </c>
      <c r="Z2099" s="1" t="str">
        <f>"22147/د"</f>
        <v>22147/د</v>
      </c>
      <c r="AA2099" s="1" t="str">
        <f>"بنيادمسكن انقلاب اسلامي"</f>
        <v>بنيادمسكن انقلاب اسلامي</v>
      </c>
      <c r="AB2099" s="1" t="str">
        <f>"96/05/24"</f>
        <v>96/05/24</v>
      </c>
      <c r="AC2099" s="1" t="str">
        <f>"استان سيستان بلوچستان"</f>
        <v>استان سيستان بلوچستان</v>
      </c>
      <c r="AD2099" s="1" t="str">
        <f>"96/05/25"</f>
        <v>96/05/25</v>
      </c>
      <c r="AE2099" s="1" t="str">
        <f>"اختتام"</f>
        <v>اختتام</v>
      </c>
      <c r="AF2099" s="1" t="str">
        <f>""</f>
        <v/>
      </c>
      <c r="AG2099" s="1" t="str">
        <f>""</f>
        <v/>
      </c>
      <c r="AH2099" s="1" t="str">
        <f>""</f>
        <v/>
      </c>
      <c r="AI2099" s="1" t="str">
        <f>""</f>
        <v/>
      </c>
      <c r="AJ2099" s="1" t="str">
        <f>""</f>
        <v/>
      </c>
      <c r="AK2099" s="1" t="str">
        <f>""</f>
        <v/>
      </c>
    </row>
    <row r="2100" spans="1:37">
      <c r="A2100" s="1">
        <v>46000</v>
      </c>
      <c r="B2100" s="1">
        <v>966200512</v>
      </c>
      <c r="C2100" s="1" t="str">
        <f>"تخليه - سيستان و بلو چستان-سراوان-کيلومتر15 جاده سراوان-کهک-کارگاه شن و ماسه دهواري"</f>
        <v>تخليه - سيستان و بلو چستان-سراوان-کيلومتر15 جاده سراوان-کهک-کارگاه شن و ماسه دهواري</v>
      </c>
      <c r="D2100" s="1">
        <v>15977</v>
      </c>
      <c r="E2100" s="1">
        <v>46000</v>
      </c>
      <c r="F2100" s="1">
        <v>96</v>
      </c>
      <c r="G2100" s="1">
        <v>0</v>
      </c>
      <c r="H2100" s="1" t="str">
        <f>"96/10/19"</f>
        <v>96/10/19</v>
      </c>
      <c r="I2100" s="1" t="str">
        <f>"كيلوگرم"</f>
        <v>كيلوگرم</v>
      </c>
      <c r="J2100" s="1" t="str">
        <f>"1000000003"</f>
        <v>1000000003</v>
      </c>
      <c r="K2100" s="1" t="str">
        <f>"قير MC250"</f>
        <v>قير MC250</v>
      </c>
      <c r="L2100" s="1">
        <v>100</v>
      </c>
      <c r="M2100" s="1" t="str">
        <f>"مخازن قير اصفهان"</f>
        <v>مخازن قير اصفهان</v>
      </c>
      <c r="N2100" s="1">
        <v>11070</v>
      </c>
      <c r="O2100" s="1">
        <v>50038092</v>
      </c>
      <c r="P2100" s="1" t="str">
        <f>"  شايان نقشه جنوب"</f>
        <v xml:space="preserve">  شايان نقشه جنوب</v>
      </c>
      <c r="Q2100" s="1">
        <v>62</v>
      </c>
      <c r="R2100" s="1" t="str">
        <f>"فروش داخلي - سازمان بنيادمسكن انقلاب اسلامي"</f>
        <v>فروش داخلي - سازمان بنيادمسكن انقلاب اسلامي</v>
      </c>
      <c r="S2100" s="1" t="str">
        <f>"قرارداد فروش"</f>
        <v>قرارداد فروش</v>
      </c>
      <c r="T2100" s="1" t="str">
        <f>"ندارد"</f>
        <v>ندارد</v>
      </c>
      <c r="U2100" s="1" t="str">
        <f>"بهرام زنگنه (1038 ج 93)"</f>
        <v>بهرام زنگنه (1038 ج 93)</v>
      </c>
      <c r="V2100" s="1">
        <v>966200512</v>
      </c>
      <c r="W2100" s="1">
        <v>966200512</v>
      </c>
      <c r="X2100" s="1" t="str">
        <f>"1396536917"</f>
        <v>1396536917</v>
      </c>
      <c r="Y2100" s="1" t="str">
        <f>"96/10/19"</f>
        <v>96/10/19</v>
      </c>
      <c r="Z2100" s="1" t="str">
        <f>"45263/د"</f>
        <v>45263/د</v>
      </c>
      <c r="AA2100" s="1" t="str">
        <f>"بنيادمسكن انقلاب اسلامي"</f>
        <v>بنيادمسكن انقلاب اسلامي</v>
      </c>
      <c r="AB2100" s="1" t="str">
        <f>"96/10/12"</f>
        <v>96/10/12</v>
      </c>
      <c r="AC2100" s="1" t="str">
        <f>"استان سيستان بلوچستان"</f>
        <v>استان سيستان بلوچستان</v>
      </c>
      <c r="AD2100" s="1" t="str">
        <f>"96/10/12"</f>
        <v>96/10/12</v>
      </c>
      <c r="AE2100" s="1" t="str">
        <f>"اختتام"</f>
        <v>اختتام</v>
      </c>
      <c r="AF2100" s="1" t="str">
        <f>""</f>
        <v/>
      </c>
      <c r="AG2100" s="1" t="str">
        <f>""</f>
        <v/>
      </c>
      <c r="AH2100" s="1" t="str">
        <f>""</f>
        <v/>
      </c>
      <c r="AI2100" s="1" t="str">
        <f>""</f>
        <v/>
      </c>
      <c r="AJ2100" s="1" t="str">
        <f>""</f>
        <v/>
      </c>
      <c r="AK2100" s="1" t="str">
        <f>""</f>
        <v/>
      </c>
    </row>
    <row r="2101" spans="1:37">
      <c r="A2101" s="1">
        <v>20000</v>
      </c>
      <c r="B2101" s="1">
        <v>966200323</v>
      </c>
      <c r="C2101" s="1" t="str">
        <f>"تخليه -اصفهان داران بلواردانشگاه خيابان شهرك صنعتي مجتمع توليدي جهاد"</f>
        <v>تخليه -اصفهان داران بلواردانشگاه خيابان شهرك صنعتي مجتمع توليدي جهاد</v>
      </c>
      <c r="D2101" s="1">
        <v>12777</v>
      </c>
      <c r="E2101" s="1">
        <v>20000</v>
      </c>
      <c r="F2101" s="1">
        <v>96</v>
      </c>
      <c r="G2101" s="1">
        <v>0</v>
      </c>
      <c r="H2101" s="1" t="str">
        <f>"96/07/24"</f>
        <v>96/07/24</v>
      </c>
      <c r="I2101" s="1" t="str">
        <f>"كيلوگرم"</f>
        <v>كيلوگرم</v>
      </c>
      <c r="J2101" s="1" t="str">
        <f>"1000000003"</f>
        <v>1000000003</v>
      </c>
      <c r="K2101" s="1" t="str">
        <f>"قير MC250"</f>
        <v>قير MC250</v>
      </c>
      <c r="L2101" s="1">
        <v>100</v>
      </c>
      <c r="M2101" s="1" t="str">
        <f>"مخازن قير اصفهان"</f>
        <v>مخازن قير اصفهان</v>
      </c>
      <c r="N2101" s="1">
        <v>11082</v>
      </c>
      <c r="O2101" s="1">
        <v>50036753</v>
      </c>
      <c r="P2101" s="1" t="str">
        <f>"  پارسيان كاني پاسارگاد"</f>
        <v xml:space="preserve">  پارسيان كاني پاسارگاد</v>
      </c>
      <c r="Q2101" s="1">
        <v>62</v>
      </c>
      <c r="R2101" s="1" t="str">
        <f>"فروش داخلي - سازمان بنيادمسكن انقلاب اسلامي"</f>
        <v>فروش داخلي - سازمان بنيادمسكن انقلاب اسلامي</v>
      </c>
      <c r="S2101" s="1" t="str">
        <f>"قرارداد فروش"</f>
        <v>قرارداد فروش</v>
      </c>
      <c r="T2101" s="1" t="str">
        <f>"ندارد"</f>
        <v>ندارد</v>
      </c>
      <c r="U2101" s="1" t="str">
        <f>"مرادي نجاتعلي(1020ج89)"</f>
        <v>مرادي نجاتعلي(1020ج89)</v>
      </c>
      <c r="V2101" s="1">
        <v>966200323</v>
      </c>
      <c r="W2101" s="1">
        <v>966200323</v>
      </c>
      <c r="X2101" s="1" t="str">
        <f>"1396518905"</f>
        <v>1396518905</v>
      </c>
      <c r="Y2101" s="1" t="str">
        <f>"96/07/24"</f>
        <v>96/07/24</v>
      </c>
      <c r="Z2101" s="1" t="str">
        <f>"32887/د"</f>
        <v>32887/د</v>
      </c>
      <c r="AA2101" s="1" t="str">
        <f>"بنيادمسكن انقلاب اسلامي"</f>
        <v>بنيادمسكن انقلاب اسلامي</v>
      </c>
      <c r="AB2101" s="1" t="str">
        <f>"96/07/24"</f>
        <v>96/07/24</v>
      </c>
      <c r="AC2101" s="1" t="str">
        <f>"استان اصفهان"</f>
        <v>استان اصفهان</v>
      </c>
      <c r="AD2101" s="1" t="str">
        <f>"96/07/24"</f>
        <v>96/07/24</v>
      </c>
      <c r="AE2101" s="1" t="str">
        <f>"اختتام"</f>
        <v>اختتام</v>
      </c>
      <c r="AF2101" s="1" t="str">
        <f>""</f>
        <v/>
      </c>
      <c r="AG2101" s="1" t="str">
        <f>""</f>
        <v/>
      </c>
      <c r="AH2101" s="1" t="str">
        <f>""</f>
        <v/>
      </c>
      <c r="AI2101" s="1" t="str">
        <f>""</f>
        <v/>
      </c>
      <c r="AJ2101" s="1" t="str">
        <f>""</f>
        <v/>
      </c>
      <c r="AK2101" s="1" t="str">
        <f>""</f>
        <v/>
      </c>
    </row>
    <row r="2102" spans="1:37">
      <c r="A2102" s="1">
        <v>20000</v>
      </c>
      <c r="B2102" s="1">
        <v>966200381</v>
      </c>
      <c r="C2102" s="1" t="str">
        <f>"تخليه -اصفهان داران بلواردانشگاه خيابان شهرك صنعتي مجتمع توليدي جهاد"</f>
        <v>تخليه -اصفهان داران بلواردانشگاه خيابان شهرك صنعتي مجتمع توليدي جهاد</v>
      </c>
      <c r="D2102" s="1">
        <v>15947</v>
      </c>
      <c r="E2102" s="1">
        <v>20000</v>
      </c>
      <c r="F2102" s="1">
        <v>96</v>
      </c>
      <c r="G2102" s="1">
        <v>0</v>
      </c>
      <c r="H2102" s="1" t="str">
        <f>"96/09/08"</f>
        <v>96/09/08</v>
      </c>
      <c r="I2102" s="1" t="str">
        <f>"كيلوگرم"</f>
        <v>كيلوگرم</v>
      </c>
      <c r="J2102" s="1" t="str">
        <f>"1000000003"</f>
        <v>1000000003</v>
      </c>
      <c r="K2102" s="1" t="str">
        <f>"قير MC250"</f>
        <v>قير MC250</v>
      </c>
      <c r="L2102" s="1">
        <v>100</v>
      </c>
      <c r="M2102" s="1" t="str">
        <f>"مخازن قير اصفهان"</f>
        <v>مخازن قير اصفهان</v>
      </c>
      <c r="N2102" s="1">
        <v>11082</v>
      </c>
      <c r="O2102" s="1">
        <v>50037320</v>
      </c>
      <c r="P2102" s="1" t="str">
        <f>"  پارسيان كاني پاسارگاد"</f>
        <v xml:space="preserve">  پارسيان كاني پاسارگاد</v>
      </c>
      <c r="Q2102" s="1">
        <v>62</v>
      </c>
      <c r="R2102" s="1" t="str">
        <f>"فروش داخلي - سازمان بنيادمسكن انقلاب اسلامي"</f>
        <v>فروش داخلي - سازمان بنيادمسكن انقلاب اسلامي</v>
      </c>
      <c r="S2102" s="1" t="str">
        <f>"قرارداد فروش"</f>
        <v>قرارداد فروش</v>
      </c>
      <c r="T2102" s="1" t="str">
        <f>"ندارد"</f>
        <v>ندارد</v>
      </c>
      <c r="U2102" s="1" t="str">
        <f>"مرادي نجاتعلي(1020ج89)"</f>
        <v>مرادي نجاتعلي(1020ج89)</v>
      </c>
      <c r="V2102" s="1">
        <v>966200381</v>
      </c>
      <c r="W2102" s="1">
        <v>966200381</v>
      </c>
      <c r="X2102" s="1" t="str">
        <f>"1396529174"</f>
        <v>1396529174</v>
      </c>
      <c r="Y2102" s="1" t="str">
        <f>"96/09/08"</f>
        <v>96/09/08</v>
      </c>
      <c r="Z2102" s="1" t="str">
        <f>"37342/د"</f>
        <v>37342/د</v>
      </c>
      <c r="AA2102" s="1" t="str">
        <f>"بنيادمسكن انقلاب اسلامي"</f>
        <v>بنيادمسكن انقلاب اسلامي</v>
      </c>
      <c r="AB2102" s="1" t="str">
        <f>"96/08/21"</f>
        <v>96/08/21</v>
      </c>
      <c r="AC2102" s="1" t="str">
        <f>"استان اصفهان"</f>
        <v>استان اصفهان</v>
      </c>
      <c r="AD2102" s="1" t="str">
        <f>"96/09/08"</f>
        <v>96/09/08</v>
      </c>
      <c r="AE2102" s="1" t="str">
        <f>"اختتام"</f>
        <v>اختتام</v>
      </c>
      <c r="AF2102" s="1" t="str">
        <f>""</f>
        <v/>
      </c>
      <c r="AG2102" s="1" t="str">
        <f>""</f>
        <v/>
      </c>
      <c r="AH2102" s="1" t="str">
        <f>""</f>
        <v/>
      </c>
      <c r="AI2102" s="1" t="str">
        <f>""</f>
        <v/>
      </c>
      <c r="AJ2102" s="1" t="str">
        <f>""</f>
        <v/>
      </c>
      <c r="AK2102" s="1" t="str">
        <f>""</f>
        <v/>
      </c>
    </row>
    <row r="2103" spans="1:37">
      <c r="A2103" s="1">
        <v>15000</v>
      </c>
      <c r="B2103" s="1">
        <v>966200241</v>
      </c>
      <c r="C2103" s="1" t="str">
        <f>"تخليه-يزد-شهرستان خاتم-کيلومتر 2 جاده سياهوئيه-کارخانه آسفالت بسترسازان کوير"</f>
        <v>تخليه-يزد-شهرستان خاتم-کيلومتر 2 جاده سياهوئيه-کارخانه آسفالت بسترسازان کوير</v>
      </c>
      <c r="D2103" s="1">
        <v>12370</v>
      </c>
      <c r="E2103" s="1">
        <v>13400</v>
      </c>
      <c r="F2103" s="1">
        <v>96</v>
      </c>
      <c r="G2103" s="1">
        <v>1600</v>
      </c>
      <c r="H2103" s="1" t="str">
        <f>"96/06/21"</f>
        <v>96/06/21</v>
      </c>
      <c r="I2103" s="1" t="str">
        <f>"كيلوگرم"</f>
        <v>كيلوگرم</v>
      </c>
      <c r="J2103" s="1" t="str">
        <f>"1000000003"</f>
        <v>1000000003</v>
      </c>
      <c r="K2103" s="1" t="str">
        <f>"قير MC250"</f>
        <v>قير MC250</v>
      </c>
      <c r="L2103" s="1">
        <v>100</v>
      </c>
      <c r="M2103" s="1" t="str">
        <f>"مخازن قير اصفهان"</f>
        <v>مخازن قير اصفهان</v>
      </c>
      <c r="N2103" s="1">
        <v>11105</v>
      </c>
      <c r="O2103" s="1">
        <v>50036000</v>
      </c>
      <c r="P2103" s="1" t="str">
        <f>"  بهمن راه کويريزد"</f>
        <v xml:space="preserve">  بهمن راه کويريزد</v>
      </c>
      <c r="Q2103" s="1">
        <v>62</v>
      </c>
      <c r="R2103" s="1" t="str">
        <f>"فروش داخلي - سازمان بنيادمسكن انقلاب اسلامي"</f>
        <v>فروش داخلي - سازمان بنيادمسكن انقلاب اسلامي</v>
      </c>
      <c r="S2103" s="1" t="str">
        <f>"قرارداد فروش"</f>
        <v>قرارداد فروش</v>
      </c>
      <c r="T2103" s="1" t="str">
        <f>"ندارد"</f>
        <v>ندارد</v>
      </c>
      <c r="U2103" s="1" t="str">
        <f>"عزيزي صفر(1006ج 89)"</f>
        <v>عزيزي صفر(1006ج 89)</v>
      </c>
      <c r="V2103" s="1">
        <v>966200241</v>
      </c>
      <c r="W2103" s="1">
        <v>966200241</v>
      </c>
      <c r="X2103" s="1" t="str">
        <f>"1396511621"</f>
        <v>1396511621</v>
      </c>
      <c r="Y2103" s="1" t="str">
        <f>"96/06/21"</f>
        <v>96/06/21</v>
      </c>
      <c r="Z2103" s="1" t="str">
        <f>"26385/د"</f>
        <v>26385/د</v>
      </c>
      <c r="AA2103" s="1" t="str">
        <f>"بنيادمسكن انقلاب اسلامي"</f>
        <v>بنيادمسكن انقلاب اسلامي</v>
      </c>
      <c r="AB2103" s="1" t="str">
        <f>"96/06/15"</f>
        <v>96/06/15</v>
      </c>
      <c r="AC2103" s="1" t="str">
        <f>"استان اصفهان"</f>
        <v>استان اصفهان</v>
      </c>
      <c r="AD2103" s="1" t="str">
        <f>"96/06/21"</f>
        <v>96/06/21</v>
      </c>
      <c r="AE2103" s="1" t="str">
        <f>"اختتام"</f>
        <v>اختتام</v>
      </c>
      <c r="AF2103" s="1" t="str">
        <f>""</f>
        <v/>
      </c>
      <c r="AG2103" s="1" t="str">
        <f>""</f>
        <v/>
      </c>
      <c r="AH2103" s="1" t="str">
        <f>""</f>
        <v/>
      </c>
      <c r="AI2103" s="1" t="str">
        <f>""</f>
        <v/>
      </c>
      <c r="AJ2103" s="1" t="str">
        <f>""</f>
        <v/>
      </c>
      <c r="AK2103" s="1" t="str">
        <f>""</f>
        <v/>
      </c>
    </row>
    <row r="2104" spans="1:37">
      <c r="A2104" s="1">
        <v>200000</v>
      </c>
      <c r="B2104" s="1">
        <v>961100014</v>
      </c>
      <c r="C2104" s="1" t="str">
        <f>"تخليه اصفهان خيابان ارغوانيه سه راه گردنه زينل كارخانه آسفالت سازمان عمران شهرداري اصفهان"</f>
        <v>تخليه اصفهان خيابان ارغوانيه سه راه گردنه زينل كارخانه آسفالت سازمان عمران شهرداري اصفهان</v>
      </c>
      <c r="D2104" s="1">
        <v>12482</v>
      </c>
      <c r="E2104" s="1">
        <v>199280</v>
      </c>
      <c r="F2104" s="1">
        <v>96</v>
      </c>
      <c r="G2104" s="1">
        <v>720</v>
      </c>
      <c r="H2104" s="1" t="str">
        <f>"96/02/16"</f>
        <v>96/02/16</v>
      </c>
      <c r="I2104" s="1" t="str">
        <f>"كيلوگرم"</f>
        <v>كيلوگرم</v>
      </c>
      <c r="J2104" s="1" t="str">
        <f>"1000000003"</f>
        <v>1000000003</v>
      </c>
      <c r="K2104" s="1" t="str">
        <f>"قير MC250"</f>
        <v>قير MC250</v>
      </c>
      <c r="L2104" s="1">
        <v>100</v>
      </c>
      <c r="M2104" s="1" t="str">
        <f>"مخازن قير اصفهان"</f>
        <v>مخازن قير اصفهان</v>
      </c>
      <c r="N2104" s="1">
        <v>11346</v>
      </c>
      <c r="O2104" s="1">
        <v>50034777</v>
      </c>
      <c r="P2104" s="1" t="str">
        <f>"  شهرداري اصفهان(شهرداري منطقه 12)"</f>
        <v xml:space="preserve">  شهرداري اصفهان(شهرداري منطقه 12)</v>
      </c>
      <c r="Q2104" s="1">
        <v>11</v>
      </c>
      <c r="R2104" s="1" t="str">
        <f>"فروش داخلي تهران - بورس"</f>
        <v>فروش داخلي تهران - بورس</v>
      </c>
      <c r="S2104" s="1" t="str">
        <f>"قرارداد فروش"</f>
        <v>قرارداد فروش</v>
      </c>
      <c r="T2104" s="1" t="str">
        <f>"ندارد"</f>
        <v>ندارد</v>
      </c>
      <c r="U2104" s="1" t="str">
        <f>"ترك شاهسوندي مهدي(1022ج89)"</f>
        <v>ترك شاهسوندي مهدي(1022ج89)</v>
      </c>
      <c r="V2104" s="1">
        <v>961100014</v>
      </c>
      <c r="W2104" s="1">
        <v>961100014</v>
      </c>
      <c r="X2104" s="1" t="str">
        <f>"1396478982"</f>
        <v>1396478982</v>
      </c>
      <c r="Y2104" s="1" t="str">
        <f>"96/02/16"</f>
        <v>96/02/16</v>
      </c>
      <c r="Z2104" s="1" t="str">
        <f>"12/96/1398"</f>
        <v>12/96/1398</v>
      </c>
      <c r="AA2104" s="1" t="str">
        <f>"شهرداريها"</f>
        <v>شهرداريها</v>
      </c>
      <c r="AB2104" s="1" t="str">
        <f>"96/02/16"</f>
        <v>96/02/16</v>
      </c>
      <c r="AC2104" s="1" t="str">
        <f>"استان اصفهان"</f>
        <v>استان اصفهان</v>
      </c>
      <c r="AD2104" s="1" t="str">
        <f>"96/02/16"</f>
        <v>96/02/16</v>
      </c>
      <c r="AE2104" s="1" t="str">
        <f>"اختتام"</f>
        <v>اختتام</v>
      </c>
      <c r="AF2104" s="1" t="str">
        <f>""</f>
        <v/>
      </c>
      <c r="AG2104" s="1" t="str">
        <f>""</f>
        <v/>
      </c>
      <c r="AH2104" s="1" t="str">
        <f>""</f>
        <v/>
      </c>
      <c r="AI2104" s="1" t="str">
        <f>""</f>
        <v/>
      </c>
      <c r="AJ2104" s="1" t="str">
        <f>""</f>
        <v/>
      </c>
      <c r="AK2104" s="1" t="str">
        <f>""</f>
        <v/>
      </c>
    </row>
    <row r="2105" spans="1:37">
      <c r="A2105" s="1">
        <v>15000</v>
      </c>
      <c r="B2105" s="1">
        <v>966200064</v>
      </c>
      <c r="C2105" s="1" t="str">
        <f>"تخليه - هرمزگان-بندرعباس-جاده ايسين-بعداز هورمودر-کارخانه آسفالت شرکت ريگ آباد ساز سيرجان"</f>
        <v>تخليه - هرمزگان-بندرعباس-جاده ايسين-بعداز هورمودر-کارخانه آسفالت شرکت ريگ آباد ساز سيرجان</v>
      </c>
      <c r="D2105" s="1">
        <v>12482</v>
      </c>
      <c r="E2105" s="1">
        <v>13540</v>
      </c>
      <c r="F2105" s="1">
        <v>96</v>
      </c>
      <c r="G2105" s="1">
        <v>1460</v>
      </c>
      <c r="H2105" s="1" t="str">
        <f>"96/02/13"</f>
        <v>96/02/13</v>
      </c>
      <c r="I2105" s="1" t="str">
        <f>"كيلوگرم"</f>
        <v>كيلوگرم</v>
      </c>
      <c r="J2105" s="1" t="str">
        <f>"1000000003"</f>
        <v>1000000003</v>
      </c>
      <c r="K2105" s="1" t="str">
        <f>"قير MC250"</f>
        <v>قير MC250</v>
      </c>
      <c r="L2105" s="1">
        <v>100</v>
      </c>
      <c r="M2105" s="1" t="str">
        <f>"مخازن قير اصفهان"</f>
        <v>مخازن قير اصفهان</v>
      </c>
      <c r="N2105" s="1">
        <v>11347</v>
      </c>
      <c r="O2105" s="1">
        <v>50034761</v>
      </c>
      <c r="P2105" s="1" t="str">
        <f>"  سحرراه سراب"</f>
        <v xml:space="preserve">  سحرراه سراب</v>
      </c>
      <c r="Q2105" s="1">
        <v>62</v>
      </c>
      <c r="R2105" s="1" t="str">
        <f>"فروش داخلي - سازمان بنيادمسكن انقلاب اسلامي"</f>
        <v>فروش داخلي - سازمان بنيادمسكن انقلاب اسلامي</v>
      </c>
      <c r="S2105" s="1" t="str">
        <f>"قرارداد فروش"</f>
        <v>قرارداد فروش</v>
      </c>
      <c r="T2105" s="1" t="str">
        <f>"ندارد"</f>
        <v>ندارد</v>
      </c>
      <c r="U2105" s="1" t="str">
        <f>"حاصليان ترابرجنوب مرتضي حاصلي (4844006)"</f>
        <v>حاصليان ترابرجنوب مرتضي حاصلي (4844006)</v>
      </c>
      <c r="V2105" s="1">
        <v>966200064</v>
      </c>
      <c r="W2105" s="1">
        <v>966200064</v>
      </c>
      <c r="X2105" s="1" t="str">
        <f>"1396477995"</f>
        <v>1396477995</v>
      </c>
      <c r="Y2105" s="1" t="str">
        <f>"96/02/13"</f>
        <v>96/02/13</v>
      </c>
      <c r="Z2105" s="1" t="str">
        <f>"4557/د"</f>
        <v>4557/د</v>
      </c>
      <c r="AA2105" s="1" t="str">
        <f>"بنيادمسكن انقلاب اسلامي"</f>
        <v>بنيادمسكن انقلاب اسلامي</v>
      </c>
      <c r="AB2105" s="1" t="str">
        <f>"96/02/11"</f>
        <v>96/02/11</v>
      </c>
      <c r="AC2105" s="1" t="str">
        <f>"استان هرمزگان"</f>
        <v>استان هرمزگان</v>
      </c>
      <c r="AD2105" s="1" t="str">
        <f>"96/02/12"</f>
        <v>96/02/12</v>
      </c>
      <c r="AE2105" s="1" t="str">
        <f>"اختتام"</f>
        <v>اختتام</v>
      </c>
      <c r="AF2105" s="1" t="str">
        <f>""</f>
        <v/>
      </c>
      <c r="AG2105" s="1" t="str">
        <f>""</f>
        <v/>
      </c>
      <c r="AH2105" s="1" t="str">
        <f>""</f>
        <v/>
      </c>
      <c r="AI2105" s="1" t="str">
        <f>""</f>
        <v/>
      </c>
      <c r="AJ2105" s="1" t="str">
        <f>""</f>
        <v/>
      </c>
      <c r="AK2105" s="1" t="str">
        <f>""</f>
        <v/>
      </c>
    </row>
    <row r="2106" spans="1:37">
      <c r="A2106" s="1">
        <v>106000</v>
      </c>
      <c r="B2106" s="1">
        <v>966200090</v>
      </c>
      <c r="C2106" s="1" t="str">
        <f>"تخليه - سيستان وبلوچستان -خاش-سنگ شکن آقاي آرامش"</f>
        <v>تخليه - سيستان وبلوچستان -خاش-سنگ شکن آقاي آرامش</v>
      </c>
      <c r="D2106" s="1">
        <v>12482</v>
      </c>
      <c r="E2106" s="1">
        <v>102480</v>
      </c>
      <c r="F2106" s="1">
        <v>96</v>
      </c>
      <c r="G2106" s="1">
        <v>3520</v>
      </c>
      <c r="H2106" s="1" t="str">
        <f>"96/02/27"</f>
        <v>96/02/27</v>
      </c>
      <c r="I2106" s="1" t="str">
        <f>"كيلوگرم"</f>
        <v>كيلوگرم</v>
      </c>
      <c r="J2106" s="1" t="str">
        <f>"1000000003"</f>
        <v>1000000003</v>
      </c>
      <c r="K2106" s="1" t="str">
        <f>"قير MC250"</f>
        <v>قير MC250</v>
      </c>
      <c r="L2106" s="1">
        <v>100</v>
      </c>
      <c r="M2106" s="1" t="str">
        <f>"مخازن قير اصفهان"</f>
        <v>مخازن قير اصفهان</v>
      </c>
      <c r="N2106" s="1">
        <v>11360</v>
      </c>
      <c r="O2106" s="1">
        <v>50034860</v>
      </c>
      <c r="P2106" s="1" t="str">
        <f>"  پارت سازان هامون"</f>
        <v xml:space="preserve">  پارت سازان هامون</v>
      </c>
      <c r="Q2106" s="1">
        <v>62</v>
      </c>
      <c r="R2106" s="1" t="str">
        <f>"فروش داخلي - سازمان بنيادمسكن انقلاب اسلامي"</f>
        <v>فروش داخلي - سازمان بنيادمسكن انقلاب اسلامي</v>
      </c>
      <c r="S2106" s="1" t="str">
        <f>"قرارداد فروش"</f>
        <v>قرارداد فروش</v>
      </c>
      <c r="T2106" s="1" t="str">
        <f>"ندارد"</f>
        <v>ندارد</v>
      </c>
      <c r="U2106" s="1" t="str">
        <f>"قانعي محمدرضا(1011ج89)"</f>
        <v>قانعي محمدرضا(1011ج89)</v>
      </c>
      <c r="V2106" s="1">
        <v>966200090</v>
      </c>
      <c r="W2106" s="1">
        <v>966200090</v>
      </c>
      <c r="X2106" s="1" t="str">
        <f>"1396481876"</f>
        <v>1396481876</v>
      </c>
      <c r="Y2106" s="1" t="str">
        <f>"96/02/27"</f>
        <v>96/02/27</v>
      </c>
      <c r="Z2106" s="1" t="str">
        <f>"6833/د"</f>
        <v>6833/د</v>
      </c>
      <c r="AA2106" s="1" t="str">
        <f>"بنيادمسكن انقلاب اسلامي"</f>
        <v>بنيادمسكن انقلاب اسلامي</v>
      </c>
      <c r="AB2106" s="1" t="str">
        <f>"96/02/25"</f>
        <v>96/02/25</v>
      </c>
      <c r="AC2106" s="1" t="str">
        <f>"استان سيستان بلوچستان"</f>
        <v>استان سيستان بلوچستان</v>
      </c>
      <c r="AD2106" s="1" t="str">
        <f>"96/02/27"</f>
        <v>96/02/27</v>
      </c>
      <c r="AE2106" s="1" t="str">
        <f>"اختتام"</f>
        <v>اختتام</v>
      </c>
      <c r="AF2106" s="1" t="str">
        <f>""</f>
        <v/>
      </c>
      <c r="AG2106" s="1" t="str">
        <f>""</f>
        <v/>
      </c>
      <c r="AH2106" s="1" t="str">
        <f>""</f>
        <v/>
      </c>
      <c r="AI2106" s="1" t="str">
        <f>""</f>
        <v/>
      </c>
      <c r="AJ2106" s="1" t="str">
        <f>""</f>
        <v/>
      </c>
      <c r="AK2106" s="1" t="str">
        <f>""</f>
        <v/>
      </c>
    </row>
    <row r="2107" spans="1:37">
      <c r="A2107" s="1">
        <v>15000</v>
      </c>
      <c r="B2107" s="1">
        <v>966200094</v>
      </c>
      <c r="C2107" s="1" t="str">
        <f>"تخليه - اصفهان-زينبيه-جاده شهيد لباف-کارخانه آسفالت آقاي نيازي"</f>
        <v>تخليه - اصفهان-زينبيه-جاده شهيد لباف-کارخانه آسفالت آقاي نيازي</v>
      </c>
      <c r="D2107" s="1">
        <v>12482</v>
      </c>
      <c r="E2107" s="1">
        <v>15000</v>
      </c>
      <c r="F2107" s="1">
        <v>96</v>
      </c>
      <c r="G2107" s="1">
        <v>0</v>
      </c>
      <c r="H2107" s="1" t="str">
        <f>"96/02/27"</f>
        <v>96/02/27</v>
      </c>
      <c r="I2107" s="1" t="str">
        <f>"كيلوگرم"</f>
        <v>كيلوگرم</v>
      </c>
      <c r="J2107" s="1" t="str">
        <f>"1000000003"</f>
        <v>1000000003</v>
      </c>
      <c r="K2107" s="1" t="str">
        <f>"قير MC250"</f>
        <v>قير MC250</v>
      </c>
      <c r="L2107" s="1">
        <v>100</v>
      </c>
      <c r="M2107" s="1" t="str">
        <f>"مخازن قير اصفهان"</f>
        <v>مخازن قير اصفهان</v>
      </c>
      <c r="N2107" s="1">
        <v>11362</v>
      </c>
      <c r="O2107" s="1">
        <v>50034864</v>
      </c>
      <c r="P2107" s="1" t="str">
        <f>"  پيشرو سازان جي"</f>
        <v xml:space="preserve">  پيشرو سازان جي</v>
      </c>
      <c r="Q2107" s="1">
        <v>62</v>
      </c>
      <c r="R2107" s="1" t="str">
        <f>"فروش داخلي - سازمان بنيادمسكن انقلاب اسلامي"</f>
        <v>فروش داخلي - سازمان بنيادمسكن انقلاب اسلامي</v>
      </c>
      <c r="S2107" s="1" t="str">
        <f>"قرارداد فروش"</f>
        <v>قرارداد فروش</v>
      </c>
      <c r="T2107" s="1" t="str">
        <f>"ندارد"</f>
        <v>ندارد</v>
      </c>
      <c r="U2107" s="1" t="str">
        <f>"علي عابدي ابوالقاسم(1003ج89)"</f>
        <v>علي عابدي ابوالقاسم(1003ج89)</v>
      </c>
      <c r="V2107" s="1">
        <v>966200094</v>
      </c>
      <c r="W2107" s="1">
        <v>966200094</v>
      </c>
      <c r="X2107" s="1" t="str">
        <f>"1396481876"</f>
        <v>1396481876</v>
      </c>
      <c r="Y2107" s="1" t="str">
        <f>"96/02/27"</f>
        <v>96/02/27</v>
      </c>
      <c r="Z2107" s="1" t="str">
        <f>"6822/د"</f>
        <v>6822/د</v>
      </c>
      <c r="AA2107" s="1" t="str">
        <f>"بنيادمسكن انقلاب اسلامي"</f>
        <v>بنيادمسكن انقلاب اسلامي</v>
      </c>
      <c r="AB2107" s="1" t="str">
        <f>"96/02/25"</f>
        <v>96/02/25</v>
      </c>
      <c r="AC2107" s="1" t="str">
        <f>"استان اصفهان"</f>
        <v>استان اصفهان</v>
      </c>
      <c r="AD2107" s="1" t="str">
        <f>"96/02/27"</f>
        <v>96/02/27</v>
      </c>
      <c r="AE2107" s="1" t="str">
        <f>"اختتام"</f>
        <v>اختتام</v>
      </c>
      <c r="AF2107" s="1" t="str">
        <f>""</f>
        <v/>
      </c>
      <c r="AG2107" s="1" t="str">
        <f>""</f>
        <v/>
      </c>
      <c r="AH2107" s="1" t="str">
        <f>""</f>
        <v/>
      </c>
      <c r="AI2107" s="1" t="str">
        <f>""</f>
        <v/>
      </c>
      <c r="AJ2107" s="1" t="str">
        <f>""</f>
        <v/>
      </c>
      <c r="AK2107" s="1" t="str">
        <f>""</f>
        <v/>
      </c>
    </row>
    <row r="2108" spans="1:37">
      <c r="A2108" s="1">
        <v>15000</v>
      </c>
      <c r="B2108" s="1">
        <v>966200249</v>
      </c>
      <c r="C2108" s="1" t="str">
        <f>"تخليه - خراسان جنوبي - بيرجند-کيلومتر 5 جاده خوسف - جنب کوير تاير-کارخانمه آسفالت شرکت مسيرياب بيرجند"</f>
        <v>تخليه - خراسان جنوبي - بيرجند-کيلومتر 5 جاده خوسف - جنب کوير تاير-کارخانمه آسفالت شرکت مسيرياب بيرجند</v>
      </c>
      <c r="D2108" s="1">
        <v>12370</v>
      </c>
      <c r="E2108" s="1">
        <v>15000</v>
      </c>
      <c r="F2108" s="1">
        <v>96</v>
      </c>
      <c r="G2108" s="1">
        <v>0</v>
      </c>
      <c r="H2108" s="1" t="str">
        <f>"96/06/26"</f>
        <v>96/06/26</v>
      </c>
      <c r="I2108" s="1" t="str">
        <f>"كيلوگرم"</f>
        <v>كيلوگرم</v>
      </c>
      <c r="J2108" s="1" t="str">
        <f>"1000000003"</f>
        <v>1000000003</v>
      </c>
      <c r="K2108" s="1" t="str">
        <f>"قير MC250"</f>
        <v>قير MC250</v>
      </c>
      <c r="L2108" s="1">
        <v>100</v>
      </c>
      <c r="M2108" s="1" t="str">
        <f>"مخازن قير اصفهان"</f>
        <v>مخازن قير اصفهان</v>
      </c>
      <c r="N2108" s="1">
        <v>11402</v>
      </c>
      <c r="O2108" s="1">
        <v>50036077</v>
      </c>
      <c r="P2108" s="1" t="str">
        <f>"  تعاوني دهياريهاي بخش مرکزي بيرجند"</f>
        <v xml:space="preserve">  تعاوني دهياريهاي بخش مرکزي بيرجند</v>
      </c>
      <c r="Q2108" s="1">
        <v>62</v>
      </c>
      <c r="R2108" s="1" t="str">
        <f>"فروش داخلي - سازمان بنيادمسكن انقلاب اسلامي"</f>
        <v>فروش داخلي - سازمان بنيادمسكن انقلاب اسلامي</v>
      </c>
      <c r="S2108" s="1" t="str">
        <f>"قرارداد فروش"</f>
        <v>قرارداد فروش</v>
      </c>
      <c r="T2108" s="1" t="str">
        <f>"ندارد"</f>
        <v>ندارد</v>
      </c>
      <c r="U2108" s="1" t="str">
        <f>"كاردان اسپادان راه مصطفي  (1911100)"</f>
        <v>كاردان اسپادان راه مصطفي  (1911100)</v>
      </c>
      <c r="V2108" s="1">
        <v>966200249</v>
      </c>
      <c r="W2108" s="1">
        <v>966200249</v>
      </c>
      <c r="X2108" s="1" t="str">
        <f>"1396512882"</f>
        <v>1396512882</v>
      </c>
      <c r="Y2108" s="1" t="str">
        <f>"96/06/26"</f>
        <v>96/06/26</v>
      </c>
      <c r="Z2108" s="1" t="str">
        <f>"27198/د"</f>
        <v>27198/د</v>
      </c>
      <c r="AA2108" s="1" t="str">
        <f>"بنيادمسكن انقلاب اسلامي"</f>
        <v>بنيادمسكن انقلاب اسلامي</v>
      </c>
      <c r="AB2108" s="1" t="str">
        <f>"96/06/21"</f>
        <v>96/06/21</v>
      </c>
      <c r="AC2108" s="1" t="str">
        <f>"خراسان جنوبي"</f>
        <v>خراسان جنوبي</v>
      </c>
      <c r="AD2108" s="1" t="str">
        <f>"96/06/26"</f>
        <v>96/06/26</v>
      </c>
      <c r="AE2108" s="1" t="str">
        <f>"اختتام"</f>
        <v>اختتام</v>
      </c>
      <c r="AF2108" s="1" t="str">
        <f>""</f>
        <v/>
      </c>
      <c r="AG2108" s="1" t="str">
        <f>""</f>
        <v/>
      </c>
      <c r="AH2108" s="1" t="str">
        <f>""</f>
        <v/>
      </c>
      <c r="AI2108" s="1" t="str">
        <f>""</f>
        <v/>
      </c>
      <c r="AJ2108" s="1" t="str">
        <f>""</f>
        <v/>
      </c>
      <c r="AK2108" s="1" t="str">
        <f>""</f>
        <v/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1396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jahadi</dc:creator>
  <cp:lastModifiedBy>jahadi</cp:lastModifiedBy>
  <dcterms:created xsi:type="dcterms:W3CDTF">2024-11-23T05:56:26Z</dcterms:created>
  <dcterms:modified xsi:type="dcterms:W3CDTF">2024-11-23T05:57:02Z</dcterms:modified>
</cp:coreProperties>
</file>